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25.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tables/table3.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pivotTables/pivotTable26.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27.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mc:AlternateContent xmlns:mc="http://schemas.openxmlformats.org/markup-compatibility/2006">
    <mc:Choice Requires="x15">
      <x15ac:absPath xmlns:x15ac="http://schemas.microsoft.com/office/spreadsheetml/2010/11/ac" url="C:\Users\mthaw\Mee Mee\2. Information Management\B_ 4 W\002. 4Ws matrix\004.Yangon\Working\2019\Q3_2019\"/>
    </mc:Choice>
  </mc:AlternateContent>
  <xr:revisionPtr revIDLastSave="0" documentId="13_ncr:1_{66C7D239-A3DC-4B32-8EA2-253805BF0F74}" xr6:coauthVersionLast="36" xr6:coauthVersionMax="36" xr10:uidLastSave="{00000000-0000-0000-0000-000000000000}"/>
  <bookViews>
    <workbookView xWindow="0" yWindow="0" windowWidth="29070" windowHeight="15870" tabRatio="756" activeTab="2" xr2:uid="{00000000-000D-0000-FFFF-FFFF00000000}"/>
  </bookViews>
  <sheets>
    <sheet name="Guide" sheetId="81" r:id="rId1"/>
    <sheet name="Sheet2" sheetId="121" r:id="rId2"/>
    <sheet name="DATABASE" sheetId="25" r:id="rId3"/>
    <sheet name="Site_DB" sheetId="91" r:id="rId4"/>
    <sheet name="Indicator Summary  Eng" sheetId="123" r:id="rId5"/>
    <sheet name="Indicator Summary  MM" sheetId="120" state="hidden" r:id="rId6"/>
    <sheet name="HRP Calculations" sheetId="122" r:id="rId7"/>
    <sheet name="HRP" sheetId="89" r:id="rId8"/>
    <sheet name="Sheet1" sheetId="113" state="hidden" r:id="rId9"/>
    <sheet name="Analysis" sheetId="92" r:id="rId10"/>
    <sheet name="Quarterly Dashboard" sheetId="100" r:id="rId11"/>
    <sheet name="Rakhine" sheetId="112" r:id="rId12"/>
    <sheet name="By Camps" sheetId="102" r:id="rId13"/>
    <sheet name="Tracking Dashboard" sheetId="114" r:id="rId14"/>
    <sheet name="Lookup" sheetId="32" state="hidden" r:id="rId15"/>
  </sheets>
  <externalReferences>
    <externalReference r:id="rId16"/>
    <externalReference r:id="rId17"/>
    <externalReference r:id="rId18"/>
    <externalReference r:id="rId19"/>
    <externalReference r:id="rId20"/>
    <externalReference r:id="rId21"/>
  </externalReferences>
  <definedNames>
    <definedName name="_Fill" localSheetId="12" hidden="1">#REF!</definedName>
    <definedName name="_Fill" localSheetId="6" hidden="1">#REF!</definedName>
    <definedName name="_Fill" localSheetId="4" hidden="1">#REF!</definedName>
    <definedName name="_Fill" localSheetId="11" hidden="1">#REF!</definedName>
    <definedName name="_Fill" hidden="1">#REF!</definedName>
    <definedName name="_xlnm._FilterDatabase" localSheetId="2" hidden="1">DATABASE!#REF!</definedName>
    <definedName name="_xlnm._FilterDatabase" localSheetId="4" hidden="1">'Indicator Summary  Eng'!$A$2:$F$41</definedName>
    <definedName name="_xlnm._FilterDatabase" localSheetId="14" hidden="1">Lookup!$A$3:$AA$457</definedName>
    <definedName name="_Key1" localSheetId="12" hidden="1">[1]Data!#REF!</definedName>
    <definedName name="_Key1" localSheetId="6" hidden="1">[1]Data!#REF!</definedName>
    <definedName name="_Key1" localSheetId="4" hidden="1">[1]Data!#REF!</definedName>
    <definedName name="_Key1" localSheetId="11" hidden="1">[1]Data!#REF!</definedName>
    <definedName name="_Key1" hidden="1">[1]Data!#REF!</definedName>
    <definedName name="_Order1" hidden="1">255</definedName>
    <definedName name="a" localSheetId="6" hidden="1">#REF!</definedName>
    <definedName name="a" localSheetId="4" hidden="1">#REF!</definedName>
    <definedName name="a" hidden="1">#REF!</definedName>
    <definedName name="b">[2]!SiteDB6[[#Headers],[Township]]</definedName>
    <definedName name="_xlnm.Print_Area" localSheetId="6">'HRP Calculations'!$A$1:$E$11</definedName>
    <definedName name="_xlnm.Print_Area" localSheetId="4">'Indicator Summary  Eng'!$A$1:$E$41</definedName>
    <definedName name="_xlnm.Print_Area" localSheetId="5">'Indicator Summary  MM'!$A$2:$F$70</definedName>
    <definedName name="_xlnm.Print_Area" localSheetId="11">Rakhine!$A$1:$Q$105</definedName>
    <definedName name="_xlnm.Print_Titles" localSheetId="4">'Indicator Summary  Eng'!$1:$2</definedName>
    <definedName name="_xlnm.Print_Titles" localSheetId="5">'Indicator Summary  MM'!$1:$2</definedName>
    <definedName name="Sasha" localSheetId="6" hidden="1">{#N/A,#N/A,FALSE,"Truck Rent"}</definedName>
    <definedName name="Sasha" localSheetId="4" hidden="1">{#N/A,#N/A,FALSE,"Truck Rent"}</definedName>
    <definedName name="Sasha" hidden="1">{#N/A,#N/A,FALSE,"Truck Rent"}</definedName>
    <definedName name="Slicer_Location_Type">#N/A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6">[3]Lookup!$AB$4:$AB$83</definedName>
    <definedName name="State_list" localSheetId="4">[3]Lookup!$AB$4:$AB$83</definedName>
    <definedName name="State_list">Lookup!$AB$4:$AB$83</definedName>
    <definedName name="Statestart_1" localSheetId="6">[3]Lookup!$AB$3</definedName>
    <definedName name="Statestart_1" localSheetId="4">[3]Lookup!$AB$3</definedName>
    <definedName name="Statestart_1">Lookup!$AB$3</definedName>
    <definedName name="Township_list" localSheetId="6">[3]!SiteDB6[Township]</definedName>
    <definedName name="Township_list" localSheetId="4">[3]!SiteDB6[Township]</definedName>
    <definedName name="Township_list" localSheetId="11">SiteDB6[Township]</definedName>
    <definedName name="Township_list">SiteDB6[Township]</definedName>
    <definedName name="Township_start" localSheetId="6">[3]!SiteDB6[[#Headers],[Township]]</definedName>
    <definedName name="Township_start" localSheetId="4">[3]!SiteDB6[[#Headers],[Township]]</definedName>
    <definedName name="Township_start" localSheetId="11">SiteDB6[[#Headers],[Township]]</definedName>
    <definedName name="Township_start">SiteDB6[[#Headers],[Township]]</definedName>
    <definedName name="TSps">Lookup!$AC$3:$AC$83</definedName>
    <definedName name="wrn.MUSA._.TRUCKS." localSheetId="6" hidden="1">{#N/A,#N/A,FALSE,"Truck Rent"}</definedName>
    <definedName name="wrn.MUSA._.TRUCKS." localSheetId="4" hidden="1">{#N/A,#N/A,FALSE,"Truck Rent"}</definedName>
    <definedName name="wrn.MUSA._.TRUCKS." hidden="1">{#N/A,#N/A,FALSE,"Truck Rent"}</definedName>
  </definedNames>
  <calcPr calcId="191029"/>
  <pivotCaches>
    <pivotCache cacheId="60" r:id="rId22"/>
  </pivotCaches>
  <extLst>
    <ext xmlns:x14="http://schemas.microsoft.com/office/spreadsheetml/2009/9/main" uri="{BBE1A952-AA13-448e-AADC-164F8A28A991}">
      <x14:slicerCaches>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1" i="25" l="1"/>
  <c r="J240" i="25"/>
  <c r="J239" i="25"/>
  <c r="J238" i="25"/>
  <c r="J237" i="25"/>
  <c r="J236" i="25"/>
  <c r="J235" i="25"/>
  <c r="BN486" i="25"/>
  <c r="BN485" i="25"/>
  <c r="BN483" i="25"/>
  <c r="I489" i="25"/>
  <c r="BM489" i="25" s="1"/>
  <c r="I488" i="25"/>
  <c r="BM488" i="25" s="1"/>
  <c r="I487" i="25"/>
  <c r="BM487" i="25" s="1"/>
  <c r="I486" i="25"/>
  <c r="BM486" i="25" s="1"/>
  <c r="I485" i="25"/>
  <c r="BM485" i="25" s="1"/>
  <c r="I484" i="25"/>
  <c r="BM484" i="25" s="1"/>
  <c r="I483" i="25"/>
  <c r="I482" i="25"/>
  <c r="BM482" i="25" s="1"/>
  <c r="G482" i="25"/>
  <c r="G483" i="25"/>
  <c r="G484" i="25"/>
  <c r="G485" i="25"/>
  <c r="G486" i="25"/>
  <c r="G487" i="25"/>
  <c r="G488" i="25"/>
  <c r="G489" i="25"/>
  <c r="AP482" i="25"/>
  <c r="AP483" i="25"/>
  <c r="AP484" i="25"/>
  <c r="AP485" i="25"/>
  <c r="AQ485" i="25" s="1"/>
  <c r="AP486" i="25"/>
  <c r="AQ486" i="25" s="1"/>
  <c r="AP487" i="25"/>
  <c r="AQ487" i="25" s="1"/>
  <c r="AP488" i="25"/>
  <c r="AP489" i="25"/>
  <c r="AQ489" i="25" s="1"/>
  <c r="AQ482" i="25"/>
  <c r="AQ483" i="25"/>
  <c r="AQ484" i="25"/>
  <c r="AR482" i="25"/>
  <c r="AR483" i="25"/>
  <c r="AS483" i="25" s="1"/>
  <c r="AR484" i="25"/>
  <c r="AS484" i="25" s="1"/>
  <c r="AR485" i="25"/>
  <c r="AR486" i="25"/>
  <c r="AS486" i="25" s="1"/>
  <c r="AR487" i="25"/>
  <c r="AS487" i="25" s="1"/>
  <c r="AR488" i="25"/>
  <c r="AS488" i="25" s="1"/>
  <c r="AR489" i="25"/>
  <c r="AS489" i="25" s="1"/>
  <c r="AZ482" i="25"/>
  <c r="AZ483" i="25"/>
  <c r="AZ484" i="25"/>
  <c r="AZ485" i="25"/>
  <c r="AZ486" i="25"/>
  <c r="AZ487" i="25"/>
  <c r="AZ488" i="25"/>
  <c r="AZ489" i="25"/>
  <c r="BA482" i="25"/>
  <c r="BF482" i="25" s="1"/>
  <c r="BA483" i="25"/>
  <c r="BF483" i="25" s="1"/>
  <c r="BA484" i="25"/>
  <c r="BF484" i="25" s="1"/>
  <c r="BA485" i="25"/>
  <c r="BB485" i="25" s="1"/>
  <c r="BA486" i="25"/>
  <c r="BB486" i="25" s="1"/>
  <c r="BA487" i="25"/>
  <c r="BF487" i="25" s="1"/>
  <c r="BA488" i="25"/>
  <c r="BF488" i="25" s="1"/>
  <c r="BA489" i="25"/>
  <c r="BB489" i="25" s="1"/>
  <c r="BC482" i="25"/>
  <c r="BC483" i="25"/>
  <c r="BC484" i="25"/>
  <c r="BC485" i="25"/>
  <c r="BC486" i="25"/>
  <c r="BC487" i="25"/>
  <c r="BC488" i="25"/>
  <c r="BC489" i="25"/>
  <c r="BD482" i="25"/>
  <c r="BD483" i="25"/>
  <c r="BE483" i="25" s="1"/>
  <c r="BD484" i="25"/>
  <c r="BE484" i="25" s="1"/>
  <c r="BD485" i="25"/>
  <c r="BE485" i="25" s="1"/>
  <c r="BD486" i="25"/>
  <c r="BE486" i="25" s="1"/>
  <c r="BD487" i="25"/>
  <c r="BE487" i="25" s="1"/>
  <c r="BD488" i="25"/>
  <c r="BE488" i="25" s="1"/>
  <c r="BD489" i="25"/>
  <c r="BE489" i="25" s="1"/>
  <c r="BE482" i="25"/>
  <c r="BG482" i="25"/>
  <c r="BL482" i="25" s="1"/>
  <c r="BG483" i="25"/>
  <c r="BL483" i="25" s="1"/>
  <c r="BG484" i="25"/>
  <c r="BL484" i="25" s="1"/>
  <c r="BG485" i="25"/>
  <c r="BL485" i="25" s="1"/>
  <c r="BG486" i="25"/>
  <c r="BG487" i="25"/>
  <c r="BL487" i="25" s="1"/>
  <c r="BG488" i="25"/>
  <c r="BG489" i="25"/>
  <c r="BL489" i="25" s="1"/>
  <c r="BH482" i="25"/>
  <c r="BH483" i="25"/>
  <c r="BH484" i="25"/>
  <c r="BH485" i="25"/>
  <c r="BH486" i="25"/>
  <c r="BH487" i="25"/>
  <c r="BH488" i="25"/>
  <c r="BH489" i="25"/>
  <c r="BM483" i="25"/>
  <c r="BN482" i="25"/>
  <c r="BN484" i="25"/>
  <c r="BN487" i="25"/>
  <c r="BN488" i="25"/>
  <c r="BN489" i="25"/>
  <c r="BP482" i="25"/>
  <c r="BP483" i="25"/>
  <c r="BP484" i="25"/>
  <c r="BP485" i="25"/>
  <c r="BP486" i="25"/>
  <c r="BP487" i="25"/>
  <c r="BP488" i="25"/>
  <c r="BP489" i="25"/>
  <c r="BQ482" i="25"/>
  <c r="BQ483" i="25"/>
  <c r="BQ484" i="25"/>
  <c r="BQ485" i="25"/>
  <c r="BQ486" i="25"/>
  <c r="BQ487" i="25"/>
  <c r="BQ488" i="25"/>
  <c r="BQ489" i="25"/>
  <c r="BR482" i="25"/>
  <c r="BR483" i="25"/>
  <c r="BR484" i="25"/>
  <c r="BR485" i="25"/>
  <c r="BR486" i="25"/>
  <c r="BR487" i="25"/>
  <c r="BR488" i="25"/>
  <c r="BR489" i="25"/>
  <c r="BS482" i="25"/>
  <c r="BS483" i="25"/>
  <c r="BS484" i="25"/>
  <c r="BS485" i="25"/>
  <c r="BS486" i="25"/>
  <c r="BS487" i="25"/>
  <c r="BS488" i="25"/>
  <c r="BS489" i="25"/>
  <c r="BT482" i="25"/>
  <c r="BT483" i="25"/>
  <c r="BT484" i="25"/>
  <c r="BT485" i="25"/>
  <c r="BT486" i="25"/>
  <c r="BT487" i="25"/>
  <c r="BT488" i="25"/>
  <c r="BT489" i="25"/>
  <c r="BU482" i="25"/>
  <c r="BU483" i="25"/>
  <c r="BU484" i="25"/>
  <c r="BU485" i="25"/>
  <c r="BU486" i="25"/>
  <c r="BU487" i="25"/>
  <c r="BU488" i="25"/>
  <c r="BU489" i="25"/>
  <c r="BV482" i="25"/>
  <c r="BV483" i="25"/>
  <c r="BV484" i="25"/>
  <c r="BV485" i="25"/>
  <c r="BV486" i="25"/>
  <c r="BV487" i="25"/>
  <c r="BV488" i="25"/>
  <c r="BV489" i="25"/>
  <c r="BW482" i="25"/>
  <c r="BW483" i="25"/>
  <c r="BW484" i="25"/>
  <c r="BW485" i="25"/>
  <c r="BW486" i="25"/>
  <c r="BW487" i="25"/>
  <c r="BW488" i="25"/>
  <c r="BW489" i="25"/>
  <c r="G22" i="89"/>
  <c r="G26" i="89"/>
  <c r="G23" i="89"/>
  <c r="BB483" i="25" l="1"/>
  <c r="AT482" i="25"/>
  <c r="AW482" i="25" s="1"/>
  <c r="AX482" i="25" s="1"/>
  <c r="AT485" i="25"/>
  <c r="AW485" i="25" s="1"/>
  <c r="AX485" i="25" s="1"/>
  <c r="BF485" i="25"/>
  <c r="BB487" i="25"/>
  <c r="BO487" i="25"/>
  <c r="BI487" i="25" s="1"/>
  <c r="BJ487" i="25" s="1"/>
  <c r="BK487" i="25" s="1"/>
  <c r="AT486" i="25"/>
  <c r="AW486" i="25" s="1"/>
  <c r="AX486" i="25" s="1"/>
  <c r="AU484" i="25"/>
  <c r="AV484" i="25" s="1"/>
  <c r="AY484" i="25" s="1"/>
  <c r="AT484" i="25"/>
  <c r="AW484" i="25" s="1"/>
  <c r="AX484" i="25" s="1"/>
  <c r="BF489" i="25"/>
  <c r="AT488" i="25"/>
  <c r="AW488" i="25" s="1"/>
  <c r="AX488" i="25" s="1"/>
  <c r="BB488" i="25"/>
  <c r="BO486" i="25"/>
  <c r="BI486" i="25" s="1"/>
  <c r="BJ486" i="25" s="1"/>
  <c r="BK486" i="25" s="1"/>
  <c r="BO483" i="25"/>
  <c r="BI483" i="25" s="1"/>
  <c r="BJ483" i="25" s="1"/>
  <c r="BK483" i="25" s="1"/>
  <c r="BO482" i="25"/>
  <c r="BI482" i="25" s="1"/>
  <c r="BJ482" i="25" s="1"/>
  <c r="BK482" i="25" s="1"/>
  <c r="AT483" i="25"/>
  <c r="AW483" i="25" s="1"/>
  <c r="AX483" i="25" s="1"/>
  <c r="AQ488" i="25"/>
  <c r="AU488" i="25" s="1"/>
  <c r="AV488" i="25" s="1"/>
  <c r="AY488" i="25" s="1"/>
  <c r="AU487" i="25"/>
  <c r="AV487" i="25" s="1"/>
  <c r="AY487" i="25" s="1"/>
  <c r="AU486" i="25"/>
  <c r="AV486" i="25" s="1"/>
  <c r="AY486" i="25" s="1"/>
  <c r="BO488" i="25"/>
  <c r="BI488" i="25" s="1"/>
  <c r="BJ488" i="25" s="1"/>
  <c r="BK488" i="25" s="1"/>
  <c r="BO484" i="25"/>
  <c r="BI484" i="25" s="1"/>
  <c r="BJ484" i="25" s="1"/>
  <c r="BK484" i="25" s="1"/>
  <c r="BO485" i="25"/>
  <c r="BI485" i="25" s="1"/>
  <c r="BJ485" i="25" s="1"/>
  <c r="BK485" i="25" s="1"/>
  <c r="AS482" i="25"/>
  <c r="AU482" i="25" s="1"/>
  <c r="AV482" i="25" s="1"/>
  <c r="AY482" i="25" s="1"/>
  <c r="AU489" i="25"/>
  <c r="AV489" i="25" s="1"/>
  <c r="AY489" i="25" s="1"/>
  <c r="BO489" i="25"/>
  <c r="BI489" i="25" s="1"/>
  <c r="BJ489" i="25" s="1"/>
  <c r="BK489" i="25" s="1"/>
  <c r="AU483" i="25"/>
  <c r="AV483" i="25" s="1"/>
  <c r="AY483" i="25" s="1"/>
  <c r="BB484" i="25"/>
  <c r="AS485" i="25"/>
  <c r="AU485" i="25" s="1"/>
  <c r="AV485" i="25" s="1"/>
  <c r="AY485" i="25" s="1"/>
  <c r="BL488" i="25"/>
  <c r="BF486" i="25"/>
  <c r="BB482" i="25"/>
  <c r="AT489" i="25"/>
  <c r="AW489" i="25" s="1"/>
  <c r="AX489" i="25" s="1"/>
  <c r="BL486" i="25"/>
  <c r="AT487" i="25"/>
  <c r="AW487" i="25" s="1"/>
  <c r="AX487" i="25" s="1"/>
  <c r="G397" i="25" l="1"/>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6" i="25"/>
  <c r="G477" i="25"/>
  <c r="G478" i="25"/>
  <c r="G479" i="25"/>
  <c r="G480" i="25"/>
  <c r="G481" i="25"/>
  <c r="AP402" i="25"/>
  <c r="AP403" i="25"/>
  <c r="AQ403" i="25" s="1"/>
  <c r="AP404" i="25"/>
  <c r="AQ404" i="25" s="1"/>
  <c r="AP405" i="25"/>
  <c r="AQ405" i="25" s="1"/>
  <c r="AP406" i="25"/>
  <c r="AQ406" i="25" s="1"/>
  <c r="AP407" i="25"/>
  <c r="AQ407" i="25" s="1"/>
  <c r="AP408" i="25"/>
  <c r="AQ408" i="25" s="1"/>
  <c r="AP409" i="25"/>
  <c r="AP410" i="25"/>
  <c r="AQ410" i="25" s="1"/>
  <c r="AP411" i="25"/>
  <c r="AP412" i="25"/>
  <c r="AQ412" i="25" s="1"/>
  <c r="AP413" i="25"/>
  <c r="AQ413" i="25" s="1"/>
  <c r="AP414" i="25"/>
  <c r="AQ414" i="25" s="1"/>
  <c r="AP415" i="25"/>
  <c r="AQ415" i="25" s="1"/>
  <c r="AP416" i="25"/>
  <c r="AQ416" i="25" s="1"/>
  <c r="AP417" i="25"/>
  <c r="AP418" i="25"/>
  <c r="AP419" i="25"/>
  <c r="AP420" i="25"/>
  <c r="AQ420" i="25" s="1"/>
  <c r="AP421" i="25"/>
  <c r="AQ421" i="25" s="1"/>
  <c r="AP422" i="25"/>
  <c r="AQ422" i="25" s="1"/>
  <c r="AP423" i="25"/>
  <c r="AQ423" i="25" s="1"/>
  <c r="AP424" i="25"/>
  <c r="AQ424" i="25" s="1"/>
  <c r="AP425" i="25"/>
  <c r="AP426" i="25"/>
  <c r="AQ426" i="25" s="1"/>
  <c r="AP427" i="25"/>
  <c r="AP428" i="25"/>
  <c r="AP429" i="25"/>
  <c r="AQ429" i="25" s="1"/>
  <c r="AP430" i="25"/>
  <c r="AQ430" i="25" s="1"/>
  <c r="AP431" i="25"/>
  <c r="AQ431" i="25" s="1"/>
  <c r="AP432" i="25"/>
  <c r="AQ432" i="25" s="1"/>
  <c r="AP433" i="25"/>
  <c r="AP434" i="25"/>
  <c r="AQ434" i="25" s="1"/>
  <c r="AP435" i="25"/>
  <c r="AQ435" i="25" s="1"/>
  <c r="AP436" i="25"/>
  <c r="AP437" i="25"/>
  <c r="AQ437" i="25" s="1"/>
  <c r="AP438" i="25"/>
  <c r="AQ438" i="25" s="1"/>
  <c r="AP439" i="25"/>
  <c r="AQ439" i="25" s="1"/>
  <c r="AP440" i="25"/>
  <c r="AQ440" i="25" s="1"/>
  <c r="AP441" i="25"/>
  <c r="AP442" i="25"/>
  <c r="AQ442" i="25" s="1"/>
  <c r="AP443" i="25"/>
  <c r="AQ443" i="25" s="1"/>
  <c r="AP444" i="25"/>
  <c r="AQ444" i="25" s="1"/>
  <c r="AP445" i="25"/>
  <c r="AQ445" i="25" s="1"/>
  <c r="AP446" i="25"/>
  <c r="AQ446" i="25" s="1"/>
  <c r="AP447" i="25"/>
  <c r="AQ447" i="25" s="1"/>
  <c r="AP448" i="25"/>
  <c r="AQ448" i="25" s="1"/>
  <c r="AP449" i="25"/>
  <c r="AQ449" i="25" s="1"/>
  <c r="AP450" i="25"/>
  <c r="AQ450" i="25" s="1"/>
  <c r="AP451" i="25"/>
  <c r="AQ451" i="25" s="1"/>
  <c r="AP452" i="25"/>
  <c r="AQ452" i="25" s="1"/>
  <c r="AP453" i="25"/>
  <c r="AQ453" i="25" s="1"/>
  <c r="AP454" i="25"/>
  <c r="AQ454" i="25" s="1"/>
  <c r="AP455" i="25"/>
  <c r="AQ455" i="25" s="1"/>
  <c r="AP456" i="25"/>
  <c r="AQ456" i="25" s="1"/>
  <c r="AP457" i="25"/>
  <c r="AQ457" i="25" s="1"/>
  <c r="AP458" i="25"/>
  <c r="AQ458" i="25" s="1"/>
  <c r="AP459" i="25"/>
  <c r="AQ459" i="25" s="1"/>
  <c r="AP460" i="25"/>
  <c r="AQ460" i="25" s="1"/>
  <c r="AP461" i="25"/>
  <c r="AQ461" i="25" s="1"/>
  <c r="AP462" i="25"/>
  <c r="AQ462" i="25" s="1"/>
  <c r="AP463" i="25"/>
  <c r="AQ463" i="25" s="1"/>
  <c r="AP464" i="25"/>
  <c r="AQ464" i="25" s="1"/>
  <c r="AP465" i="25"/>
  <c r="AQ465" i="25" s="1"/>
  <c r="AP466" i="25"/>
  <c r="AQ466" i="25" s="1"/>
  <c r="AP467" i="25"/>
  <c r="AQ467" i="25" s="1"/>
  <c r="AP468" i="25"/>
  <c r="AQ468" i="25" s="1"/>
  <c r="AP469" i="25"/>
  <c r="AQ469" i="25" s="1"/>
  <c r="AP470" i="25"/>
  <c r="AQ470" i="25" s="1"/>
  <c r="AP471" i="25"/>
  <c r="AQ471" i="25" s="1"/>
  <c r="AP472" i="25"/>
  <c r="AQ472" i="25" s="1"/>
  <c r="AP473" i="25"/>
  <c r="AQ473" i="25" s="1"/>
  <c r="AP474" i="25"/>
  <c r="AQ474" i="25" s="1"/>
  <c r="AP475" i="25"/>
  <c r="AQ475" i="25" s="1"/>
  <c r="AP476" i="25"/>
  <c r="AQ476" i="25" s="1"/>
  <c r="AP477" i="25"/>
  <c r="AQ477" i="25" s="1"/>
  <c r="AP478" i="25"/>
  <c r="AQ478" i="25" s="1"/>
  <c r="AP479" i="25"/>
  <c r="AQ479" i="25" s="1"/>
  <c r="AP480" i="25"/>
  <c r="AQ480" i="25" s="1"/>
  <c r="AP481" i="25"/>
  <c r="AQ481" i="25" s="1"/>
  <c r="AR402" i="25"/>
  <c r="AS402" i="25" s="1"/>
  <c r="AR403" i="25"/>
  <c r="AR404" i="25"/>
  <c r="AS404" i="25" s="1"/>
  <c r="AR405" i="25"/>
  <c r="AS405" i="25" s="1"/>
  <c r="AR406" i="25"/>
  <c r="AS406" i="25" s="1"/>
  <c r="AR407" i="25"/>
  <c r="AR408" i="25"/>
  <c r="AR409" i="25"/>
  <c r="AS409" i="25" s="1"/>
  <c r="AR410" i="25"/>
  <c r="AR411" i="25"/>
  <c r="AS411" i="25" s="1"/>
  <c r="AR412" i="25"/>
  <c r="AR413" i="25"/>
  <c r="AR414" i="25"/>
  <c r="AS414" i="25" s="1"/>
  <c r="AR415" i="25"/>
  <c r="AR416" i="25"/>
  <c r="AS416" i="25" s="1"/>
  <c r="AR417" i="25"/>
  <c r="AS417" i="25" s="1"/>
  <c r="AR418" i="25"/>
  <c r="AS418" i="25" s="1"/>
  <c r="AR419" i="25"/>
  <c r="AS419" i="25" s="1"/>
  <c r="AR420" i="25"/>
  <c r="AS420" i="25" s="1"/>
  <c r="AR421" i="25"/>
  <c r="AS421" i="25" s="1"/>
  <c r="AR422" i="25"/>
  <c r="AS422" i="25" s="1"/>
  <c r="AR423" i="25"/>
  <c r="AR424" i="25"/>
  <c r="AR425" i="25"/>
  <c r="AS425" i="25" s="1"/>
  <c r="AR426" i="25"/>
  <c r="AS426" i="25" s="1"/>
  <c r="AR427" i="25"/>
  <c r="AS427" i="25" s="1"/>
  <c r="AR428" i="25"/>
  <c r="AS428" i="25" s="1"/>
  <c r="AR429" i="25"/>
  <c r="AS429" i="25" s="1"/>
  <c r="AR430" i="25"/>
  <c r="AS430" i="25" s="1"/>
  <c r="AR431" i="25"/>
  <c r="AR432" i="25"/>
  <c r="AR433" i="25"/>
  <c r="AS433" i="25" s="1"/>
  <c r="AR434" i="25"/>
  <c r="AS434" i="25" s="1"/>
  <c r="AR435" i="25"/>
  <c r="AS435" i="25" s="1"/>
  <c r="AR436" i="25"/>
  <c r="AS436" i="25" s="1"/>
  <c r="AR437" i="25"/>
  <c r="AS437" i="25" s="1"/>
  <c r="AR438" i="25"/>
  <c r="AS438" i="25" s="1"/>
  <c r="AR439" i="25"/>
  <c r="AR440" i="25"/>
  <c r="AR441" i="25"/>
  <c r="AS441" i="25" s="1"/>
  <c r="AR442" i="25"/>
  <c r="AS442" i="25" s="1"/>
  <c r="AR443" i="25"/>
  <c r="AS443" i="25" s="1"/>
  <c r="AR444" i="25"/>
  <c r="AS444" i="25" s="1"/>
  <c r="AR445" i="25"/>
  <c r="AS445" i="25" s="1"/>
  <c r="AR446" i="25"/>
  <c r="AS446" i="25" s="1"/>
  <c r="AR447" i="25"/>
  <c r="AR448" i="25"/>
  <c r="AR449" i="25"/>
  <c r="AS449" i="25" s="1"/>
  <c r="AR450" i="25"/>
  <c r="AS450" i="25" s="1"/>
  <c r="AR451" i="25"/>
  <c r="AS451" i="25" s="1"/>
  <c r="AR452" i="25"/>
  <c r="AS452" i="25" s="1"/>
  <c r="AR453" i="25"/>
  <c r="AR454" i="25"/>
  <c r="AR455" i="25"/>
  <c r="AR456" i="25"/>
  <c r="AR457" i="25"/>
  <c r="AS457" i="25" s="1"/>
  <c r="AR458" i="25"/>
  <c r="AS458" i="25" s="1"/>
  <c r="AR459" i="25"/>
  <c r="AS459" i="25" s="1"/>
  <c r="AR460" i="25"/>
  <c r="AS460" i="25" s="1"/>
  <c r="AR461" i="25"/>
  <c r="AR462" i="25"/>
  <c r="AR463" i="25"/>
  <c r="AR464" i="25"/>
  <c r="AS464" i="25" s="1"/>
  <c r="AR465" i="25"/>
  <c r="AS465" i="25" s="1"/>
  <c r="AR466" i="25"/>
  <c r="AS466" i="25" s="1"/>
  <c r="AR467" i="25"/>
  <c r="AS467" i="25" s="1"/>
  <c r="AR468" i="25"/>
  <c r="AR469" i="25"/>
  <c r="AS469" i="25" s="1"/>
  <c r="AR470" i="25"/>
  <c r="AR471" i="25"/>
  <c r="AR472" i="25"/>
  <c r="AS472" i="25" s="1"/>
  <c r="AR473" i="25"/>
  <c r="AR474" i="25"/>
  <c r="AS474" i="25" s="1"/>
  <c r="AR475" i="25"/>
  <c r="AR476" i="25"/>
  <c r="AR477" i="25"/>
  <c r="AR478" i="25"/>
  <c r="AR479" i="25"/>
  <c r="AR480" i="25"/>
  <c r="AS480" i="25" s="1"/>
  <c r="AR481" i="25"/>
  <c r="AZ402" i="25"/>
  <c r="AZ403" i="25"/>
  <c r="AZ404" i="25"/>
  <c r="AZ405" i="25"/>
  <c r="AZ406" i="25"/>
  <c r="AZ407" i="25"/>
  <c r="AZ408" i="25"/>
  <c r="AZ409" i="25"/>
  <c r="AZ410" i="25"/>
  <c r="AZ411" i="25"/>
  <c r="AZ412" i="25"/>
  <c r="AZ413" i="25"/>
  <c r="AZ414" i="25"/>
  <c r="AZ415" i="25"/>
  <c r="AZ416" i="25"/>
  <c r="AZ417" i="25"/>
  <c r="AZ418" i="25"/>
  <c r="AZ419" i="25"/>
  <c r="AZ420" i="25"/>
  <c r="AZ421" i="25"/>
  <c r="AZ422" i="25"/>
  <c r="AZ423" i="25"/>
  <c r="AZ424" i="25"/>
  <c r="AZ425" i="25"/>
  <c r="AZ426" i="25"/>
  <c r="AZ427" i="25"/>
  <c r="AZ428" i="25"/>
  <c r="AZ429" i="25"/>
  <c r="AZ430" i="25"/>
  <c r="AZ431" i="25"/>
  <c r="AZ432" i="25"/>
  <c r="AZ433" i="25"/>
  <c r="AZ434" i="25"/>
  <c r="AZ435" i="25"/>
  <c r="AZ436" i="25"/>
  <c r="AZ437" i="25"/>
  <c r="AZ438" i="25"/>
  <c r="AZ439" i="25"/>
  <c r="AZ440" i="25"/>
  <c r="AZ441" i="25"/>
  <c r="AZ442" i="25"/>
  <c r="AZ443" i="25"/>
  <c r="AZ444" i="25"/>
  <c r="AZ445" i="25"/>
  <c r="AZ446" i="25"/>
  <c r="AZ447" i="25"/>
  <c r="AZ448" i="25"/>
  <c r="AZ449" i="25"/>
  <c r="AZ450" i="25"/>
  <c r="AZ451" i="25"/>
  <c r="AZ452" i="25"/>
  <c r="AZ453" i="25"/>
  <c r="AZ454" i="25"/>
  <c r="AZ455" i="25"/>
  <c r="AZ456" i="25"/>
  <c r="AZ457" i="25"/>
  <c r="AZ458" i="25"/>
  <c r="AZ459" i="25"/>
  <c r="AZ460" i="25"/>
  <c r="AZ461" i="25"/>
  <c r="AZ462" i="25"/>
  <c r="AZ463" i="25"/>
  <c r="AZ464" i="25"/>
  <c r="AZ465" i="25"/>
  <c r="AZ466" i="25"/>
  <c r="AZ467" i="25"/>
  <c r="AZ468" i="25"/>
  <c r="AZ469" i="25"/>
  <c r="AZ470" i="25"/>
  <c r="AZ471" i="25"/>
  <c r="AZ472" i="25"/>
  <c r="AZ473" i="25"/>
  <c r="AZ474" i="25"/>
  <c r="AZ475" i="25"/>
  <c r="AZ476" i="25"/>
  <c r="AZ477" i="25"/>
  <c r="AZ478" i="25"/>
  <c r="AZ479" i="25"/>
  <c r="AZ480" i="25"/>
  <c r="AZ481" i="25"/>
  <c r="BA402" i="25"/>
  <c r="BB402" i="25" s="1"/>
  <c r="BA403" i="25"/>
  <c r="BF403" i="25" s="1"/>
  <c r="BA404" i="25"/>
  <c r="BB404" i="25" s="1"/>
  <c r="BA405" i="25"/>
  <c r="BF405" i="25" s="1"/>
  <c r="BA406" i="25"/>
  <c r="BA407" i="25"/>
  <c r="BB407" i="25" s="1"/>
  <c r="BA408" i="25"/>
  <c r="BF408" i="25" s="1"/>
  <c r="BA409" i="25"/>
  <c r="BF409" i="25" s="1"/>
  <c r="BA410" i="25"/>
  <c r="BB410" i="25" s="1"/>
  <c r="BA411" i="25"/>
  <c r="BB411" i="25" s="1"/>
  <c r="BA412" i="25"/>
  <c r="BB412" i="25" s="1"/>
  <c r="BA413" i="25"/>
  <c r="BF413" i="25" s="1"/>
  <c r="BA414" i="25"/>
  <c r="BA415" i="25"/>
  <c r="BF415" i="25" s="1"/>
  <c r="BA416" i="25"/>
  <c r="BF416" i="25" s="1"/>
  <c r="BA417" i="25"/>
  <c r="BB417" i="25" s="1"/>
  <c r="BA418" i="25"/>
  <c r="BB418" i="25" s="1"/>
  <c r="BA419" i="25"/>
  <c r="BF419" i="25" s="1"/>
  <c r="BA420" i="25"/>
  <c r="BB420" i="25" s="1"/>
  <c r="BA421" i="25"/>
  <c r="BF421" i="25" s="1"/>
  <c r="BA422" i="25"/>
  <c r="BA423" i="25"/>
  <c r="BB423" i="25" s="1"/>
  <c r="BA424" i="25"/>
  <c r="BF424" i="25" s="1"/>
  <c r="BA425" i="25"/>
  <c r="BF425" i="25" s="1"/>
  <c r="BA426" i="25"/>
  <c r="BB426" i="25" s="1"/>
  <c r="BA427" i="25"/>
  <c r="BF427" i="25" s="1"/>
  <c r="BA428" i="25"/>
  <c r="BB428" i="25" s="1"/>
  <c r="BA429" i="25"/>
  <c r="BF429" i="25" s="1"/>
  <c r="BA430" i="25"/>
  <c r="BA431" i="25"/>
  <c r="BF431" i="25" s="1"/>
  <c r="BA432" i="25"/>
  <c r="BB432" i="25" s="1"/>
  <c r="BA433" i="25"/>
  <c r="BB433" i="25" s="1"/>
  <c r="BA434" i="25"/>
  <c r="BB434" i="25" s="1"/>
  <c r="BA435" i="25"/>
  <c r="BF435" i="25" s="1"/>
  <c r="BA436" i="25"/>
  <c r="BB436" i="25" s="1"/>
  <c r="BA437" i="25"/>
  <c r="BF437" i="25" s="1"/>
  <c r="BA438" i="25"/>
  <c r="BA439" i="25"/>
  <c r="BB439" i="25" s="1"/>
  <c r="BA440" i="25"/>
  <c r="BB440" i="25" s="1"/>
  <c r="BA441" i="25"/>
  <c r="BF441" i="25" s="1"/>
  <c r="BA442" i="25"/>
  <c r="BF442" i="25" s="1"/>
  <c r="BA443" i="25"/>
  <c r="BB443" i="25" s="1"/>
  <c r="BA444" i="25"/>
  <c r="BB444" i="25" s="1"/>
  <c r="BA445" i="25"/>
  <c r="BF445" i="25" s="1"/>
  <c r="BA446" i="25"/>
  <c r="BA447" i="25"/>
  <c r="BF447" i="25" s="1"/>
  <c r="BA448" i="25"/>
  <c r="BB448" i="25" s="1"/>
  <c r="BA449" i="25"/>
  <c r="BB449" i="25" s="1"/>
  <c r="BA450" i="25"/>
  <c r="BB450" i="25" s="1"/>
  <c r="BA451" i="25"/>
  <c r="BB451" i="25" s="1"/>
  <c r="BA452" i="25"/>
  <c r="BB452" i="25" s="1"/>
  <c r="BA453" i="25"/>
  <c r="BF453" i="25" s="1"/>
  <c r="BA454" i="25"/>
  <c r="BA455" i="25"/>
  <c r="BB455" i="25" s="1"/>
  <c r="BA456" i="25"/>
  <c r="BB456" i="25" s="1"/>
  <c r="BA457" i="25"/>
  <c r="BB457" i="25" s="1"/>
  <c r="BA458" i="25"/>
  <c r="BB458" i="25" s="1"/>
  <c r="BA459" i="25"/>
  <c r="BF459" i="25" s="1"/>
  <c r="BA460" i="25"/>
  <c r="BB460" i="25" s="1"/>
  <c r="BA461" i="25"/>
  <c r="BF461" i="25" s="1"/>
  <c r="BA462" i="25"/>
  <c r="BA463" i="25"/>
  <c r="BB463" i="25" s="1"/>
  <c r="BA464" i="25"/>
  <c r="BF464" i="25" s="1"/>
  <c r="BA465" i="25"/>
  <c r="BB465" i="25" s="1"/>
  <c r="BA466" i="25"/>
  <c r="BF466" i="25" s="1"/>
  <c r="BA467" i="25"/>
  <c r="BB467" i="25" s="1"/>
  <c r="BA468" i="25"/>
  <c r="BB468" i="25" s="1"/>
  <c r="BA469" i="25"/>
  <c r="BA470" i="25"/>
  <c r="BB470" i="25" s="1"/>
  <c r="BA471" i="25"/>
  <c r="BB471" i="25" s="1"/>
  <c r="BA472" i="25"/>
  <c r="BF472" i="25" s="1"/>
  <c r="BA473" i="25"/>
  <c r="BB473" i="25" s="1"/>
  <c r="BA474" i="25"/>
  <c r="BB474" i="25" s="1"/>
  <c r="BA475" i="25"/>
  <c r="BB475" i="25" s="1"/>
  <c r="BA476" i="25"/>
  <c r="BB476" i="25" s="1"/>
  <c r="BA477" i="25"/>
  <c r="BB477" i="25" s="1"/>
  <c r="BA478" i="25"/>
  <c r="BF478" i="25" s="1"/>
  <c r="BA479" i="25"/>
  <c r="BB479" i="25" s="1"/>
  <c r="BA480" i="25"/>
  <c r="BB480" i="25" s="1"/>
  <c r="BA481" i="25"/>
  <c r="BB481" i="25" s="1"/>
  <c r="BC402" i="25"/>
  <c r="BC403" i="25"/>
  <c r="BC404" i="25"/>
  <c r="BC405" i="25"/>
  <c r="BC406" i="25"/>
  <c r="BC407" i="25"/>
  <c r="BC408" i="25"/>
  <c r="BC409" i="25"/>
  <c r="BC410" i="25"/>
  <c r="BC411" i="25"/>
  <c r="BC412" i="25"/>
  <c r="BC413" i="25"/>
  <c r="BC414" i="25"/>
  <c r="BC415" i="25"/>
  <c r="BC416" i="25"/>
  <c r="BC417" i="25"/>
  <c r="BC418" i="25"/>
  <c r="BC419" i="25"/>
  <c r="BC420" i="25"/>
  <c r="BC421" i="25"/>
  <c r="BC422" i="25"/>
  <c r="BC423" i="25"/>
  <c r="BC424" i="25"/>
  <c r="BC425" i="25"/>
  <c r="BC426" i="25"/>
  <c r="BC427" i="25"/>
  <c r="BC428" i="25"/>
  <c r="BC429" i="25"/>
  <c r="BC430" i="25"/>
  <c r="BC431" i="25"/>
  <c r="BC432" i="25"/>
  <c r="BC433" i="25"/>
  <c r="BC434" i="25"/>
  <c r="BC435" i="25"/>
  <c r="BC436" i="25"/>
  <c r="BC437" i="25"/>
  <c r="BC438" i="25"/>
  <c r="BC439" i="25"/>
  <c r="BC440" i="25"/>
  <c r="BC441" i="25"/>
  <c r="BC442" i="25"/>
  <c r="BC443" i="25"/>
  <c r="BC444" i="25"/>
  <c r="BC445" i="25"/>
  <c r="BC446" i="25"/>
  <c r="BC447" i="25"/>
  <c r="BC448" i="25"/>
  <c r="BC449" i="25"/>
  <c r="BC450" i="25"/>
  <c r="BC451" i="25"/>
  <c r="BC452" i="25"/>
  <c r="BC453" i="25"/>
  <c r="BC454" i="25"/>
  <c r="BC455" i="25"/>
  <c r="BC456" i="25"/>
  <c r="BC457" i="25"/>
  <c r="BC458" i="25"/>
  <c r="BC459" i="25"/>
  <c r="BC460" i="25"/>
  <c r="BC461" i="25"/>
  <c r="BC462" i="25"/>
  <c r="BC463" i="25"/>
  <c r="BC464" i="25"/>
  <c r="BC465" i="25"/>
  <c r="BC466" i="25"/>
  <c r="BC467" i="25"/>
  <c r="BC468" i="25"/>
  <c r="BC469" i="25"/>
  <c r="BC470" i="25"/>
  <c r="BC471" i="25"/>
  <c r="BC472" i="25"/>
  <c r="BC473" i="25"/>
  <c r="BC474" i="25"/>
  <c r="BC475" i="25"/>
  <c r="BC476" i="25"/>
  <c r="BC477" i="25"/>
  <c r="BC478" i="25"/>
  <c r="BC479" i="25"/>
  <c r="BC480" i="25"/>
  <c r="BC481" i="25"/>
  <c r="BD402" i="25"/>
  <c r="BE402" i="25" s="1"/>
  <c r="BD403" i="25"/>
  <c r="BE403" i="25" s="1"/>
  <c r="BD404" i="25"/>
  <c r="BE404" i="25" s="1"/>
  <c r="BD405" i="25"/>
  <c r="BE405" i="25" s="1"/>
  <c r="BD406" i="25"/>
  <c r="BE406" i="25" s="1"/>
  <c r="BD407" i="25"/>
  <c r="BE407" i="25" s="1"/>
  <c r="BD408" i="25"/>
  <c r="BE408" i="25" s="1"/>
  <c r="BD409" i="25"/>
  <c r="BE409" i="25" s="1"/>
  <c r="BD410" i="25"/>
  <c r="BE410" i="25" s="1"/>
  <c r="BD411" i="25"/>
  <c r="BE411" i="25" s="1"/>
  <c r="BD412" i="25"/>
  <c r="BE412" i="25" s="1"/>
  <c r="BD413" i="25"/>
  <c r="BE413" i="25" s="1"/>
  <c r="BD414" i="25"/>
  <c r="BE414" i="25" s="1"/>
  <c r="BD415" i="25"/>
  <c r="BE415" i="25" s="1"/>
  <c r="BD416" i="25"/>
  <c r="BE416" i="25" s="1"/>
  <c r="BD417" i="25"/>
  <c r="BE417" i="25" s="1"/>
  <c r="BD418" i="25"/>
  <c r="BE418" i="25" s="1"/>
  <c r="BD419" i="25"/>
  <c r="BE419" i="25" s="1"/>
  <c r="BD420" i="25"/>
  <c r="BE420" i="25" s="1"/>
  <c r="BD421" i="25"/>
  <c r="BE421" i="25" s="1"/>
  <c r="BD422" i="25"/>
  <c r="BE422" i="25" s="1"/>
  <c r="BD423" i="25"/>
  <c r="BE423" i="25" s="1"/>
  <c r="BD424" i="25"/>
  <c r="BE424" i="25" s="1"/>
  <c r="BD425" i="25"/>
  <c r="BE425" i="25" s="1"/>
  <c r="BD426" i="25"/>
  <c r="BE426" i="25" s="1"/>
  <c r="BD427" i="25"/>
  <c r="BE427" i="25" s="1"/>
  <c r="BD428" i="25"/>
  <c r="BE428" i="25" s="1"/>
  <c r="BD429" i="25"/>
  <c r="BE429" i="25" s="1"/>
  <c r="BD430" i="25"/>
  <c r="BE430" i="25" s="1"/>
  <c r="BD431" i="25"/>
  <c r="BE431" i="25" s="1"/>
  <c r="BD432" i="25"/>
  <c r="BE432" i="25" s="1"/>
  <c r="BD433" i="25"/>
  <c r="BE433" i="25" s="1"/>
  <c r="BD434" i="25"/>
  <c r="BE434" i="25" s="1"/>
  <c r="BD435" i="25"/>
  <c r="BE435" i="25" s="1"/>
  <c r="BD436" i="25"/>
  <c r="BE436" i="25" s="1"/>
  <c r="BD437" i="25"/>
  <c r="BE437" i="25" s="1"/>
  <c r="BD438" i="25"/>
  <c r="BE438" i="25" s="1"/>
  <c r="BD439" i="25"/>
  <c r="BE439" i="25" s="1"/>
  <c r="BD440" i="25"/>
  <c r="BE440" i="25" s="1"/>
  <c r="BD441" i="25"/>
  <c r="BE441" i="25" s="1"/>
  <c r="BD442" i="25"/>
  <c r="BE442" i="25" s="1"/>
  <c r="BD443" i="25"/>
  <c r="BE443" i="25" s="1"/>
  <c r="BD444" i="25"/>
  <c r="BE444" i="25" s="1"/>
  <c r="BD445" i="25"/>
  <c r="BE445" i="25" s="1"/>
  <c r="BD446" i="25"/>
  <c r="BE446" i="25" s="1"/>
  <c r="BD447" i="25"/>
  <c r="BE447" i="25" s="1"/>
  <c r="BD448" i="25"/>
  <c r="BE448" i="25" s="1"/>
  <c r="BD449" i="25"/>
  <c r="BE449" i="25" s="1"/>
  <c r="BD450" i="25"/>
  <c r="BE450" i="25" s="1"/>
  <c r="BD451" i="25"/>
  <c r="BE451" i="25" s="1"/>
  <c r="BD452" i="25"/>
  <c r="BE452" i="25" s="1"/>
  <c r="BD453" i="25"/>
  <c r="BE453" i="25" s="1"/>
  <c r="BD454" i="25"/>
  <c r="BE454" i="25" s="1"/>
  <c r="BD455" i="25"/>
  <c r="BE455" i="25" s="1"/>
  <c r="BD456" i="25"/>
  <c r="BE456" i="25" s="1"/>
  <c r="BD457" i="25"/>
  <c r="BE457" i="25" s="1"/>
  <c r="BD458" i="25"/>
  <c r="BE458" i="25" s="1"/>
  <c r="BD459" i="25"/>
  <c r="BE459" i="25" s="1"/>
  <c r="BD460" i="25"/>
  <c r="BE460" i="25" s="1"/>
  <c r="BD461" i="25"/>
  <c r="BE461" i="25" s="1"/>
  <c r="BD462" i="25"/>
  <c r="BE462" i="25" s="1"/>
  <c r="BD463" i="25"/>
  <c r="BE463" i="25" s="1"/>
  <c r="BD464" i="25"/>
  <c r="BE464" i="25" s="1"/>
  <c r="BD465" i="25"/>
  <c r="BE465" i="25" s="1"/>
  <c r="BD466" i="25"/>
  <c r="BE466" i="25" s="1"/>
  <c r="BD467" i="25"/>
  <c r="BE467" i="25" s="1"/>
  <c r="BD468" i="25"/>
  <c r="BE468" i="25" s="1"/>
  <c r="BD469" i="25"/>
  <c r="BE469" i="25" s="1"/>
  <c r="BD470" i="25"/>
  <c r="BE470" i="25" s="1"/>
  <c r="BD471" i="25"/>
  <c r="BE471" i="25" s="1"/>
  <c r="BD472" i="25"/>
  <c r="BE472" i="25" s="1"/>
  <c r="BD473" i="25"/>
  <c r="BE473" i="25" s="1"/>
  <c r="BD474" i="25"/>
  <c r="BE474" i="25" s="1"/>
  <c r="BD475" i="25"/>
  <c r="BE475" i="25" s="1"/>
  <c r="BD476" i="25"/>
  <c r="BE476" i="25" s="1"/>
  <c r="BD477" i="25"/>
  <c r="BE477" i="25" s="1"/>
  <c r="BD478" i="25"/>
  <c r="BE478" i="25" s="1"/>
  <c r="BD479" i="25"/>
  <c r="BE479" i="25" s="1"/>
  <c r="BD480" i="25"/>
  <c r="BE480" i="25" s="1"/>
  <c r="BD481" i="25"/>
  <c r="BE481" i="25" s="1"/>
  <c r="BG402" i="25"/>
  <c r="BL402" i="25" s="1"/>
  <c r="BG403" i="25"/>
  <c r="BL403" i="25" s="1"/>
  <c r="BG404" i="25"/>
  <c r="BG405" i="25"/>
  <c r="BL405" i="25" s="1"/>
  <c r="BG406" i="25"/>
  <c r="BL406" i="25" s="1"/>
  <c r="BG407" i="25"/>
  <c r="BL407" i="25" s="1"/>
  <c r="BG408" i="25"/>
  <c r="BL408" i="25" s="1"/>
  <c r="BG409" i="25"/>
  <c r="BL409" i="25" s="1"/>
  <c r="BG410" i="25"/>
  <c r="BL410" i="25" s="1"/>
  <c r="BG411" i="25"/>
  <c r="BL411" i="25" s="1"/>
  <c r="BG412" i="25"/>
  <c r="BG413" i="25"/>
  <c r="BL413" i="25" s="1"/>
  <c r="BG414" i="25"/>
  <c r="BL414" i="25" s="1"/>
  <c r="BG415" i="25"/>
  <c r="BL415" i="25" s="1"/>
  <c r="BG416" i="25"/>
  <c r="BL416" i="25" s="1"/>
  <c r="BG417" i="25"/>
  <c r="BL417" i="25" s="1"/>
  <c r="BG418" i="25"/>
  <c r="BL418" i="25" s="1"/>
  <c r="BG419" i="25"/>
  <c r="BL419" i="25" s="1"/>
  <c r="BG420" i="25"/>
  <c r="BG421" i="25"/>
  <c r="BL421" i="25" s="1"/>
  <c r="BG422" i="25"/>
  <c r="BL422" i="25" s="1"/>
  <c r="BG423" i="25"/>
  <c r="BL423" i="25" s="1"/>
  <c r="BG424" i="25"/>
  <c r="BL424" i="25" s="1"/>
  <c r="BG425" i="25"/>
  <c r="BL425" i="25" s="1"/>
  <c r="BG426" i="25"/>
  <c r="BL426" i="25" s="1"/>
  <c r="BG427" i="25"/>
  <c r="BL427" i="25" s="1"/>
  <c r="BG428" i="25"/>
  <c r="BG429" i="25"/>
  <c r="BL429" i="25" s="1"/>
  <c r="BG430" i="25"/>
  <c r="BL430" i="25" s="1"/>
  <c r="BG431" i="25"/>
  <c r="BL431" i="25" s="1"/>
  <c r="BG432" i="25"/>
  <c r="BL432" i="25" s="1"/>
  <c r="BG433" i="25"/>
  <c r="BL433" i="25" s="1"/>
  <c r="BG434" i="25"/>
  <c r="BL434" i="25" s="1"/>
  <c r="BG435" i="25"/>
  <c r="BL435" i="25" s="1"/>
  <c r="BG436" i="25"/>
  <c r="BG437" i="25"/>
  <c r="BL437" i="25" s="1"/>
  <c r="BG438" i="25"/>
  <c r="BL438" i="25" s="1"/>
  <c r="BG439" i="25"/>
  <c r="BL439" i="25" s="1"/>
  <c r="BG440" i="25"/>
  <c r="BL440" i="25" s="1"/>
  <c r="BG441" i="25"/>
  <c r="BL441" i="25" s="1"/>
  <c r="BG442" i="25"/>
  <c r="BL442" i="25" s="1"/>
  <c r="BG443" i="25"/>
  <c r="BL443" i="25" s="1"/>
  <c r="BG444" i="25"/>
  <c r="BG445" i="25"/>
  <c r="BL445" i="25" s="1"/>
  <c r="BG446" i="25"/>
  <c r="BL446" i="25" s="1"/>
  <c r="BG447" i="25"/>
  <c r="BL447" i="25" s="1"/>
  <c r="BG448" i="25"/>
  <c r="BL448" i="25" s="1"/>
  <c r="BG449" i="25"/>
  <c r="BL449" i="25" s="1"/>
  <c r="BG450" i="25"/>
  <c r="BL450" i="25" s="1"/>
  <c r="BG451" i="25"/>
  <c r="BL451" i="25" s="1"/>
  <c r="BG452" i="25"/>
  <c r="BG453" i="25"/>
  <c r="BL453" i="25" s="1"/>
  <c r="BG454" i="25"/>
  <c r="BL454" i="25" s="1"/>
  <c r="BG455" i="25"/>
  <c r="BL455" i="25" s="1"/>
  <c r="BG456" i="25"/>
  <c r="BL456" i="25" s="1"/>
  <c r="BG457" i="25"/>
  <c r="BL457" i="25" s="1"/>
  <c r="BG458" i="25"/>
  <c r="BL458" i="25" s="1"/>
  <c r="BG459" i="25"/>
  <c r="BL459" i="25" s="1"/>
  <c r="BG460" i="25"/>
  <c r="BG461" i="25"/>
  <c r="BL461" i="25" s="1"/>
  <c r="BG462" i="25"/>
  <c r="BL462" i="25" s="1"/>
  <c r="BG463" i="25"/>
  <c r="BL463" i="25" s="1"/>
  <c r="BG464" i="25"/>
  <c r="BL464" i="25" s="1"/>
  <c r="BG465" i="25"/>
  <c r="BL465" i="25" s="1"/>
  <c r="BG466" i="25"/>
  <c r="BL466" i="25" s="1"/>
  <c r="BG467" i="25"/>
  <c r="BG468" i="25"/>
  <c r="BL468" i="25" s="1"/>
  <c r="BG469" i="25"/>
  <c r="BL469" i="25" s="1"/>
  <c r="BG470" i="25"/>
  <c r="BL470" i="25" s="1"/>
  <c r="BG471" i="25"/>
  <c r="BL471" i="25" s="1"/>
  <c r="BG472" i="25"/>
  <c r="BL472" i="25" s="1"/>
  <c r="BG473" i="25"/>
  <c r="BL473" i="25" s="1"/>
  <c r="BG474" i="25"/>
  <c r="BL474" i="25" s="1"/>
  <c r="BG475" i="25"/>
  <c r="BG476" i="25"/>
  <c r="BL476" i="25" s="1"/>
  <c r="BG477" i="25"/>
  <c r="BL477" i="25" s="1"/>
  <c r="BG478" i="25"/>
  <c r="BL478" i="25" s="1"/>
  <c r="BG479" i="25"/>
  <c r="BL479" i="25" s="1"/>
  <c r="BG480" i="25"/>
  <c r="BL480" i="25" s="1"/>
  <c r="BG481" i="25"/>
  <c r="BL481" i="25" s="1"/>
  <c r="BH402" i="25"/>
  <c r="BH403" i="25"/>
  <c r="BH404" i="25"/>
  <c r="BH405" i="25"/>
  <c r="BH406" i="25"/>
  <c r="BH407" i="25"/>
  <c r="BH408" i="25"/>
  <c r="BH409" i="25"/>
  <c r="BH410" i="25"/>
  <c r="BH411" i="25"/>
  <c r="BH412" i="25"/>
  <c r="BH413" i="25"/>
  <c r="BH414" i="25"/>
  <c r="BH415" i="25"/>
  <c r="BH416" i="25"/>
  <c r="BH417" i="25"/>
  <c r="BH418" i="25"/>
  <c r="BH419" i="25"/>
  <c r="BH420" i="25"/>
  <c r="BH421" i="25"/>
  <c r="BH422" i="25"/>
  <c r="BH423" i="25"/>
  <c r="BH424" i="25"/>
  <c r="BH425" i="25"/>
  <c r="BH426" i="25"/>
  <c r="BH427" i="25"/>
  <c r="BH428" i="25"/>
  <c r="BH429" i="25"/>
  <c r="BH430" i="25"/>
  <c r="BH431" i="25"/>
  <c r="BH432" i="25"/>
  <c r="BH433" i="25"/>
  <c r="BH434" i="25"/>
  <c r="BH435" i="25"/>
  <c r="BH436" i="25"/>
  <c r="BH437" i="25"/>
  <c r="BH438" i="25"/>
  <c r="BH439" i="25"/>
  <c r="BH440" i="25"/>
  <c r="BH441" i="25"/>
  <c r="BH442" i="25"/>
  <c r="BH443" i="25"/>
  <c r="BH444" i="25"/>
  <c r="BH445" i="25"/>
  <c r="BH446" i="25"/>
  <c r="BH447" i="25"/>
  <c r="BH448" i="25"/>
  <c r="BH449" i="25"/>
  <c r="BH450" i="25"/>
  <c r="BH451" i="25"/>
  <c r="BH452" i="25"/>
  <c r="BH453" i="25"/>
  <c r="BH454" i="25"/>
  <c r="BH455" i="25"/>
  <c r="BH456" i="25"/>
  <c r="BH457" i="25"/>
  <c r="BH458" i="25"/>
  <c r="BH459" i="25"/>
  <c r="BH460" i="25"/>
  <c r="BH461" i="25"/>
  <c r="BH462" i="25"/>
  <c r="BH463" i="25"/>
  <c r="BH464" i="25"/>
  <c r="BH465" i="25"/>
  <c r="BH466" i="25"/>
  <c r="BH467" i="25"/>
  <c r="BH468" i="25"/>
  <c r="BH469" i="25"/>
  <c r="BH470" i="25"/>
  <c r="BH471" i="25"/>
  <c r="BH472" i="25"/>
  <c r="BH473" i="25"/>
  <c r="BH474" i="25"/>
  <c r="BH475" i="25"/>
  <c r="BH476" i="25"/>
  <c r="BH477" i="25"/>
  <c r="BH478" i="25"/>
  <c r="BH479" i="25"/>
  <c r="BH480" i="25"/>
  <c r="BH481" i="25"/>
  <c r="BM402" i="25"/>
  <c r="BM403" i="25"/>
  <c r="BM404" i="25"/>
  <c r="BM405" i="25"/>
  <c r="BM406" i="25"/>
  <c r="BM407" i="25"/>
  <c r="BM408" i="25"/>
  <c r="BM409" i="25"/>
  <c r="BM410" i="25"/>
  <c r="BM411" i="25"/>
  <c r="BM412" i="25"/>
  <c r="BM413" i="25"/>
  <c r="BM414" i="25"/>
  <c r="BM415" i="25"/>
  <c r="BM416" i="25"/>
  <c r="BM417" i="25"/>
  <c r="BM418" i="25"/>
  <c r="BM419" i="25"/>
  <c r="BM420" i="25"/>
  <c r="BM421" i="25"/>
  <c r="BM422" i="25"/>
  <c r="BM423" i="25"/>
  <c r="BM424" i="25"/>
  <c r="BM425" i="25"/>
  <c r="BM426" i="25"/>
  <c r="BM427" i="25"/>
  <c r="BM428" i="25"/>
  <c r="BM429" i="25"/>
  <c r="BM430" i="25"/>
  <c r="BM431" i="25"/>
  <c r="BM432" i="25"/>
  <c r="BM433" i="25"/>
  <c r="BM434" i="25"/>
  <c r="BM435" i="25"/>
  <c r="BM436" i="25"/>
  <c r="BM437" i="25"/>
  <c r="BM438" i="25"/>
  <c r="BM439" i="25"/>
  <c r="BM440" i="25"/>
  <c r="BM441" i="25"/>
  <c r="BM442" i="25"/>
  <c r="BM443" i="25"/>
  <c r="BM444" i="25"/>
  <c r="BM445" i="25"/>
  <c r="BM446" i="25"/>
  <c r="BM447" i="25"/>
  <c r="BM448" i="25"/>
  <c r="BM449" i="25"/>
  <c r="BM450" i="25"/>
  <c r="BM451" i="25"/>
  <c r="BM452" i="25"/>
  <c r="BM453" i="25"/>
  <c r="BM454" i="25"/>
  <c r="BM455" i="25"/>
  <c r="BM456" i="25"/>
  <c r="BM457" i="25"/>
  <c r="BM458" i="25"/>
  <c r="BM459" i="25"/>
  <c r="BM460" i="25"/>
  <c r="BM461" i="25"/>
  <c r="BM462" i="25"/>
  <c r="BM463" i="25"/>
  <c r="BM464" i="25"/>
  <c r="BM465" i="25"/>
  <c r="BM466" i="25"/>
  <c r="BM467" i="25"/>
  <c r="BM468" i="25"/>
  <c r="BM469" i="25"/>
  <c r="BM470" i="25"/>
  <c r="BM471" i="25"/>
  <c r="BM472" i="25"/>
  <c r="BM473" i="25"/>
  <c r="BM474" i="25"/>
  <c r="BM475" i="25"/>
  <c r="BM476" i="25"/>
  <c r="BM477" i="25"/>
  <c r="BM478" i="25"/>
  <c r="BM479" i="25"/>
  <c r="BM480" i="25"/>
  <c r="BM481" i="25"/>
  <c r="BN402" i="25"/>
  <c r="BN403" i="25"/>
  <c r="BN404" i="25"/>
  <c r="BN405" i="25"/>
  <c r="BN406" i="25"/>
  <c r="BN407" i="25"/>
  <c r="BN408" i="25"/>
  <c r="BN409" i="25"/>
  <c r="BN410" i="25"/>
  <c r="BN411" i="25"/>
  <c r="BN412" i="25"/>
  <c r="BN413" i="25"/>
  <c r="BN414" i="25"/>
  <c r="BN415" i="25"/>
  <c r="BN416" i="25"/>
  <c r="BN417" i="25"/>
  <c r="BN418" i="25"/>
  <c r="BN419" i="25"/>
  <c r="BN420" i="25"/>
  <c r="BN421" i="25"/>
  <c r="BN422" i="25"/>
  <c r="BN423" i="25"/>
  <c r="BN424" i="25"/>
  <c r="BN425" i="25"/>
  <c r="BN426" i="25"/>
  <c r="BN427" i="25"/>
  <c r="BN428" i="25"/>
  <c r="BN429" i="25"/>
  <c r="BN430" i="25"/>
  <c r="BN431" i="25"/>
  <c r="BN432" i="25"/>
  <c r="BN433" i="25"/>
  <c r="BN434" i="25"/>
  <c r="BN435" i="25"/>
  <c r="BN436" i="25"/>
  <c r="BN437" i="25"/>
  <c r="BN438" i="25"/>
  <c r="BN439" i="25"/>
  <c r="BN440" i="25"/>
  <c r="BN441" i="25"/>
  <c r="BN442" i="25"/>
  <c r="BN443" i="25"/>
  <c r="BN444" i="25"/>
  <c r="BN445" i="25"/>
  <c r="BN446" i="25"/>
  <c r="BN447" i="25"/>
  <c r="BN448" i="25"/>
  <c r="BN449" i="25"/>
  <c r="BN450" i="25"/>
  <c r="BN451" i="25"/>
  <c r="BN452" i="25"/>
  <c r="BN453" i="25"/>
  <c r="BN454" i="25"/>
  <c r="BN455" i="25"/>
  <c r="BN456" i="25"/>
  <c r="BN457" i="25"/>
  <c r="BN458" i="25"/>
  <c r="BN459" i="25"/>
  <c r="BN460" i="25"/>
  <c r="BN461" i="25"/>
  <c r="BN462" i="25"/>
  <c r="BN463" i="25"/>
  <c r="BN464" i="25"/>
  <c r="BN465" i="25"/>
  <c r="BN466" i="25"/>
  <c r="BN467" i="25"/>
  <c r="BN468" i="25"/>
  <c r="BN469" i="25"/>
  <c r="BN470" i="25"/>
  <c r="BN471" i="25"/>
  <c r="BN472" i="25"/>
  <c r="BN473" i="25"/>
  <c r="BN474" i="25"/>
  <c r="BN475" i="25"/>
  <c r="BN476" i="25"/>
  <c r="BN477" i="25"/>
  <c r="BN478" i="25"/>
  <c r="BN479" i="25"/>
  <c r="BN480" i="25"/>
  <c r="BN481" i="25"/>
  <c r="BP402" i="25"/>
  <c r="BP403" i="25"/>
  <c r="BP404" i="25"/>
  <c r="BP405" i="25"/>
  <c r="BP406" i="25"/>
  <c r="BP407" i="25"/>
  <c r="BP408" i="25"/>
  <c r="BP409" i="25"/>
  <c r="BP410" i="25"/>
  <c r="BP411" i="25"/>
  <c r="BP412" i="25"/>
  <c r="BP413" i="25"/>
  <c r="BP414" i="25"/>
  <c r="BP415" i="25"/>
  <c r="BP416" i="25"/>
  <c r="BP417" i="25"/>
  <c r="BP418" i="25"/>
  <c r="BP419" i="25"/>
  <c r="BP420" i="25"/>
  <c r="BP421" i="25"/>
  <c r="BP422" i="25"/>
  <c r="BP423" i="25"/>
  <c r="BP424" i="25"/>
  <c r="BP425" i="25"/>
  <c r="BP426" i="25"/>
  <c r="BP427" i="25"/>
  <c r="BP428" i="25"/>
  <c r="BP429" i="25"/>
  <c r="BP430" i="25"/>
  <c r="BP431" i="25"/>
  <c r="BP432" i="25"/>
  <c r="BP433" i="25"/>
  <c r="BP434" i="25"/>
  <c r="BP435" i="25"/>
  <c r="BP436" i="25"/>
  <c r="BP437" i="25"/>
  <c r="BP438" i="25"/>
  <c r="BP439" i="25"/>
  <c r="BP440" i="25"/>
  <c r="BP441" i="25"/>
  <c r="BP442" i="25"/>
  <c r="BP443" i="25"/>
  <c r="BP444" i="25"/>
  <c r="BP445" i="25"/>
  <c r="BP446" i="25"/>
  <c r="BP447" i="25"/>
  <c r="BP448" i="25"/>
  <c r="BP449" i="25"/>
  <c r="BP450" i="25"/>
  <c r="BP451" i="25"/>
  <c r="BP452" i="25"/>
  <c r="BP453" i="25"/>
  <c r="BP454" i="25"/>
  <c r="BP455" i="25"/>
  <c r="BP456" i="25"/>
  <c r="BP457" i="25"/>
  <c r="BP458" i="25"/>
  <c r="BP459" i="25"/>
  <c r="BP460" i="25"/>
  <c r="BP461" i="25"/>
  <c r="BP462" i="25"/>
  <c r="BP463" i="25"/>
  <c r="BP464" i="25"/>
  <c r="BP465" i="25"/>
  <c r="BP466" i="25"/>
  <c r="BP467" i="25"/>
  <c r="BP468" i="25"/>
  <c r="BP469" i="25"/>
  <c r="BP470" i="25"/>
  <c r="BP471" i="25"/>
  <c r="BP472" i="25"/>
  <c r="BP473" i="25"/>
  <c r="BP474" i="25"/>
  <c r="BP475" i="25"/>
  <c r="BP476" i="25"/>
  <c r="BP477" i="25"/>
  <c r="BP478" i="25"/>
  <c r="BP479" i="25"/>
  <c r="BP480" i="25"/>
  <c r="BP481" i="25"/>
  <c r="BQ402" i="25"/>
  <c r="BQ403" i="25"/>
  <c r="BQ404" i="25"/>
  <c r="BQ405" i="25"/>
  <c r="BQ406" i="25"/>
  <c r="BQ407" i="25"/>
  <c r="BQ408" i="25"/>
  <c r="BQ409" i="25"/>
  <c r="BQ410" i="25"/>
  <c r="BQ411" i="25"/>
  <c r="BQ412" i="25"/>
  <c r="BQ413" i="25"/>
  <c r="BQ414" i="25"/>
  <c r="BQ415" i="25"/>
  <c r="BQ416" i="25"/>
  <c r="BQ417" i="25"/>
  <c r="BQ418" i="25"/>
  <c r="BQ419" i="25"/>
  <c r="BQ420" i="25"/>
  <c r="BQ421" i="25"/>
  <c r="BQ422" i="25"/>
  <c r="BQ423" i="25"/>
  <c r="BQ424" i="25"/>
  <c r="BQ425" i="25"/>
  <c r="BQ426" i="25"/>
  <c r="BQ427" i="25"/>
  <c r="BQ428" i="25"/>
  <c r="BQ429" i="25"/>
  <c r="BQ430" i="25"/>
  <c r="BQ431" i="25"/>
  <c r="BQ432" i="25"/>
  <c r="BQ433" i="25"/>
  <c r="BQ434" i="25"/>
  <c r="BQ435" i="25"/>
  <c r="BQ436" i="25"/>
  <c r="BQ437" i="25"/>
  <c r="BQ438" i="25"/>
  <c r="BQ439" i="25"/>
  <c r="BQ440" i="25"/>
  <c r="BQ441" i="25"/>
  <c r="BQ442" i="25"/>
  <c r="BQ443" i="25"/>
  <c r="BQ444" i="25"/>
  <c r="BQ445" i="25"/>
  <c r="BQ446" i="25"/>
  <c r="BQ447" i="25"/>
  <c r="BQ448" i="25"/>
  <c r="BQ449" i="25"/>
  <c r="BQ450" i="25"/>
  <c r="BQ451" i="25"/>
  <c r="BQ452" i="25"/>
  <c r="BQ453" i="25"/>
  <c r="BQ454" i="25"/>
  <c r="BQ455" i="25"/>
  <c r="BQ456" i="25"/>
  <c r="BQ457" i="25"/>
  <c r="BQ458" i="25"/>
  <c r="BQ459" i="25"/>
  <c r="BQ460" i="25"/>
  <c r="BQ461" i="25"/>
  <c r="BQ462" i="25"/>
  <c r="BQ463" i="25"/>
  <c r="BQ464" i="25"/>
  <c r="BQ465" i="25"/>
  <c r="BQ466" i="25"/>
  <c r="BQ467" i="25"/>
  <c r="BQ468" i="25"/>
  <c r="BQ469" i="25"/>
  <c r="BQ470" i="25"/>
  <c r="BQ471" i="25"/>
  <c r="BQ472" i="25"/>
  <c r="BQ473" i="25"/>
  <c r="BQ474" i="25"/>
  <c r="BQ475" i="25"/>
  <c r="BQ476" i="25"/>
  <c r="BQ477" i="25"/>
  <c r="BQ478" i="25"/>
  <c r="BQ479" i="25"/>
  <c r="BQ480" i="25"/>
  <c r="BQ481" i="25"/>
  <c r="BR402" i="25"/>
  <c r="BR403" i="25"/>
  <c r="BR404" i="25"/>
  <c r="BR405" i="25"/>
  <c r="BR406" i="25"/>
  <c r="BR407" i="25"/>
  <c r="BR408" i="25"/>
  <c r="BR409" i="25"/>
  <c r="BR410" i="25"/>
  <c r="BR411" i="25"/>
  <c r="BR412" i="25"/>
  <c r="BR413" i="25"/>
  <c r="BR414" i="25"/>
  <c r="BR415" i="25"/>
  <c r="BR416" i="25"/>
  <c r="BR417" i="25"/>
  <c r="BR418" i="25"/>
  <c r="BR419" i="25"/>
  <c r="BR420" i="25"/>
  <c r="BR421" i="25"/>
  <c r="BR422" i="25"/>
  <c r="BR423" i="25"/>
  <c r="BR424" i="25"/>
  <c r="BR425" i="25"/>
  <c r="BR426" i="25"/>
  <c r="BR427" i="25"/>
  <c r="BR428" i="25"/>
  <c r="BR429" i="25"/>
  <c r="BR430" i="25"/>
  <c r="BR431" i="25"/>
  <c r="BR432" i="25"/>
  <c r="BR433" i="25"/>
  <c r="BR434" i="25"/>
  <c r="BR435" i="25"/>
  <c r="BR436" i="25"/>
  <c r="BR437" i="25"/>
  <c r="BR438" i="25"/>
  <c r="BR439" i="25"/>
  <c r="BR440" i="25"/>
  <c r="BR441" i="25"/>
  <c r="BR442" i="25"/>
  <c r="BR443" i="25"/>
  <c r="BR444" i="25"/>
  <c r="BR445" i="25"/>
  <c r="BR446" i="25"/>
  <c r="BR447" i="25"/>
  <c r="BR448" i="25"/>
  <c r="BR449" i="25"/>
  <c r="BR450" i="25"/>
  <c r="BR451" i="25"/>
  <c r="BR452" i="25"/>
  <c r="BR453" i="25"/>
  <c r="BR454" i="25"/>
  <c r="BR455" i="25"/>
  <c r="BR456" i="25"/>
  <c r="BR457" i="25"/>
  <c r="BR458" i="25"/>
  <c r="BR459" i="25"/>
  <c r="BR460" i="25"/>
  <c r="BR461" i="25"/>
  <c r="BR462" i="25"/>
  <c r="BR463" i="25"/>
  <c r="BR464" i="25"/>
  <c r="BR465" i="25"/>
  <c r="BR466" i="25"/>
  <c r="BR467" i="25"/>
  <c r="BR468" i="25"/>
  <c r="BR469" i="25"/>
  <c r="BR470" i="25"/>
  <c r="BR471" i="25"/>
  <c r="BR472" i="25"/>
  <c r="BR473" i="25"/>
  <c r="BR474" i="25"/>
  <c r="BR475" i="25"/>
  <c r="BR476" i="25"/>
  <c r="BR477" i="25"/>
  <c r="BR478" i="25"/>
  <c r="BR479" i="25"/>
  <c r="BR480" i="25"/>
  <c r="BR481" i="25"/>
  <c r="BS402" i="25"/>
  <c r="BS403" i="25"/>
  <c r="BS404" i="25"/>
  <c r="BS405" i="25"/>
  <c r="BS406" i="25"/>
  <c r="BS407" i="25"/>
  <c r="BS408" i="25"/>
  <c r="BS409" i="25"/>
  <c r="BS410" i="25"/>
  <c r="BS411" i="25"/>
  <c r="BS412" i="25"/>
  <c r="BS413" i="25"/>
  <c r="BS414" i="25"/>
  <c r="BS415" i="25"/>
  <c r="BS416" i="25"/>
  <c r="BS417" i="25"/>
  <c r="BS418" i="25"/>
  <c r="BS419" i="25"/>
  <c r="BS420" i="25"/>
  <c r="BS421" i="25"/>
  <c r="BS422" i="25"/>
  <c r="BS423" i="25"/>
  <c r="BS424" i="25"/>
  <c r="BS425" i="25"/>
  <c r="BS426" i="25"/>
  <c r="BS427" i="25"/>
  <c r="BS428" i="25"/>
  <c r="BS429" i="25"/>
  <c r="BS430" i="25"/>
  <c r="BS431" i="25"/>
  <c r="BS432" i="25"/>
  <c r="BS433" i="25"/>
  <c r="BS434" i="25"/>
  <c r="BS435" i="25"/>
  <c r="BS436" i="25"/>
  <c r="BS437" i="25"/>
  <c r="BS438" i="25"/>
  <c r="BS439" i="25"/>
  <c r="BS440" i="25"/>
  <c r="BS441" i="25"/>
  <c r="BS442" i="25"/>
  <c r="BS443" i="25"/>
  <c r="BS444" i="25"/>
  <c r="BS445" i="25"/>
  <c r="BS446" i="25"/>
  <c r="BS447" i="25"/>
  <c r="BS448" i="25"/>
  <c r="BS449" i="25"/>
  <c r="BS450" i="25"/>
  <c r="BS451" i="25"/>
  <c r="BS452" i="25"/>
  <c r="BS453" i="25"/>
  <c r="BS454" i="25"/>
  <c r="BS455" i="25"/>
  <c r="BS456" i="25"/>
  <c r="BS457" i="25"/>
  <c r="BS458" i="25"/>
  <c r="BS459" i="25"/>
  <c r="BS460" i="25"/>
  <c r="BS461" i="25"/>
  <c r="BS462" i="25"/>
  <c r="BS463" i="25"/>
  <c r="BS464" i="25"/>
  <c r="BS465" i="25"/>
  <c r="BS466" i="25"/>
  <c r="BS467" i="25"/>
  <c r="BS468" i="25"/>
  <c r="BS469" i="25"/>
  <c r="BS470" i="25"/>
  <c r="BS471" i="25"/>
  <c r="BS472" i="25"/>
  <c r="BS473" i="25"/>
  <c r="BS474" i="25"/>
  <c r="BS475" i="25"/>
  <c r="BS476" i="25"/>
  <c r="BS477" i="25"/>
  <c r="BS478" i="25"/>
  <c r="BS479" i="25"/>
  <c r="BS480" i="25"/>
  <c r="BS481" i="25"/>
  <c r="BT402" i="25"/>
  <c r="BT403" i="25"/>
  <c r="BT404" i="25"/>
  <c r="BT405" i="25"/>
  <c r="BT406" i="25"/>
  <c r="BT407" i="25"/>
  <c r="BT408" i="25"/>
  <c r="BT409" i="25"/>
  <c r="BT410" i="25"/>
  <c r="BT411" i="25"/>
  <c r="BT412" i="25"/>
  <c r="BT413" i="25"/>
  <c r="BT414" i="25"/>
  <c r="BT415" i="25"/>
  <c r="BT416" i="25"/>
  <c r="BT417" i="25"/>
  <c r="BT418" i="25"/>
  <c r="BT419" i="25"/>
  <c r="BT420" i="25"/>
  <c r="BT421" i="25"/>
  <c r="BT422" i="25"/>
  <c r="BT423" i="25"/>
  <c r="BT424" i="25"/>
  <c r="BT425" i="25"/>
  <c r="BT426" i="25"/>
  <c r="BT427" i="25"/>
  <c r="BT428" i="25"/>
  <c r="BT429" i="25"/>
  <c r="BT430" i="25"/>
  <c r="BT431" i="25"/>
  <c r="BT432" i="25"/>
  <c r="BT433" i="25"/>
  <c r="BT434" i="25"/>
  <c r="BT435" i="25"/>
  <c r="BT436" i="25"/>
  <c r="BT437" i="25"/>
  <c r="BT438" i="25"/>
  <c r="BT439" i="25"/>
  <c r="BT440" i="25"/>
  <c r="BT441" i="25"/>
  <c r="BT442" i="25"/>
  <c r="BT443" i="25"/>
  <c r="BT444" i="25"/>
  <c r="BT445" i="25"/>
  <c r="BT446" i="25"/>
  <c r="BT447" i="25"/>
  <c r="BT448" i="25"/>
  <c r="BT449" i="25"/>
  <c r="BT450" i="25"/>
  <c r="BT451" i="25"/>
  <c r="BT452" i="25"/>
  <c r="BT453" i="25"/>
  <c r="BT454" i="25"/>
  <c r="BT455" i="25"/>
  <c r="BT456" i="25"/>
  <c r="BT457" i="25"/>
  <c r="BT458" i="25"/>
  <c r="BT459" i="25"/>
  <c r="BT460" i="25"/>
  <c r="BT461" i="25"/>
  <c r="BT462" i="25"/>
  <c r="BT463" i="25"/>
  <c r="BT464" i="25"/>
  <c r="BT465" i="25"/>
  <c r="BT466" i="25"/>
  <c r="BT467" i="25"/>
  <c r="BT468" i="25"/>
  <c r="BT469" i="25"/>
  <c r="BT470" i="25"/>
  <c r="BT471" i="25"/>
  <c r="BT472" i="25"/>
  <c r="BT473" i="25"/>
  <c r="BT474" i="25"/>
  <c r="BT475" i="25"/>
  <c r="BT476" i="25"/>
  <c r="BT477" i="25"/>
  <c r="BT478" i="25"/>
  <c r="BT479" i="25"/>
  <c r="BT480" i="25"/>
  <c r="BT481" i="25"/>
  <c r="BU402" i="25"/>
  <c r="BU403" i="25"/>
  <c r="BU404" i="25"/>
  <c r="BU405" i="25"/>
  <c r="BU406" i="25"/>
  <c r="BU407" i="25"/>
  <c r="BU408" i="25"/>
  <c r="BU409" i="25"/>
  <c r="BU410" i="25"/>
  <c r="BU411" i="25"/>
  <c r="BU412" i="25"/>
  <c r="BU413" i="25"/>
  <c r="BU414" i="25"/>
  <c r="BU415" i="25"/>
  <c r="BU416" i="25"/>
  <c r="BU417" i="25"/>
  <c r="BU418" i="25"/>
  <c r="BU419" i="25"/>
  <c r="BU420" i="25"/>
  <c r="BU421" i="25"/>
  <c r="BU422" i="25"/>
  <c r="BU423" i="25"/>
  <c r="BU424" i="25"/>
  <c r="BU425" i="25"/>
  <c r="BU426" i="25"/>
  <c r="BU427" i="25"/>
  <c r="BU428" i="25"/>
  <c r="BU429" i="25"/>
  <c r="BU430" i="25"/>
  <c r="BU431" i="25"/>
  <c r="BU432" i="25"/>
  <c r="BU433" i="25"/>
  <c r="BU434" i="25"/>
  <c r="BU435" i="25"/>
  <c r="BU436" i="25"/>
  <c r="BU437" i="25"/>
  <c r="BU438" i="25"/>
  <c r="BU439" i="25"/>
  <c r="BU440" i="25"/>
  <c r="BU441" i="25"/>
  <c r="BU442" i="25"/>
  <c r="BU443" i="25"/>
  <c r="BU444" i="25"/>
  <c r="BU445" i="25"/>
  <c r="BU446" i="25"/>
  <c r="BU447" i="25"/>
  <c r="BU448" i="25"/>
  <c r="BU449" i="25"/>
  <c r="BU450" i="25"/>
  <c r="BU451" i="25"/>
  <c r="BU452" i="25"/>
  <c r="BU453" i="25"/>
  <c r="BU454" i="25"/>
  <c r="BU455" i="25"/>
  <c r="BU456" i="25"/>
  <c r="BU457" i="25"/>
  <c r="BU458" i="25"/>
  <c r="BU459" i="25"/>
  <c r="BU460" i="25"/>
  <c r="BU461" i="25"/>
  <c r="BU462" i="25"/>
  <c r="BU463" i="25"/>
  <c r="BU464" i="25"/>
  <c r="BU465" i="25"/>
  <c r="BU466" i="25"/>
  <c r="BU467" i="25"/>
  <c r="BU468" i="25"/>
  <c r="BU469" i="25"/>
  <c r="BU470" i="25"/>
  <c r="BU471" i="25"/>
  <c r="BU472" i="25"/>
  <c r="BU473" i="25"/>
  <c r="BU474" i="25"/>
  <c r="BU475" i="25"/>
  <c r="BU476" i="25"/>
  <c r="BU477" i="25"/>
  <c r="BU478" i="25"/>
  <c r="BU479" i="25"/>
  <c r="BU480" i="25"/>
  <c r="BU481" i="25"/>
  <c r="BV402" i="25"/>
  <c r="BV403" i="25"/>
  <c r="BV404" i="25"/>
  <c r="BV405" i="25"/>
  <c r="BV406" i="25"/>
  <c r="BV407" i="25"/>
  <c r="BV408" i="25"/>
  <c r="BV409" i="25"/>
  <c r="BV410" i="25"/>
  <c r="BV411" i="25"/>
  <c r="BV412" i="25"/>
  <c r="BV413" i="25"/>
  <c r="BV414" i="25"/>
  <c r="BV415" i="25"/>
  <c r="BV416" i="25"/>
  <c r="BV417" i="25"/>
  <c r="BV418" i="25"/>
  <c r="BV419" i="25"/>
  <c r="BV420" i="25"/>
  <c r="BV421" i="25"/>
  <c r="BV422" i="25"/>
  <c r="BV423" i="25"/>
  <c r="BV424" i="25"/>
  <c r="BV425" i="25"/>
  <c r="BV426" i="25"/>
  <c r="BV427" i="25"/>
  <c r="BV428" i="25"/>
  <c r="BV429" i="25"/>
  <c r="BV430" i="25"/>
  <c r="BV431" i="25"/>
  <c r="BV432" i="25"/>
  <c r="BV433" i="25"/>
  <c r="BV434" i="25"/>
  <c r="BV435" i="25"/>
  <c r="BV436" i="25"/>
  <c r="BV437" i="25"/>
  <c r="BV438" i="25"/>
  <c r="BV439" i="25"/>
  <c r="BV440" i="25"/>
  <c r="BV441" i="25"/>
  <c r="BV442" i="25"/>
  <c r="BV443" i="25"/>
  <c r="BV444" i="25"/>
  <c r="BV445" i="25"/>
  <c r="BV446" i="25"/>
  <c r="BV447" i="25"/>
  <c r="BV448" i="25"/>
  <c r="BV449" i="25"/>
  <c r="BV450" i="25"/>
  <c r="BV451" i="25"/>
  <c r="BV452" i="25"/>
  <c r="BV453" i="25"/>
  <c r="BV454" i="25"/>
  <c r="BV455" i="25"/>
  <c r="BV456" i="25"/>
  <c r="BV457" i="25"/>
  <c r="BV458" i="25"/>
  <c r="BV459" i="25"/>
  <c r="BV460" i="25"/>
  <c r="BV461" i="25"/>
  <c r="BV462" i="25"/>
  <c r="BV463" i="25"/>
  <c r="BV464" i="25"/>
  <c r="BV465" i="25"/>
  <c r="BV466" i="25"/>
  <c r="BV467" i="25"/>
  <c r="BV468" i="25"/>
  <c r="BV469" i="25"/>
  <c r="BV470" i="25"/>
  <c r="BV471" i="25"/>
  <c r="BV472" i="25"/>
  <c r="BV473" i="25"/>
  <c r="BV474" i="25"/>
  <c r="BV475" i="25"/>
  <c r="BV476" i="25"/>
  <c r="BV477" i="25"/>
  <c r="BV478" i="25"/>
  <c r="BV479" i="25"/>
  <c r="BV480" i="25"/>
  <c r="BV481" i="25"/>
  <c r="BW402" i="25"/>
  <c r="BW403" i="25"/>
  <c r="BW404" i="25"/>
  <c r="BW405" i="25"/>
  <c r="BW406" i="25"/>
  <c r="BW407" i="25"/>
  <c r="BW408" i="25"/>
  <c r="BW409" i="25"/>
  <c r="BW410" i="25"/>
  <c r="BW411" i="25"/>
  <c r="BW412" i="25"/>
  <c r="BW413" i="25"/>
  <c r="BW414" i="25"/>
  <c r="BW415" i="25"/>
  <c r="BW416" i="25"/>
  <c r="BW417" i="25"/>
  <c r="BW418" i="25"/>
  <c r="BW419" i="25"/>
  <c r="BW420" i="25"/>
  <c r="BW421" i="25"/>
  <c r="BW422" i="25"/>
  <c r="BW423" i="25"/>
  <c r="BW424" i="25"/>
  <c r="BW425" i="25"/>
  <c r="BW426" i="25"/>
  <c r="BW427" i="25"/>
  <c r="BW428" i="25"/>
  <c r="BW429" i="25"/>
  <c r="BW430" i="25"/>
  <c r="BW431" i="25"/>
  <c r="BW432" i="25"/>
  <c r="BW433" i="25"/>
  <c r="BW434" i="25"/>
  <c r="BW435" i="25"/>
  <c r="BW436" i="25"/>
  <c r="BW437" i="25"/>
  <c r="BW438" i="25"/>
  <c r="BW439" i="25"/>
  <c r="BW440" i="25"/>
  <c r="BW441" i="25"/>
  <c r="BW442" i="25"/>
  <c r="BW443" i="25"/>
  <c r="BW444" i="25"/>
  <c r="BW445" i="25"/>
  <c r="BW446" i="25"/>
  <c r="BW447" i="25"/>
  <c r="BW448" i="25"/>
  <c r="BW449" i="25"/>
  <c r="BW450" i="25"/>
  <c r="BW451" i="25"/>
  <c r="BW452" i="25"/>
  <c r="BW453" i="25"/>
  <c r="BW454" i="25"/>
  <c r="BW455" i="25"/>
  <c r="BW456" i="25"/>
  <c r="BW457" i="25"/>
  <c r="BW458" i="25"/>
  <c r="BW459" i="25"/>
  <c r="BW460" i="25"/>
  <c r="BW461" i="25"/>
  <c r="BW462" i="25"/>
  <c r="BW463" i="25"/>
  <c r="BW464" i="25"/>
  <c r="BW465" i="25"/>
  <c r="BW466" i="25"/>
  <c r="BW467" i="25"/>
  <c r="BW468" i="25"/>
  <c r="BW469" i="25"/>
  <c r="BW470" i="25"/>
  <c r="BW471" i="25"/>
  <c r="BW472" i="25"/>
  <c r="BW473" i="25"/>
  <c r="BW474" i="25"/>
  <c r="BW475" i="25"/>
  <c r="BW476" i="25"/>
  <c r="BW477" i="25"/>
  <c r="BW478" i="25"/>
  <c r="BW479" i="25"/>
  <c r="BW480" i="25"/>
  <c r="BW481" i="25"/>
  <c r="G29" i="89"/>
  <c r="BB427" i="25" l="1"/>
  <c r="BB403" i="25"/>
  <c r="AT479" i="25"/>
  <c r="AW479" i="25" s="1"/>
  <c r="AX479" i="25" s="1"/>
  <c r="AT471" i="25"/>
  <c r="AW471" i="25" s="1"/>
  <c r="AX471" i="25" s="1"/>
  <c r="AT463" i="25"/>
  <c r="AW463" i="25" s="1"/>
  <c r="AX463" i="25" s="1"/>
  <c r="AT456" i="25"/>
  <c r="AW456" i="25" s="1"/>
  <c r="AX456" i="25" s="1"/>
  <c r="AT448" i="25"/>
  <c r="AW448" i="25" s="1"/>
  <c r="AX448" i="25" s="1"/>
  <c r="AT440" i="25"/>
  <c r="AW440" i="25" s="1"/>
  <c r="AX440" i="25" s="1"/>
  <c r="AT432" i="25"/>
  <c r="AW432" i="25" s="1"/>
  <c r="AX432" i="25" s="1"/>
  <c r="AT424" i="25"/>
  <c r="AW424" i="25" s="1"/>
  <c r="AX424" i="25" s="1"/>
  <c r="AT408" i="25"/>
  <c r="AW408" i="25" s="1"/>
  <c r="AX408" i="25" s="1"/>
  <c r="BF402" i="25"/>
  <c r="BB441" i="25"/>
  <c r="AT476" i="25"/>
  <c r="AW476" i="25" s="1"/>
  <c r="AX476" i="25" s="1"/>
  <c r="AT468" i="25"/>
  <c r="AW468" i="25" s="1"/>
  <c r="AX468" i="25" s="1"/>
  <c r="AT461" i="25"/>
  <c r="AW461" i="25" s="1"/>
  <c r="AX461" i="25" s="1"/>
  <c r="AT453" i="25"/>
  <c r="AW453" i="25" s="1"/>
  <c r="AX453" i="25" s="1"/>
  <c r="AT413" i="25"/>
  <c r="AW413" i="25" s="1"/>
  <c r="AX413" i="25" s="1"/>
  <c r="BO478" i="25"/>
  <c r="BI478" i="25" s="1"/>
  <c r="BJ478" i="25" s="1"/>
  <c r="BK478" i="25" s="1"/>
  <c r="BO447" i="25"/>
  <c r="BI447" i="25" s="1"/>
  <c r="BJ447" i="25" s="1"/>
  <c r="BK447" i="25" s="1"/>
  <c r="BO431" i="25"/>
  <c r="BI431" i="25" s="1"/>
  <c r="BJ431" i="25" s="1"/>
  <c r="BK431" i="25" s="1"/>
  <c r="BO415" i="25"/>
  <c r="BI415" i="25" s="1"/>
  <c r="BJ415" i="25" s="1"/>
  <c r="BK415" i="25" s="1"/>
  <c r="AT427" i="25"/>
  <c r="AW427" i="25" s="1"/>
  <c r="AX427" i="25" s="1"/>
  <c r="AT419" i="25"/>
  <c r="AW419" i="25" s="1"/>
  <c r="AX419" i="25" s="1"/>
  <c r="AT411" i="25"/>
  <c r="AW411" i="25" s="1"/>
  <c r="AX411" i="25" s="1"/>
  <c r="AT442" i="25"/>
  <c r="AW442" i="25" s="1"/>
  <c r="AX442" i="25" s="1"/>
  <c r="BF476" i="25"/>
  <c r="BB453" i="25"/>
  <c r="AT418" i="25"/>
  <c r="AW418" i="25" s="1"/>
  <c r="AX418" i="25" s="1"/>
  <c r="AT402" i="25"/>
  <c r="AW402" i="25" s="1"/>
  <c r="AX402" i="25" s="1"/>
  <c r="AU405" i="25"/>
  <c r="AV405" i="25" s="1"/>
  <c r="AY405" i="25" s="1"/>
  <c r="AT475" i="25"/>
  <c r="AW475" i="25" s="1"/>
  <c r="AX475" i="25" s="1"/>
  <c r="AT412" i="25"/>
  <c r="AW412" i="25" s="1"/>
  <c r="AX412" i="25" s="1"/>
  <c r="AS408" i="25"/>
  <c r="AU408" i="25" s="1"/>
  <c r="AV408" i="25" s="1"/>
  <c r="AY408" i="25" s="1"/>
  <c r="BO475" i="25"/>
  <c r="BI475" i="25" s="1"/>
  <c r="BJ475" i="25" s="1"/>
  <c r="BK475" i="25" s="1"/>
  <c r="BO460" i="25"/>
  <c r="BI460" i="25" s="1"/>
  <c r="BJ460" i="25" s="1"/>
  <c r="BK460" i="25" s="1"/>
  <c r="BO444" i="25"/>
  <c r="BI444" i="25" s="1"/>
  <c r="BJ444" i="25" s="1"/>
  <c r="BK444" i="25" s="1"/>
  <c r="BO412" i="25"/>
  <c r="BI412" i="25" s="1"/>
  <c r="BJ412" i="25" s="1"/>
  <c r="BK412" i="25" s="1"/>
  <c r="AU450" i="25"/>
  <c r="AV450" i="25" s="1"/>
  <c r="AY450" i="25" s="1"/>
  <c r="BO450" i="25"/>
  <c r="BI450" i="25" s="1"/>
  <c r="BJ450" i="25" s="1"/>
  <c r="BK450" i="25" s="1"/>
  <c r="BO434" i="25"/>
  <c r="BI434" i="25" s="1"/>
  <c r="BJ434" i="25" s="1"/>
  <c r="BK434" i="25" s="1"/>
  <c r="BO410" i="25"/>
  <c r="BI410" i="25" s="1"/>
  <c r="BJ410" i="25" s="1"/>
  <c r="BK410" i="25" s="1"/>
  <c r="BF480" i="25"/>
  <c r="BB425" i="25"/>
  <c r="BB415" i="25"/>
  <c r="BF470" i="25"/>
  <c r="BB409" i="25"/>
  <c r="BF455" i="25"/>
  <c r="BB472" i="25"/>
  <c r="BO479" i="25"/>
  <c r="BI479" i="25" s="1"/>
  <c r="BJ479" i="25" s="1"/>
  <c r="BK479" i="25" s="1"/>
  <c r="BO471" i="25"/>
  <c r="BI471" i="25" s="1"/>
  <c r="BJ471" i="25" s="1"/>
  <c r="BK471" i="25" s="1"/>
  <c r="BO463" i="25"/>
  <c r="BI463" i="25" s="1"/>
  <c r="BJ463" i="25" s="1"/>
  <c r="BK463" i="25" s="1"/>
  <c r="BO456" i="25"/>
  <c r="BI456" i="25" s="1"/>
  <c r="BJ456" i="25" s="1"/>
  <c r="BK456" i="25" s="1"/>
  <c r="BO448" i="25"/>
  <c r="BI448" i="25" s="1"/>
  <c r="BJ448" i="25" s="1"/>
  <c r="BK448" i="25" s="1"/>
  <c r="BO440" i="25"/>
  <c r="BI440" i="25" s="1"/>
  <c r="BJ440" i="25" s="1"/>
  <c r="BK440" i="25" s="1"/>
  <c r="BO432" i="25"/>
  <c r="BI432" i="25" s="1"/>
  <c r="BJ432" i="25" s="1"/>
  <c r="BK432" i="25" s="1"/>
  <c r="BO424" i="25"/>
  <c r="BI424" i="25" s="1"/>
  <c r="BJ424" i="25" s="1"/>
  <c r="BK424" i="25" s="1"/>
  <c r="BO416" i="25"/>
  <c r="BI416" i="25" s="1"/>
  <c r="BJ416" i="25" s="1"/>
  <c r="BK416" i="25" s="1"/>
  <c r="BO408" i="25"/>
  <c r="BI408" i="25" s="1"/>
  <c r="BJ408" i="25" s="1"/>
  <c r="BK408" i="25" s="1"/>
  <c r="AU465" i="25"/>
  <c r="AV465" i="25" s="1"/>
  <c r="AY465" i="25" s="1"/>
  <c r="BF440" i="25"/>
  <c r="BF417" i="25"/>
  <c r="AU429" i="25"/>
  <c r="AV429" i="25" s="1"/>
  <c r="AY429" i="25" s="1"/>
  <c r="BO481" i="25"/>
  <c r="BI481" i="25" s="1"/>
  <c r="BJ481" i="25" s="1"/>
  <c r="BK481" i="25" s="1"/>
  <c r="BO465" i="25"/>
  <c r="BI465" i="25" s="1"/>
  <c r="BJ465" i="25" s="1"/>
  <c r="BK465" i="25" s="1"/>
  <c r="BO442" i="25"/>
  <c r="BI442" i="25" s="1"/>
  <c r="BJ442" i="25" s="1"/>
  <c r="BK442" i="25" s="1"/>
  <c r="BO426" i="25"/>
  <c r="BI426" i="25" s="1"/>
  <c r="BJ426" i="25" s="1"/>
  <c r="BK426" i="25" s="1"/>
  <c r="BO418" i="25"/>
  <c r="BI418" i="25" s="1"/>
  <c r="BJ418" i="25" s="1"/>
  <c r="BK418" i="25" s="1"/>
  <c r="BF465" i="25"/>
  <c r="AT422" i="25"/>
  <c r="AW422" i="25" s="1"/>
  <c r="AX422" i="25" s="1"/>
  <c r="BO428" i="25"/>
  <c r="BI428" i="25" s="1"/>
  <c r="BJ428" i="25" s="1"/>
  <c r="BK428" i="25" s="1"/>
  <c r="BF474" i="25"/>
  <c r="BF443" i="25"/>
  <c r="BF410" i="25"/>
  <c r="BB459" i="25"/>
  <c r="BB431" i="25"/>
  <c r="BB405" i="25"/>
  <c r="AT467" i="25"/>
  <c r="AW467" i="25" s="1"/>
  <c r="AX467" i="25" s="1"/>
  <c r="AQ418" i="25"/>
  <c r="AU418" i="25" s="1"/>
  <c r="AV418" i="25" s="1"/>
  <c r="AY418" i="25" s="1"/>
  <c r="AQ402" i="25"/>
  <c r="AU402" i="25" s="1"/>
  <c r="AV402" i="25" s="1"/>
  <c r="AY402" i="25" s="1"/>
  <c r="AU437" i="25"/>
  <c r="AV437" i="25" s="1"/>
  <c r="AY437" i="25" s="1"/>
  <c r="BO473" i="25"/>
  <c r="BI473" i="25" s="1"/>
  <c r="BJ473" i="25" s="1"/>
  <c r="BK473" i="25" s="1"/>
  <c r="BO458" i="25"/>
  <c r="BI458" i="25" s="1"/>
  <c r="BJ458" i="25" s="1"/>
  <c r="BK458" i="25" s="1"/>
  <c r="BO402" i="25"/>
  <c r="BI402" i="25" s="1"/>
  <c r="BJ402" i="25" s="1"/>
  <c r="BK402" i="25" s="1"/>
  <c r="AT426" i="25"/>
  <c r="AW426" i="25" s="1"/>
  <c r="AX426" i="25" s="1"/>
  <c r="BF434" i="25"/>
  <c r="BB447" i="25"/>
  <c r="BB421" i="25"/>
  <c r="BF458" i="25"/>
  <c r="BB442" i="25"/>
  <c r="BB419" i="25"/>
  <c r="AU426" i="25"/>
  <c r="AV426" i="25" s="1"/>
  <c r="AY426" i="25" s="1"/>
  <c r="AT481" i="25"/>
  <c r="AW481" i="25" s="1"/>
  <c r="AX481" i="25" s="1"/>
  <c r="AT473" i="25"/>
  <c r="AW473" i="25" s="1"/>
  <c r="AX473" i="25" s="1"/>
  <c r="AT465" i="25"/>
  <c r="AW465" i="25" s="1"/>
  <c r="AX465" i="25" s="1"/>
  <c r="AT458" i="25"/>
  <c r="AW458" i="25" s="1"/>
  <c r="AX458" i="25" s="1"/>
  <c r="AT450" i="25"/>
  <c r="AW450" i="25" s="1"/>
  <c r="AX450" i="25" s="1"/>
  <c r="AT410" i="25"/>
  <c r="AW410" i="25" s="1"/>
  <c r="AX410" i="25" s="1"/>
  <c r="BF481" i="25"/>
  <c r="BF426" i="25"/>
  <c r="BF451" i="25"/>
  <c r="BF418" i="25"/>
  <c r="BB466" i="25"/>
  <c r="BB437" i="25"/>
  <c r="BF450" i="25"/>
  <c r="BB435" i="25"/>
  <c r="AU442" i="25"/>
  <c r="AV442" i="25" s="1"/>
  <c r="AY442" i="25" s="1"/>
  <c r="AU420" i="25"/>
  <c r="AV420" i="25" s="1"/>
  <c r="AY420" i="25" s="1"/>
  <c r="BO477" i="25"/>
  <c r="BI477" i="25" s="1"/>
  <c r="BJ477" i="25" s="1"/>
  <c r="BK477" i="25" s="1"/>
  <c r="BO469" i="25"/>
  <c r="BI469" i="25" s="1"/>
  <c r="BJ469" i="25" s="1"/>
  <c r="BK469" i="25" s="1"/>
  <c r="BO462" i="25"/>
  <c r="BI462" i="25" s="1"/>
  <c r="BJ462" i="25" s="1"/>
  <c r="BK462" i="25" s="1"/>
  <c r="BO454" i="25"/>
  <c r="BI454" i="25" s="1"/>
  <c r="BJ454" i="25" s="1"/>
  <c r="BK454" i="25" s="1"/>
  <c r="BO446" i="25"/>
  <c r="BI446" i="25" s="1"/>
  <c r="BJ446" i="25" s="1"/>
  <c r="BK446" i="25" s="1"/>
  <c r="BO438" i="25"/>
  <c r="BI438" i="25" s="1"/>
  <c r="BJ438" i="25" s="1"/>
  <c r="BK438" i="25" s="1"/>
  <c r="BO430" i="25"/>
  <c r="BI430" i="25" s="1"/>
  <c r="BJ430" i="25" s="1"/>
  <c r="BK430" i="25" s="1"/>
  <c r="BO422" i="25"/>
  <c r="BI422" i="25" s="1"/>
  <c r="BJ422" i="25" s="1"/>
  <c r="BK422" i="25" s="1"/>
  <c r="BO414" i="25"/>
  <c r="BI414" i="25" s="1"/>
  <c r="BJ414" i="25" s="1"/>
  <c r="BK414" i="25" s="1"/>
  <c r="BO406" i="25"/>
  <c r="BI406" i="25" s="1"/>
  <c r="BJ406" i="25" s="1"/>
  <c r="BK406" i="25" s="1"/>
  <c r="BF473" i="25"/>
  <c r="BF439" i="25"/>
  <c r="BF423" i="25"/>
  <c r="BF407" i="25"/>
  <c r="AT460" i="25"/>
  <c r="AW460" i="25" s="1"/>
  <c r="AX460" i="25" s="1"/>
  <c r="AT421" i="25"/>
  <c r="AW421" i="25" s="1"/>
  <c r="AX421" i="25" s="1"/>
  <c r="AS481" i="25"/>
  <c r="AU481" i="25" s="1"/>
  <c r="AV481" i="25" s="1"/>
  <c r="AY481" i="25" s="1"/>
  <c r="AS456" i="25"/>
  <c r="AU456" i="25" s="1"/>
  <c r="AV456" i="25" s="1"/>
  <c r="AY456" i="25" s="1"/>
  <c r="AS432" i="25"/>
  <c r="AU432" i="25" s="1"/>
  <c r="AV432" i="25" s="1"/>
  <c r="AY432" i="25" s="1"/>
  <c r="AU414" i="25"/>
  <c r="AV414" i="25" s="1"/>
  <c r="AY414" i="25" s="1"/>
  <c r="AT403" i="25"/>
  <c r="AW403" i="25" s="1"/>
  <c r="AX403" i="25" s="1"/>
  <c r="BF404" i="25"/>
  <c r="AT452" i="25"/>
  <c r="AW452" i="25" s="1"/>
  <c r="AX452" i="25" s="1"/>
  <c r="AS475" i="25"/>
  <c r="AU475" i="25" s="1"/>
  <c r="AV475" i="25" s="1"/>
  <c r="AY475" i="25" s="1"/>
  <c r="AS413" i="25"/>
  <c r="AU413" i="25" s="1"/>
  <c r="AV413" i="25" s="1"/>
  <c r="AY413" i="25" s="1"/>
  <c r="AU458" i="25"/>
  <c r="AV458" i="25" s="1"/>
  <c r="AY458" i="25" s="1"/>
  <c r="BO474" i="25"/>
  <c r="BI474" i="25" s="1"/>
  <c r="BJ474" i="25" s="1"/>
  <c r="BK474" i="25" s="1"/>
  <c r="BO466" i="25"/>
  <c r="BI466" i="25" s="1"/>
  <c r="BJ466" i="25" s="1"/>
  <c r="BK466" i="25" s="1"/>
  <c r="BO459" i="25"/>
  <c r="BI459" i="25" s="1"/>
  <c r="BJ459" i="25" s="1"/>
  <c r="BK459" i="25" s="1"/>
  <c r="BO451" i="25"/>
  <c r="BI451" i="25" s="1"/>
  <c r="BJ451" i="25" s="1"/>
  <c r="BK451" i="25" s="1"/>
  <c r="BO443" i="25"/>
  <c r="BI443" i="25" s="1"/>
  <c r="BJ443" i="25" s="1"/>
  <c r="BK443" i="25" s="1"/>
  <c r="BO435" i="25"/>
  <c r="BI435" i="25" s="1"/>
  <c r="BJ435" i="25" s="1"/>
  <c r="BK435" i="25" s="1"/>
  <c r="BO427" i="25"/>
  <c r="BI427" i="25" s="1"/>
  <c r="BJ427" i="25" s="1"/>
  <c r="BK427" i="25" s="1"/>
  <c r="BO419" i="25"/>
  <c r="BI419" i="25" s="1"/>
  <c r="BJ419" i="25" s="1"/>
  <c r="BK419" i="25" s="1"/>
  <c r="BO411" i="25"/>
  <c r="BI411" i="25" s="1"/>
  <c r="BJ411" i="25" s="1"/>
  <c r="BK411" i="25" s="1"/>
  <c r="BO403" i="25"/>
  <c r="BI403" i="25" s="1"/>
  <c r="BJ403" i="25" s="1"/>
  <c r="BK403" i="25" s="1"/>
  <c r="BO467" i="25"/>
  <c r="BI467" i="25" s="1"/>
  <c r="BJ467" i="25" s="1"/>
  <c r="BK467" i="25" s="1"/>
  <c r="BO452" i="25"/>
  <c r="BI452" i="25" s="1"/>
  <c r="BJ452" i="25" s="1"/>
  <c r="BK452" i="25" s="1"/>
  <c r="BO436" i="25"/>
  <c r="BI436" i="25" s="1"/>
  <c r="BJ436" i="25" s="1"/>
  <c r="BK436" i="25" s="1"/>
  <c r="BO420" i="25"/>
  <c r="BI420" i="25" s="1"/>
  <c r="BJ420" i="25" s="1"/>
  <c r="BK420" i="25" s="1"/>
  <c r="BO404" i="25"/>
  <c r="BI404" i="25" s="1"/>
  <c r="BJ404" i="25" s="1"/>
  <c r="BK404" i="25" s="1"/>
  <c r="BF468" i="25"/>
  <c r="BB478" i="25"/>
  <c r="BB445" i="25"/>
  <c r="BB429" i="25"/>
  <c r="BB413" i="25"/>
  <c r="AT444" i="25"/>
  <c r="AW444" i="25" s="1"/>
  <c r="AX444" i="25" s="1"/>
  <c r="AT416" i="25"/>
  <c r="AW416" i="25" s="1"/>
  <c r="AX416" i="25" s="1"/>
  <c r="AS473" i="25"/>
  <c r="AU473" i="25" s="1"/>
  <c r="AV473" i="25" s="1"/>
  <c r="AY473" i="25" s="1"/>
  <c r="AS448" i="25"/>
  <c r="AU448" i="25" s="1"/>
  <c r="AV448" i="25" s="1"/>
  <c r="AY448" i="25" s="1"/>
  <c r="AS412" i="25"/>
  <c r="AU412" i="25" s="1"/>
  <c r="AV412" i="25" s="1"/>
  <c r="AY412" i="25" s="1"/>
  <c r="AQ411" i="25"/>
  <c r="AU411" i="25" s="1"/>
  <c r="AV411" i="25" s="1"/>
  <c r="AY411" i="25" s="1"/>
  <c r="BB461" i="25"/>
  <c r="AT434" i="25"/>
  <c r="AW434" i="25" s="1"/>
  <c r="AX434" i="25" s="1"/>
  <c r="AS468" i="25"/>
  <c r="AU468" i="25" s="1"/>
  <c r="AV468" i="25" s="1"/>
  <c r="AY468" i="25" s="1"/>
  <c r="AS424" i="25"/>
  <c r="AU424" i="25" s="1"/>
  <c r="AV424" i="25" s="1"/>
  <c r="AY424" i="25" s="1"/>
  <c r="AS410" i="25"/>
  <c r="AU410" i="25" s="1"/>
  <c r="AV410" i="25" s="1"/>
  <c r="AY410" i="25" s="1"/>
  <c r="AS440" i="25"/>
  <c r="AU440" i="25" s="1"/>
  <c r="AV440" i="25" s="1"/>
  <c r="AY440" i="25" s="1"/>
  <c r="AT477" i="25"/>
  <c r="AW477" i="25" s="1"/>
  <c r="AX477" i="25" s="1"/>
  <c r="AT469" i="25"/>
  <c r="AW469" i="25" s="1"/>
  <c r="AX469" i="25" s="1"/>
  <c r="AT462" i="25"/>
  <c r="AW462" i="25" s="1"/>
  <c r="AX462" i="25" s="1"/>
  <c r="AT454" i="25"/>
  <c r="AW454" i="25" s="1"/>
  <c r="AX454" i="25" s="1"/>
  <c r="AU446" i="25"/>
  <c r="AV446" i="25" s="1"/>
  <c r="AY446" i="25" s="1"/>
  <c r="AU438" i="25"/>
  <c r="AV438" i="25" s="1"/>
  <c r="AY438" i="25" s="1"/>
  <c r="AU430" i="25"/>
  <c r="AV430" i="25" s="1"/>
  <c r="AY430" i="25" s="1"/>
  <c r="AT414" i="25"/>
  <c r="AW414" i="25" s="1"/>
  <c r="AX414" i="25" s="1"/>
  <c r="AU406" i="25"/>
  <c r="AV406" i="25" s="1"/>
  <c r="AY406" i="25" s="1"/>
  <c r="BO470" i="25"/>
  <c r="BI470" i="25" s="1"/>
  <c r="BJ470" i="25" s="1"/>
  <c r="BK470" i="25" s="1"/>
  <c r="BO455" i="25"/>
  <c r="BI455" i="25" s="1"/>
  <c r="BJ455" i="25" s="1"/>
  <c r="BK455" i="25" s="1"/>
  <c r="BO439" i="25"/>
  <c r="BI439" i="25" s="1"/>
  <c r="BJ439" i="25" s="1"/>
  <c r="BK439" i="25" s="1"/>
  <c r="BO423" i="25"/>
  <c r="BI423" i="25" s="1"/>
  <c r="BJ423" i="25" s="1"/>
  <c r="BK423" i="25" s="1"/>
  <c r="BO407" i="25"/>
  <c r="BI407" i="25" s="1"/>
  <c r="BJ407" i="25" s="1"/>
  <c r="BK407" i="25" s="1"/>
  <c r="BF428" i="25"/>
  <c r="BF412" i="25"/>
  <c r="AU467" i="25"/>
  <c r="AV467" i="25" s="1"/>
  <c r="AY467" i="25" s="1"/>
  <c r="AU444" i="25"/>
  <c r="AV444" i="25" s="1"/>
  <c r="AY444" i="25" s="1"/>
  <c r="AT436" i="25"/>
  <c r="AW436" i="25" s="1"/>
  <c r="AX436" i="25" s="1"/>
  <c r="AT428" i="25"/>
  <c r="AW428" i="25" s="1"/>
  <c r="AX428" i="25" s="1"/>
  <c r="AT420" i="25"/>
  <c r="AW420" i="25" s="1"/>
  <c r="AX420" i="25" s="1"/>
  <c r="AU404" i="25"/>
  <c r="AV404" i="25" s="1"/>
  <c r="AY404" i="25" s="1"/>
  <c r="AU421" i="25"/>
  <c r="AV421" i="25" s="1"/>
  <c r="AY421" i="25" s="1"/>
  <c r="AU434" i="25"/>
  <c r="AV434" i="25" s="1"/>
  <c r="AY434" i="25" s="1"/>
  <c r="AU460" i="25"/>
  <c r="AV460" i="25" s="1"/>
  <c r="AY460" i="25" s="1"/>
  <c r="AU452" i="25"/>
  <c r="AV452" i="25" s="1"/>
  <c r="AY452" i="25" s="1"/>
  <c r="AU422" i="25"/>
  <c r="AV422" i="25" s="1"/>
  <c r="AY422" i="25" s="1"/>
  <c r="BF479" i="25"/>
  <c r="BF449" i="25"/>
  <c r="BF420" i="25"/>
  <c r="BF411" i="25"/>
  <c r="BB464" i="25"/>
  <c r="BB408" i="25"/>
  <c r="AT474" i="25"/>
  <c r="AW474" i="25" s="1"/>
  <c r="AX474" i="25" s="1"/>
  <c r="AT459" i="25"/>
  <c r="AW459" i="25" s="1"/>
  <c r="AX459" i="25" s="1"/>
  <c r="AT443" i="25"/>
  <c r="AW443" i="25" s="1"/>
  <c r="AX443" i="25" s="1"/>
  <c r="AT430" i="25"/>
  <c r="AW430" i="25" s="1"/>
  <c r="AX430" i="25" s="1"/>
  <c r="AS479" i="25"/>
  <c r="AU479" i="25" s="1"/>
  <c r="AV479" i="25" s="1"/>
  <c r="AY479" i="25" s="1"/>
  <c r="AS454" i="25"/>
  <c r="AU454" i="25" s="1"/>
  <c r="AV454" i="25" s="1"/>
  <c r="AY454" i="25" s="1"/>
  <c r="AS403" i="25"/>
  <c r="AU403" i="25" s="1"/>
  <c r="AV403" i="25" s="1"/>
  <c r="AY403" i="25" s="1"/>
  <c r="AQ428" i="25"/>
  <c r="AU428" i="25" s="1"/>
  <c r="AV428" i="25" s="1"/>
  <c r="AY428" i="25" s="1"/>
  <c r="AQ419" i="25"/>
  <c r="AU419" i="25" s="1"/>
  <c r="AV419" i="25" s="1"/>
  <c r="AY419" i="25" s="1"/>
  <c r="BF467" i="25"/>
  <c r="BF448" i="25"/>
  <c r="AT429" i="25"/>
  <c r="AW429" i="25" s="1"/>
  <c r="AX429" i="25" s="1"/>
  <c r="AS477" i="25"/>
  <c r="AU477" i="25" s="1"/>
  <c r="AV477" i="25" s="1"/>
  <c r="AY477" i="25" s="1"/>
  <c r="AS453" i="25"/>
  <c r="AU453" i="25" s="1"/>
  <c r="AV453" i="25" s="1"/>
  <c r="AY453" i="25" s="1"/>
  <c r="AU443" i="25"/>
  <c r="AV443" i="25" s="1"/>
  <c r="AY443" i="25" s="1"/>
  <c r="AU435" i="25"/>
  <c r="AV435" i="25" s="1"/>
  <c r="AY435" i="25" s="1"/>
  <c r="AQ436" i="25"/>
  <c r="AU436" i="25" s="1"/>
  <c r="AV436" i="25" s="1"/>
  <c r="AY436" i="25" s="1"/>
  <c r="AQ427" i="25"/>
  <c r="AU427" i="25" s="1"/>
  <c r="AV427" i="25" s="1"/>
  <c r="AY427" i="25" s="1"/>
  <c r="AU480" i="25"/>
  <c r="AV480" i="25" s="1"/>
  <c r="AY480" i="25" s="1"/>
  <c r="AU472" i="25"/>
  <c r="AV472" i="25" s="1"/>
  <c r="AY472" i="25" s="1"/>
  <c r="AU464" i="25"/>
  <c r="AV464" i="25" s="1"/>
  <c r="AY464" i="25" s="1"/>
  <c r="AU457" i="25"/>
  <c r="AV457" i="25" s="1"/>
  <c r="AY457" i="25" s="1"/>
  <c r="AU449" i="25"/>
  <c r="AV449" i="25" s="1"/>
  <c r="AY449" i="25" s="1"/>
  <c r="BO476" i="25"/>
  <c r="BI476" i="25" s="1"/>
  <c r="BJ476" i="25" s="1"/>
  <c r="BK476" i="25" s="1"/>
  <c r="BO468" i="25"/>
  <c r="BI468" i="25" s="1"/>
  <c r="BJ468" i="25" s="1"/>
  <c r="BK468" i="25" s="1"/>
  <c r="BO461" i="25"/>
  <c r="BI461" i="25" s="1"/>
  <c r="BJ461" i="25" s="1"/>
  <c r="BK461" i="25" s="1"/>
  <c r="BO453" i="25"/>
  <c r="BI453" i="25" s="1"/>
  <c r="BJ453" i="25" s="1"/>
  <c r="BK453" i="25" s="1"/>
  <c r="BO445" i="25"/>
  <c r="BI445" i="25" s="1"/>
  <c r="BJ445" i="25" s="1"/>
  <c r="BK445" i="25" s="1"/>
  <c r="BO437" i="25"/>
  <c r="BI437" i="25" s="1"/>
  <c r="BJ437" i="25" s="1"/>
  <c r="BK437" i="25" s="1"/>
  <c r="BO429" i="25"/>
  <c r="BI429" i="25" s="1"/>
  <c r="BJ429" i="25" s="1"/>
  <c r="BK429" i="25" s="1"/>
  <c r="BO421" i="25"/>
  <c r="BI421" i="25" s="1"/>
  <c r="BJ421" i="25" s="1"/>
  <c r="BK421" i="25" s="1"/>
  <c r="BO413" i="25"/>
  <c r="BI413" i="25" s="1"/>
  <c r="BJ413" i="25" s="1"/>
  <c r="BK413" i="25" s="1"/>
  <c r="BO405" i="25"/>
  <c r="BI405" i="25" s="1"/>
  <c r="BJ405" i="25" s="1"/>
  <c r="BK405" i="25" s="1"/>
  <c r="BF457" i="25"/>
  <c r="BF436" i="25"/>
  <c r="BB416" i="25"/>
  <c r="AT438" i="25"/>
  <c r="AW438" i="25" s="1"/>
  <c r="AX438" i="25" s="1"/>
  <c r="AT406" i="25"/>
  <c r="AW406" i="25" s="1"/>
  <c r="AX406" i="25" s="1"/>
  <c r="AS476" i="25"/>
  <c r="AU476" i="25" s="1"/>
  <c r="AV476" i="25" s="1"/>
  <c r="AY476" i="25" s="1"/>
  <c r="AS463" i="25"/>
  <c r="AU463" i="25" s="1"/>
  <c r="AV463" i="25" s="1"/>
  <c r="AY463" i="25" s="1"/>
  <c r="AU416" i="25"/>
  <c r="AV416" i="25" s="1"/>
  <c r="AY416" i="25" s="1"/>
  <c r="BF456" i="25"/>
  <c r="AT437" i="25"/>
  <c r="AW437" i="25" s="1"/>
  <c r="AX437" i="25" s="1"/>
  <c r="AT405" i="25"/>
  <c r="AW405" i="25" s="1"/>
  <c r="AX405" i="25" s="1"/>
  <c r="AS462" i="25"/>
  <c r="AU462" i="25" s="1"/>
  <c r="AV462" i="25" s="1"/>
  <c r="AY462" i="25" s="1"/>
  <c r="BB424" i="25"/>
  <c r="AT466" i="25"/>
  <c r="AW466" i="25" s="1"/>
  <c r="AX466" i="25" s="1"/>
  <c r="AT451" i="25"/>
  <c r="AW451" i="25" s="1"/>
  <c r="AX451" i="25" s="1"/>
  <c r="AT404" i="25"/>
  <c r="AW404" i="25" s="1"/>
  <c r="AX404" i="25" s="1"/>
  <c r="AS461" i="25"/>
  <c r="AU461" i="25" s="1"/>
  <c r="AV461" i="25" s="1"/>
  <c r="AY461" i="25" s="1"/>
  <c r="BO480" i="25"/>
  <c r="BI480" i="25" s="1"/>
  <c r="BJ480" i="25" s="1"/>
  <c r="BK480" i="25" s="1"/>
  <c r="BO472" i="25"/>
  <c r="BI472" i="25" s="1"/>
  <c r="BJ472" i="25" s="1"/>
  <c r="BK472" i="25" s="1"/>
  <c r="BO464" i="25"/>
  <c r="BI464" i="25" s="1"/>
  <c r="BJ464" i="25" s="1"/>
  <c r="BK464" i="25" s="1"/>
  <c r="BO457" i="25"/>
  <c r="BI457" i="25" s="1"/>
  <c r="BJ457" i="25" s="1"/>
  <c r="BK457" i="25" s="1"/>
  <c r="BO449" i="25"/>
  <c r="BI449" i="25" s="1"/>
  <c r="BJ449" i="25" s="1"/>
  <c r="BK449" i="25" s="1"/>
  <c r="BO441" i="25"/>
  <c r="BI441" i="25" s="1"/>
  <c r="BJ441" i="25" s="1"/>
  <c r="BK441" i="25" s="1"/>
  <c r="BO433" i="25"/>
  <c r="BI433" i="25" s="1"/>
  <c r="BJ433" i="25" s="1"/>
  <c r="BK433" i="25" s="1"/>
  <c r="BO425" i="25"/>
  <c r="BI425" i="25" s="1"/>
  <c r="BJ425" i="25" s="1"/>
  <c r="BK425" i="25" s="1"/>
  <c r="BO417" i="25"/>
  <c r="BI417" i="25" s="1"/>
  <c r="BJ417" i="25" s="1"/>
  <c r="BK417" i="25" s="1"/>
  <c r="BO409" i="25"/>
  <c r="BI409" i="25" s="1"/>
  <c r="BJ409" i="25" s="1"/>
  <c r="BK409" i="25" s="1"/>
  <c r="BF463" i="25"/>
  <c r="BF433" i="25"/>
  <c r="AT446" i="25"/>
  <c r="AW446" i="25" s="1"/>
  <c r="AX446" i="25" s="1"/>
  <c r="AT435" i="25"/>
  <c r="AW435" i="25" s="1"/>
  <c r="AX435" i="25" s="1"/>
  <c r="AS471" i="25"/>
  <c r="AU471" i="25" s="1"/>
  <c r="AV471" i="25" s="1"/>
  <c r="AY471" i="25" s="1"/>
  <c r="AU445" i="25"/>
  <c r="AV445" i="25" s="1"/>
  <c r="AY445" i="25" s="1"/>
  <c r="BF471" i="25"/>
  <c r="BF432" i="25"/>
  <c r="AT445" i="25"/>
  <c r="AW445" i="25" s="1"/>
  <c r="AX445" i="25" s="1"/>
  <c r="AU469" i="25"/>
  <c r="AV469" i="25" s="1"/>
  <c r="AY469" i="25" s="1"/>
  <c r="BB469" i="25"/>
  <c r="BF469" i="25"/>
  <c r="BB454" i="25"/>
  <c r="BF454" i="25"/>
  <c r="BB446" i="25"/>
  <c r="BF446" i="25"/>
  <c r="BB430" i="25"/>
  <c r="BF430" i="25"/>
  <c r="BB414" i="25"/>
  <c r="BF414" i="25"/>
  <c r="AQ441" i="25"/>
  <c r="AU441" i="25" s="1"/>
  <c r="AV441" i="25" s="1"/>
  <c r="AY441" i="25" s="1"/>
  <c r="AT441" i="25"/>
  <c r="AW441" i="25" s="1"/>
  <c r="AX441" i="25" s="1"/>
  <c r="AQ417" i="25"/>
  <c r="AU417" i="25" s="1"/>
  <c r="AV417" i="25" s="1"/>
  <c r="AY417" i="25" s="1"/>
  <c r="AT417" i="25"/>
  <c r="AW417" i="25" s="1"/>
  <c r="AX417" i="25" s="1"/>
  <c r="BF475" i="25"/>
  <c r="BB462" i="25"/>
  <c r="BF462" i="25"/>
  <c r="BB438" i="25"/>
  <c r="BF438" i="25"/>
  <c r="BB422" i="25"/>
  <c r="BF422" i="25"/>
  <c r="BB406" i="25"/>
  <c r="BF406" i="25"/>
  <c r="AQ433" i="25"/>
  <c r="AU433" i="25" s="1"/>
  <c r="AV433" i="25" s="1"/>
  <c r="AY433" i="25" s="1"/>
  <c r="AT433" i="25"/>
  <c r="AW433" i="25" s="1"/>
  <c r="AX433" i="25" s="1"/>
  <c r="AQ425" i="25"/>
  <c r="AU425" i="25" s="1"/>
  <c r="AV425" i="25" s="1"/>
  <c r="AY425" i="25" s="1"/>
  <c r="AT425" i="25"/>
  <c r="AW425" i="25" s="1"/>
  <c r="AX425" i="25" s="1"/>
  <c r="AQ409" i="25"/>
  <c r="AU409" i="25" s="1"/>
  <c r="AV409" i="25" s="1"/>
  <c r="AY409" i="25" s="1"/>
  <c r="AT409" i="25"/>
  <c r="AW409" i="25" s="1"/>
  <c r="AX409" i="25" s="1"/>
  <c r="BL475" i="25"/>
  <c r="BL467" i="25"/>
  <c r="BL460" i="25"/>
  <c r="BL452" i="25"/>
  <c r="BL444" i="25"/>
  <c r="BL436" i="25"/>
  <c r="BL428" i="25"/>
  <c r="BL420" i="25"/>
  <c r="BL412" i="25"/>
  <c r="BL404" i="25"/>
  <c r="AS478" i="25"/>
  <c r="AU478" i="25" s="1"/>
  <c r="AV478" i="25" s="1"/>
  <c r="AY478" i="25" s="1"/>
  <c r="AT478" i="25"/>
  <c r="AW478" i="25" s="1"/>
  <c r="AX478" i="25" s="1"/>
  <c r="AS470" i="25"/>
  <c r="AU470" i="25" s="1"/>
  <c r="AV470" i="25" s="1"/>
  <c r="AY470" i="25" s="1"/>
  <c r="AT470" i="25"/>
  <c r="AW470" i="25" s="1"/>
  <c r="AX470" i="25" s="1"/>
  <c r="AS455" i="25"/>
  <c r="AU455" i="25" s="1"/>
  <c r="AV455" i="25" s="1"/>
  <c r="AY455" i="25" s="1"/>
  <c r="AT455" i="25"/>
  <c r="AW455" i="25" s="1"/>
  <c r="AX455" i="25" s="1"/>
  <c r="AS447" i="25"/>
  <c r="AU447" i="25" s="1"/>
  <c r="AV447" i="25" s="1"/>
  <c r="AY447" i="25" s="1"/>
  <c r="AT447" i="25"/>
  <c r="AW447" i="25" s="1"/>
  <c r="AX447" i="25" s="1"/>
  <c r="AS439" i="25"/>
  <c r="AU439" i="25" s="1"/>
  <c r="AV439" i="25" s="1"/>
  <c r="AY439" i="25" s="1"/>
  <c r="AT439" i="25"/>
  <c r="AW439" i="25" s="1"/>
  <c r="AX439" i="25" s="1"/>
  <c r="AS431" i="25"/>
  <c r="AU431" i="25" s="1"/>
  <c r="AV431" i="25" s="1"/>
  <c r="AY431" i="25" s="1"/>
  <c r="AT431" i="25"/>
  <c r="AW431" i="25" s="1"/>
  <c r="AX431" i="25" s="1"/>
  <c r="AS423" i="25"/>
  <c r="AU423" i="25" s="1"/>
  <c r="AV423" i="25" s="1"/>
  <c r="AY423" i="25" s="1"/>
  <c r="AT423" i="25"/>
  <c r="AW423" i="25" s="1"/>
  <c r="AX423" i="25" s="1"/>
  <c r="AS415" i="25"/>
  <c r="AU415" i="25" s="1"/>
  <c r="AV415" i="25" s="1"/>
  <c r="AY415" i="25" s="1"/>
  <c r="AT415" i="25"/>
  <c r="AW415" i="25" s="1"/>
  <c r="AX415" i="25" s="1"/>
  <c r="AS407" i="25"/>
  <c r="AU407" i="25" s="1"/>
  <c r="AV407" i="25" s="1"/>
  <c r="AY407" i="25" s="1"/>
  <c r="AT407" i="25"/>
  <c r="AW407" i="25" s="1"/>
  <c r="AX407" i="25" s="1"/>
  <c r="BF444" i="25"/>
  <c r="BF452" i="25"/>
  <c r="AU474" i="25"/>
  <c r="AV474" i="25" s="1"/>
  <c r="AY474" i="25" s="1"/>
  <c r="AU466" i="25"/>
  <c r="AV466" i="25" s="1"/>
  <c r="AY466" i="25" s="1"/>
  <c r="AU459" i="25"/>
  <c r="AV459" i="25" s="1"/>
  <c r="AY459" i="25" s="1"/>
  <c r="AU451" i="25"/>
  <c r="AV451" i="25" s="1"/>
  <c r="AY451" i="25" s="1"/>
  <c r="BF477" i="25"/>
  <c r="BF460" i="25"/>
  <c r="AT480" i="25"/>
  <c r="AW480" i="25" s="1"/>
  <c r="AX480" i="25" s="1"/>
  <c r="AT472" i="25"/>
  <c r="AW472" i="25" s="1"/>
  <c r="AX472" i="25" s="1"/>
  <c r="AT464" i="25"/>
  <c r="AW464" i="25" s="1"/>
  <c r="AX464" i="25" s="1"/>
  <c r="AT457" i="25"/>
  <c r="AW457" i="25" s="1"/>
  <c r="AX457" i="25" s="1"/>
  <c r="AT449" i="25"/>
  <c r="AW449" i="25" s="1"/>
  <c r="AX449" i="25" s="1"/>
  <c r="BA333" i="25" l="1"/>
  <c r="I93" i="92"/>
  <c r="K93" i="92"/>
  <c r="J93" i="92"/>
  <c r="L93" i="92"/>
  <c r="BM7" i="25" l="1"/>
  <c r="BM8" i="25"/>
  <c r="BM9" i="25"/>
  <c r="BM10" i="25"/>
  <c r="BM11" i="25"/>
  <c r="BM12" i="25"/>
  <c r="BM13" i="25"/>
  <c r="BM14" i="25"/>
  <c r="BM15" i="25"/>
  <c r="BM16" i="25"/>
  <c r="BM17" i="25"/>
  <c r="BM18" i="25"/>
  <c r="BM19" i="25"/>
  <c r="BM20" i="25"/>
  <c r="BM21" i="25"/>
  <c r="BM22" i="25"/>
  <c r="BM23" i="25"/>
  <c r="BM24" i="25"/>
  <c r="BM25" i="25"/>
  <c r="BM26" i="25"/>
  <c r="BM27" i="25"/>
  <c r="BM28" i="25"/>
  <c r="BM29" i="25"/>
  <c r="BM30" i="25"/>
  <c r="BM31" i="25"/>
  <c r="BM32" i="25"/>
  <c r="BM33" i="25"/>
  <c r="BM34" i="25"/>
  <c r="BM35" i="25"/>
  <c r="BM36" i="25"/>
  <c r="BM37" i="25"/>
  <c r="BM38" i="25"/>
  <c r="BM39" i="25"/>
  <c r="BM40" i="25"/>
  <c r="BM41" i="25"/>
  <c r="BM42" i="25"/>
  <c r="BM43" i="25"/>
  <c r="BM44" i="25"/>
  <c r="BM45" i="25"/>
  <c r="BM46" i="25"/>
  <c r="BM47" i="25"/>
  <c r="BM48" i="25"/>
  <c r="BM49" i="25"/>
  <c r="BM50" i="25"/>
  <c r="BM51" i="25"/>
  <c r="BM52" i="25"/>
  <c r="BM53" i="25"/>
  <c r="BM54" i="25"/>
  <c r="BM55" i="25"/>
  <c r="BM56" i="25"/>
  <c r="BM57" i="25"/>
  <c r="BM58" i="25"/>
  <c r="BM59" i="25"/>
  <c r="BM60" i="25"/>
  <c r="BM61" i="25"/>
  <c r="BM62" i="25"/>
  <c r="BM63" i="25"/>
  <c r="BM64" i="25"/>
  <c r="BM65" i="25"/>
  <c r="BM66" i="25"/>
  <c r="BM67" i="25"/>
  <c r="BM68" i="25"/>
  <c r="BM69" i="25"/>
  <c r="BM70" i="25"/>
  <c r="BM71" i="25"/>
  <c r="BM72" i="25"/>
  <c r="BM73" i="25"/>
  <c r="BM74" i="25"/>
  <c r="BM75" i="25"/>
  <c r="BM76" i="25"/>
  <c r="BM77" i="25"/>
  <c r="BM78" i="25"/>
  <c r="BM79" i="25"/>
  <c r="BM80" i="25"/>
  <c r="BM81" i="25"/>
  <c r="BM82" i="25"/>
  <c r="BM83" i="25"/>
  <c r="BM84" i="25"/>
  <c r="BM85" i="25"/>
  <c r="BM86" i="25"/>
  <c r="BM87" i="25"/>
  <c r="BM88" i="25"/>
  <c r="BM89" i="25"/>
  <c r="BM90" i="25"/>
  <c r="BM91" i="25"/>
  <c r="BM92" i="25"/>
  <c r="BM93" i="25"/>
  <c r="BM94" i="25"/>
  <c r="BM95" i="25"/>
  <c r="BM96" i="25"/>
  <c r="BM97" i="25"/>
  <c r="BM98" i="25"/>
  <c r="BM99" i="25"/>
  <c r="BM100" i="25"/>
  <c r="BM101" i="25"/>
  <c r="BM102" i="25"/>
  <c r="BM103" i="25"/>
  <c r="BM104" i="25"/>
  <c r="BM105" i="25"/>
  <c r="BM106" i="25"/>
  <c r="BM107" i="25"/>
  <c r="BM108" i="25"/>
  <c r="BM109" i="25"/>
  <c r="BM110" i="25"/>
  <c r="BM111" i="25"/>
  <c r="BM112" i="25"/>
  <c r="BM113" i="25"/>
  <c r="BM114" i="25"/>
  <c r="BM115" i="25"/>
  <c r="BM116" i="25"/>
  <c r="BM117" i="25"/>
  <c r="BM118" i="25"/>
  <c r="BM119" i="25"/>
  <c r="BM120" i="25"/>
  <c r="BM121" i="25"/>
  <c r="BM122" i="25"/>
  <c r="BM123" i="25"/>
  <c r="BM124" i="25"/>
  <c r="BM125" i="25"/>
  <c r="BM126" i="25"/>
  <c r="BM127" i="25"/>
  <c r="BM128" i="25"/>
  <c r="BM129" i="25"/>
  <c r="BM130" i="25"/>
  <c r="BM131" i="25"/>
  <c r="BM132" i="25"/>
  <c r="BM133" i="25"/>
  <c r="BM134" i="25"/>
  <c r="BM135" i="25"/>
  <c r="BM136" i="25"/>
  <c r="BM137" i="25"/>
  <c r="BM138" i="25"/>
  <c r="BM139" i="25"/>
  <c r="BM140" i="25"/>
  <c r="BM141" i="25"/>
  <c r="BM142" i="25"/>
  <c r="BM143" i="25"/>
  <c r="BM144" i="25"/>
  <c r="BM145" i="25"/>
  <c r="BM146" i="25"/>
  <c r="BM147" i="25"/>
  <c r="BM148" i="25"/>
  <c r="BM149" i="25"/>
  <c r="BM150" i="25"/>
  <c r="BM151" i="25"/>
  <c r="BM152" i="25"/>
  <c r="BM153" i="25"/>
  <c r="BM154" i="25"/>
  <c r="BM155" i="25"/>
  <c r="BM156" i="25"/>
  <c r="BM157" i="25"/>
  <c r="BM158" i="25"/>
  <c r="BM159" i="25"/>
  <c r="BM160" i="25"/>
  <c r="BM161" i="25"/>
  <c r="BM162" i="25"/>
  <c r="BM163" i="25"/>
  <c r="BM164" i="25"/>
  <c r="BM165" i="25"/>
  <c r="BM166" i="25"/>
  <c r="BM167" i="25"/>
  <c r="BM168" i="25"/>
  <c r="BM169" i="25"/>
  <c r="BM170" i="25"/>
  <c r="BM171" i="25"/>
  <c r="BM172" i="25"/>
  <c r="BM173" i="25"/>
  <c r="BM174" i="25"/>
  <c r="BM175" i="25"/>
  <c r="BM176" i="25"/>
  <c r="BM177" i="25"/>
  <c r="BM178" i="25"/>
  <c r="BM179" i="25"/>
  <c r="BM180" i="25"/>
  <c r="BM181" i="25"/>
  <c r="BM182" i="25"/>
  <c r="BM183" i="25"/>
  <c r="BM184" i="25"/>
  <c r="BM185" i="25"/>
  <c r="BM186" i="25"/>
  <c r="BM187" i="25"/>
  <c r="BM188" i="25"/>
  <c r="BM189" i="25"/>
  <c r="BM190" i="25"/>
  <c r="BM191" i="25"/>
  <c r="BM192" i="25"/>
  <c r="BM193" i="25"/>
  <c r="BM194" i="25"/>
  <c r="BM195" i="25"/>
  <c r="BM196" i="25"/>
  <c r="BM197" i="25"/>
  <c r="BM198" i="25"/>
  <c r="BM199" i="25"/>
  <c r="BM200" i="25"/>
  <c r="BM201" i="25"/>
  <c r="BM202" i="25"/>
  <c r="BM203" i="25"/>
  <c r="BM204" i="25"/>
  <c r="BM205" i="25"/>
  <c r="BM206" i="25"/>
  <c r="BM207" i="25"/>
  <c r="BM208" i="25"/>
  <c r="BM209" i="25"/>
  <c r="BM210" i="25"/>
  <c r="BM211" i="25"/>
  <c r="BM212" i="25"/>
  <c r="BM213" i="25"/>
  <c r="BM214" i="25"/>
  <c r="BM215" i="25"/>
  <c r="BM216" i="25"/>
  <c r="BM217" i="25"/>
  <c r="BM218" i="25"/>
  <c r="BM219" i="25"/>
  <c r="BM220" i="25"/>
  <c r="BM221" i="25"/>
  <c r="BM222" i="25"/>
  <c r="BM223" i="25"/>
  <c r="BM224" i="25"/>
  <c r="BM225" i="25"/>
  <c r="BM226" i="25"/>
  <c r="BM227" i="25"/>
  <c r="BM228" i="25"/>
  <c r="BM229" i="25"/>
  <c r="BM230" i="25"/>
  <c r="BM231" i="25"/>
  <c r="BM232" i="25"/>
  <c r="BM233" i="25"/>
  <c r="BM234" i="25"/>
  <c r="BM236" i="25"/>
  <c r="BM235" i="25"/>
  <c r="BM241" i="25"/>
  <c r="BM237" i="25"/>
  <c r="BM238" i="25"/>
  <c r="BM239" i="25"/>
  <c r="BM240" i="25"/>
  <c r="BM242" i="25"/>
  <c r="BM243" i="25"/>
  <c r="BM244" i="25"/>
  <c r="BM245" i="25"/>
  <c r="BM246" i="25"/>
  <c r="BM247" i="25"/>
  <c r="BM248" i="25"/>
  <c r="BM249" i="25"/>
  <c r="BM250" i="25"/>
  <c r="BM251" i="25"/>
  <c r="BM252" i="25"/>
  <c r="BM253" i="25"/>
  <c r="BM254" i="25"/>
  <c r="BM255" i="25"/>
  <c r="BM256" i="25"/>
  <c r="BM257" i="25"/>
  <c r="BM258" i="25"/>
  <c r="BM259" i="25"/>
  <c r="BM260" i="25"/>
  <c r="BM261" i="25"/>
  <c r="BM262" i="25"/>
  <c r="BM263" i="25"/>
  <c r="BM264" i="25"/>
  <c r="BM265" i="25"/>
  <c r="BM266" i="25"/>
  <c r="BM267" i="25"/>
  <c r="BM268" i="25"/>
  <c r="BM269" i="25"/>
  <c r="BM270" i="25"/>
  <c r="BM271" i="25"/>
  <c r="BM272" i="25"/>
  <c r="BM273" i="25"/>
  <c r="BM274" i="25"/>
  <c r="BM275" i="25"/>
  <c r="BM276" i="25"/>
  <c r="BM277" i="25"/>
  <c r="BM278" i="25"/>
  <c r="BM279" i="25"/>
  <c r="BM280" i="25"/>
  <c r="BM281" i="25"/>
  <c r="BM282" i="25"/>
  <c r="BM283" i="25"/>
  <c r="BM284" i="25"/>
  <c r="BM285" i="25"/>
  <c r="BM286" i="25"/>
  <c r="BM287" i="25"/>
  <c r="BM288" i="25"/>
  <c r="BM289" i="25"/>
  <c r="BM290" i="25"/>
  <c r="BM291" i="25"/>
  <c r="BM292" i="25"/>
  <c r="BM293" i="25"/>
  <c r="BM294" i="25"/>
  <c r="BM295" i="25"/>
  <c r="BM296" i="25"/>
  <c r="BM297" i="25"/>
  <c r="BM298" i="25"/>
  <c r="BM299" i="25"/>
  <c r="BM300" i="25"/>
  <c r="BM301" i="25"/>
  <c r="BM302" i="25"/>
  <c r="BM303" i="25"/>
  <c r="BM304" i="25"/>
  <c r="BM305" i="25"/>
  <c r="BM306" i="25"/>
  <c r="BM307" i="25"/>
  <c r="BM308" i="25"/>
  <c r="BM309" i="25"/>
  <c r="BM310" i="25"/>
  <c r="BM311" i="25"/>
  <c r="BM312" i="25"/>
  <c r="BM313" i="25"/>
  <c r="BM314" i="25"/>
  <c r="BM315" i="25"/>
  <c r="BM316" i="25"/>
  <c r="BM317" i="25"/>
  <c r="BM318" i="25"/>
  <c r="BM319" i="25"/>
  <c r="BM320" i="25"/>
  <c r="BM321" i="25"/>
  <c r="BM322" i="25"/>
  <c r="BM323" i="25"/>
  <c r="BM324" i="25"/>
  <c r="BM325" i="25"/>
  <c r="BM326" i="25"/>
  <c r="BM327" i="25"/>
  <c r="BM328" i="25"/>
  <c r="BM329" i="25"/>
  <c r="BM330" i="25"/>
  <c r="BM331" i="25"/>
  <c r="BM332" i="25"/>
  <c r="BM333" i="25"/>
  <c r="BM334" i="25"/>
  <c r="BM335" i="25"/>
  <c r="BM336" i="25"/>
  <c r="BM337" i="25"/>
  <c r="BM338" i="25"/>
  <c r="BM339" i="25"/>
  <c r="BM340" i="25"/>
  <c r="BM341" i="25"/>
  <c r="BM342" i="25"/>
  <c r="BM343" i="25"/>
  <c r="BM344" i="25"/>
  <c r="BM345" i="25"/>
  <c r="BM346" i="25"/>
  <c r="BM347" i="25"/>
  <c r="BM348" i="25"/>
  <c r="BM349" i="25"/>
  <c r="BM350" i="25"/>
  <c r="BM351" i="25"/>
  <c r="BM352" i="25"/>
  <c r="BM353" i="25"/>
  <c r="BM354" i="25"/>
  <c r="BM355" i="25"/>
  <c r="BM356" i="25"/>
  <c r="BM357" i="25"/>
  <c r="BM358" i="25"/>
  <c r="BM359" i="25"/>
  <c r="BM360" i="25"/>
  <c r="BM361" i="25"/>
  <c r="BM362" i="25"/>
  <c r="BM363" i="25"/>
  <c r="BM364" i="25"/>
  <c r="BM365" i="25"/>
  <c r="BM366" i="25"/>
  <c r="BM367" i="25"/>
  <c r="BM368" i="25"/>
  <c r="BM369" i="25"/>
  <c r="BM370" i="25"/>
  <c r="BM371" i="25"/>
  <c r="BM372" i="25"/>
  <c r="BM373" i="25"/>
  <c r="BM374" i="25"/>
  <c r="BM375" i="25"/>
  <c r="BM376" i="25"/>
  <c r="BM377" i="25"/>
  <c r="BM378" i="25"/>
  <c r="BM379" i="25"/>
  <c r="BM380" i="25"/>
  <c r="BM381" i="25"/>
  <c r="BM382" i="25"/>
  <c r="BM383" i="25"/>
  <c r="BM384" i="25"/>
  <c r="BM385" i="25"/>
  <c r="BM386" i="25"/>
  <c r="BM387" i="25"/>
  <c r="BM388" i="25"/>
  <c r="BM389" i="25"/>
  <c r="BM390" i="25"/>
  <c r="BM391" i="25"/>
  <c r="BM392" i="25"/>
  <c r="BM393" i="25"/>
  <c r="BM394" i="25"/>
  <c r="BM395" i="25"/>
  <c r="BM396" i="25"/>
  <c r="BM397" i="25"/>
  <c r="BM398" i="25"/>
  <c r="BM399" i="25"/>
  <c r="BM400" i="25"/>
  <c r="BM401" i="25"/>
  <c r="BA7" i="25"/>
  <c r="BA8" i="25"/>
  <c r="BA9" i="25"/>
  <c r="BA10" i="25"/>
  <c r="BA11" i="25"/>
  <c r="BA12" i="25"/>
  <c r="BA13" i="25"/>
  <c r="BA14" i="25"/>
  <c r="BA15" i="25"/>
  <c r="BA16" i="25"/>
  <c r="BA17" i="25"/>
  <c r="BA18" i="25"/>
  <c r="BA19" i="25"/>
  <c r="BA20" i="25"/>
  <c r="BA21" i="25"/>
  <c r="BA22" i="25"/>
  <c r="BA23" i="25"/>
  <c r="BA24" i="25"/>
  <c r="BA25" i="25"/>
  <c r="BA26" i="25"/>
  <c r="BA27" i="25"/>
  <c r="BA28" i="25"/>
  <c r="BA29" i="25"/>
  <c r="BA30" i="25"/>
  <c r="BA31" i="25"/>
  <c r="BA32" i="25"/>
  <c r="BA33" i="25"/>
  <c r="BA34" i="25"/>
  <c r="BA35" i="25"/>
  <c r="BA36" i="25"/>
  <c r="BA37" i="25"/>
  <c r="BA38" i="25"/>
  <c r="BA39" i="25"/>
  <c r="BA40" i="25"/>
  <c r="BA41" i="25"/>
  <c r="BA42" i="25"/>
  <c r="BA43" i="25"/>
  <c r="BA44" i="25"/>
  <c r="BA45" i="25"/>
  <c r="BA46" i="25"/>
  <c r="BA47" i="25"/>
  <c r="BA48" i="25"/>
  <c r="BA49" i="25"/>
  <c r="BA50" i="25"/>
  <c r="BA51" i="25"/>
  <c r="BA52" i="25"/>
  <c r="BA53" i="25"/>
  <c r="BA54" i="25"/>
  <c r="BA55" i="25"/>
  <c r="BA56" i="25"/>
  <c r="BA57" i="25"/>
  <c r="BA58" i="25"/>
  <c r="BA59" i="25"/>
  <c r="BA60" i="25"/>
  <c r="BA61" i="25"/>
  <c r="BA62" i="25"/>
  <c r="BA63" i="25"/>
  <c r="BA64" i="25"/>
  <c r="BA65" i="25"/>
  <c r="BA66" i="25"/>
  <c r="BA67" i="25"/>
  <c r="BA68" i="25"/>
  <c r="BA69" i="25"/>
  <c r="BA70" i="25"/>
  <c r="BA71" i="25"/>
  <c r="BA72" i="25"/>
  <c r="BA73" i="25"/>
  <c r="BA74" i="25"/>
  <c r="BA75" i="25"/>
  <c r="BA76" i="25"/>
  <c r="BA77" i="25"/>
  <c r="BA78" i="25"/>
  <c r="BA79" i="25"/>
  <c r="BA80" i="25"/>
  <c r="BA81" i="25"/>
  <c r="BA82" i="25"/>
  <c r="BA83" i="25"/>
  <c r="BA84" i="25"/>
  <c r="BA85" i="25"/>
  <c r="BA86" i="25"/>
  <c r="BA87" i="25"/>
  <c r="BA88" i="25"/>
  <c r="BA89" i="25"/>
  <c r="BA90" i="25"/>
  <c r="BA91" i="25"/>
  <c r="BA92" i="25"/>
  <c r="BA93" i="25"/>
  <c r="BA94" i="25"/>
  <c r="BA95" i="25"/>
  <c r="BA96" i="25"/>
  <c r="BA97" i="25"/>
  <c r="BA98" i="25"/>
  <c r="BA99" i="25"/>
  <c r="BA100" i="25"/>
  <c r="BA101" i="25"/>
  <c r="BA102" i="25"/>
  <c r="BA103" i="25"/>
  <c r="BA104" i="25"/>
  <c r="BA105" i="25"/>
  <c r="BA106" i="25"/>
  <c r="BA107" i="25"/>
  <c r="BA108" i="25"/>
  <c r="BA109" i="25"/>
  <c r="BA110" i="25"/>
  <c r="BA111" i="25"/>
  <c r="BA112" i="25"/>
  <c r="BA113" i="25"/>
  <c r="BA114" i="25"/>
  <c r="BA115" i="25"/>
  <c r="BA116" i="25"/>
  <c r="BA117" i="25"/>
  <c r="BA118" i="25"/>
  <c r="BA119" i="25"/>
  <c r="BA120" i="25"/>
  <c r="BA121" i="25"/>
  <c r="BA122" i="25"/>
  <c r="BA123" i="25"/>
  <c r="BA124" i="25"/>
  <c r="BA125" i="25"/>
  <c r="BA126" i="25"/>
  <c r="BA127" i="25"/>
  <c r="BA128" i="25"/>
  <c r="BA129" i="25"/>
  <c r="BA130" i="25"/>
  <c r="BA131" i="25"/>
  <c r="BA132" i="25"/>
  <c r="BA133" i="25"/>
  <c r="BA134" i="25"/>
  <c r="BA135" i="25"/>
  <c r="BA136" i="25"/>
  <c r="BA137" i="25"/>
  <c r="BA138" i="25"/>
  <c r="BA139" i="25"/>
  <c r="BA140" i="25"/>
  <c r="BA141" i="25"/>
  <c r="BA142" i="25"/>
  <c r="BA143" i="25"/>
  <c r="BA144" i="25"/>
  <c r="BA145" i="25"/>
  <c r="BA146" i="25"/>
  <c r="BA147" i="25"/>
  <c r="BA148" i="25"/>
  <c r="BA149" i="25"/>
  <c r="BA150" i="25"/>
  <c r="BA151" i="25"/>
  <c r="BA152" i="25"/>
  <c r="BA153" i="25"/>
  <c r="BA154" i="25"/>
  <c r="BA155" i="25"/>
  <c r="BA156" i="25"/>
  <c r="BA157" i="25"/>
  <c r="BA158" i="25"/>
  <c r="BA159" i="25"/>
  <c r="BA160" i="25"/>
  <c r="BA161" i="25"/>
  <c r="BA162" i="25"/>
  <c r="BA163" i="25"/>
  <c r="BA164" i="25"/>
  <c r="BA165" i="25"/>
  <c r="BA166" i="25"/>
  <c r="BA167" i="25"/>
  <c r="BA168" i="25"/>
  <c r="BA169" i="25"/>
  <c r="BA170" i="25"/>
  <c r="BA171" i="25"/>
  <c r="BA172" i="25"/>
  <c r="BA173" i="25"/>
  <c r="BA174" i="25"/>
  <c r="BA175" i="25"/>
  <c r="BA176" i="25"/>
  <c r="BA177" i="25"/>
  <c r="BA178" i="25"/>
  <c r="BA179" i="25"/>
  <c r="BA180" i="25"/>
  <c r="BA181" i="25"/>
  <c r="BA182" i="25"/>
  <c r="BA183" i="25"/>
  <c r="BA184" i="25"/>
  <c r="BA185" i="25"/>
  <c r="BA186" i="25"/>
  <c r="BA187" i="25"/>
  <c r="BA188" i="25"/>
  <c r="BA189" i="25"/>
  <c r="BA190" i="25"/>
  <c r="BA191" i="25"/>
  <c r="BA192" i="25"/>
  <c r="BA193" i="25"/>
  <c r="BA194" i="25"/>
  <c r="BA195" i="25"/>
  <c r="BA196" i="25"/>
  <c r="BA197" i="25"/>
  <c r="BA198" i="25"/>
  <c r="BA199" i="25"/>
  <c r="BA200" i="25"/>
  <c r="BA201" i="25"/>
  <c r="BA202" i="25"/>
  <c r="BA203" i="25"/>
  <c r="BA204" i="25"/>
  <c r="BA205" i="25"/>
  <c r="BA206" i="25"/>
  <c r="BA207" i="25"/>
  <c r="BA208" i="25"/>
  <c r="BA209" i="25"/>
  <c r="BA210" i="25"/>
  <c r="BA211" i="25"/>
  <c r="BA212" i="25"/>
  <c r="BA213" i="25"/>
  <c r="BA214" i="25"/>
  <c r="BA215" i="25"/>
  <c r="BA216" i="25"/>
  <c r="BA217" i="25"/>
  <c r="BA218" i="25"/>
  <c r="BA219" i="25"/>
  <c r="BA220" i="25"/>
  <c r="BA221" i="25"/>
  <c r="BA222" i="25"/>
  <c r="BA223" i="25"/>
  <c r="BA224" i="25"/>
  <c r="BA225" i="25"/>
  <c r="BA226" i="25"/>
  <c r="BA227" i="25"/>
  <c r="BA228" i="25"/>
  <c r="BA229" i="25"/>
  <c r="BA230" i="25"/>
  <c r="BA231" i="25"/>
  <c r="BA232" i="25"/>
  <c r="BA233" i="25"/>
  <c r="BA234" i="25"/>
  <c r="BA236" i="25"/>
  <c r="BA235" i="25"/>
  <c r="BA241" i="25"/>
  <c r="BA237" i="25"/>
  <c r="BA238" i="25"/>
  <c r="BA239" i="25"/>
  <c r="BA240" i="25"/>
  <c r="BA242" i="25"/>
  <c r="BA243" i="25"/>
  <c r="BA244" i="25"/>
  <c r="BA245" i="25"/>
  <c r="BA246" i="25"/>
  <c r="BA247" i="25"/>
  <c r="BA248" i="25"/>
  <c r="BA249" i="25"/>
  <c r="BA250" i="25"/>
  <c r="BA251" i="25"/>
  <c r="BA252" i="25"/>
  <c r="BA253" i="25"/>
  <c r="BA254" i="25"/>
  <c r="BA255" i="25"/>
  <c r="BA256" i="25"/>
  <c r="BA257" i="25"/>
  <c r="BA258" i="25"/>
  <c r="BA259" i="25"/>
  <c r="BA260" i="25"/>
  <c r="BA261" i="25"/>
  <c r="BA262" i="25"/>
  <c r="BA263" i="25"/>
  <c r="BA264" i="25"/>
  <c r="BA265" i="25"/>
  <c r="BA266" i="25"/>
  <c r="BA267" i="25"/>
  <c r="BA268" i="25"/>
  <c r="BA269" i="25"/>
  <c r="BA270" i="25"/>
  <c r="BA271" i="25"/>
  <c r="BA272" i="25"/>
  <c r="BA273" i="25"/>
  <c r="BA274" i="25"/>
  <c r="BA275" i="25"/>
  <c r="BA276" i="25"/>
  <c r="BA277" i="25"/>
  <c r="BA278" i="25"/>
  <c r="BA279" i="25"/>
  <c r="BA280" i="25"/>
  <c r="BA281" i="25"/>
  <c r="BA282" i="25"/>
  <c r="BA283" i="25"/>
  <c r="BA284" i="25"/>
  <c r="BA285" i="25"/>
  <c r="BA286" i="25"/>
  <c r="BA287" i="25"/>
  <c r="BA288" i="25"/>
  <c r="BA289" i="25"/>
  <c r="BA290" i="25"/>
  <c r="BA291" i="25"/>
  <c r="BA292" i="25"/>
  <c r="BA293" i="25"/>
  <c r="BA294" i="25"/>
  <c r="BA295" i="25"/>
  <c r="BA296" i="25"/>
  <c r="BA297" i="25"/>
  <c r="BA298" i="25"/>
  <c r="BA299" i="25"/>
  <c r="BA300" i="25"/>
  <c r="BA301" i="25"/>
  <c r="BA302" i="25"/>
  <c r="BA303" i="25"/>
  <c r="BA304" i="25"/>
  <c r="BA305" i="25"/>
  <c r="BA306" i="25"/>
  <c r="BA307" i="25"/>
  <c r="BA308" i="25"/>
  <c r="BA309" i="25"/>
  <c r="BA310" i="25"/>
  <c r="BA311" i="25"/>
  <c r="BA312" i="25"/>
  <c r="BA313" i="25"/>
  <c r="BA314" i="25"/>
  <c r="BA315" i="25"/>
  <c r="BA316" i="25"/>
  <c r="BA317" i="25"/>
  <c r="BA318" i="25"/>
  <c r="BA319" i="25"/>
  <c r="BA320" i="25"/>
  <c r="BA321" i="25"/>
  <c r="BA322" i="25"/>
  <c r="BA323" i="25"/>
  <c r="BA324" i="25"/>
  <c r="BA325" i="25"/>
  <c r="BA326" i="25"/>
  <c r="BA327" i="25"/>
  <c r="BA328" i="25"/>
  <c r="BA329" i="25"/>
  <c r="BA330" i="25"/>
  <c r="BA331" i="25"/>
  <c r="BA332" i="25"/>
  <c r="BA334" i="25"/>
  <c r="BA335" i="25"/>
  <c r="BA336" i="25"/>
  <c r="BA337" i="25"/>
  <c r="BA338" i="25"/>
  <c r="BA339" i="25"/>
  <c r="BA340" i="25"/>
  <c r="BA341" i="25"/>
  <c r="BA342" i="25"/>
  <c r="BA343" i="25"/>
  <c r="BA344" i="25"/>
  <c r="BA345" i="25"/>
  <c r="BA346" i="25"/>
  <c r="BA347" i="25"/>
  <c r="BA348" i="25"/>
  <c r="BA349" i="25"/>
  <c r="BA350" i="25"/>
  <c r="BA351" i="25"/>
  <c r="BA352" i="25"/>
  <c r="BA353" i="25"/>
  <c r="BA354" i="25"/>
  <c r="BA355" i="25"/>
  <c r="BA356" i="25"/>
  <c r="BA357" i="25"/>
  <c r="BA358" i="25"/>
  <c r="BA359" i="25"/>
  <c r="BA360" i="25"/>
  <c r="BA361" i="25"/>
  <c r="BA362" i="25"/>
  <c r="BA363" i="25"/>
  <c r="BA364" i="25"/>
  <c r="BA365" i="25"/>
  <c r="BA366" i="25"/>
  <c r="BA367" i="25"/>
  <c r="BA368" i="25"/>
  <c r="BA369" i="25"/>
  <c r="BA370" i="25"/>
  <c r="BA371" i="25"/>
  <c r="BA372" i="25"/>
  <c r="BA373" i="25"/>
  <c r="BA374" i="25"/>
  <c r="BA375" i="25"/>
  <c r="BA376" i="25"/>
  <c r="BA377" i="25"/>
  <c r="BA378" i="25"/>
  <c r="BA379" i="25"/>
  <c r="BA380" i="25"/>
  <c r="BA381" i="25"/>
  <c r="BA382" i="25"/>
  <c r="BA383" i="25"/>
  <c r="BA384" i="25"/>
  <c r="BA385" i="25"/>
  <c r="BA386" i="25"/>
  <c r="BA387" i="25"/>
  <c r="BA388" i="25"/>
  <c r="BA389" i="25"/>
  <c r="BA390" i="25"/>
  <c r="BA391" i="25"/>
  <c r="BA392" i="25"/>
  <c r="BA393" i="25"/>
  <c r="BA394" i="25"/>
  <c r="BA395" i="25"/>
  <c r="BA396" i="25"/>
  <c r="BA397" i="25"/>
  <c r="BA398" i="25"/>
  <c r="BA399" i="25"/>
  <c r="BA400" i="25"/>
  <c r="BA401" i="25"/>
  <c r="G25" i="89"/>
  <c r="F26" i="89" l="1"/>
  <c r="F25" i="89"/>
  <c r="F23" i="89"/>
  <c r="F22" i="89"/>
  <c r="F20" i="89"/>
  <c r="F19" i="89"/>
  <c r="F17" i="89"/>
  <c r="G223" i="25"/>
  <c r="G224" i="25"/>
  <c r="G225" i="25"/>
  <c r="G226" i="25"/>
  <c r="G227" i="25"/>
  <c r="G228" i="25"/>
  <c r="G229" i="25"/>
  <c r="G230" i="25"/>
  <c r="G231" i="25"/>
  <c r="G232" i="25"/>
  <c r="G233" i="25"/>
  <c r="G234" i="25"/>
  <c r="G236" i="25"/>
  <c r="G235" i="25"/>
  <c r="G241" i="25"/>
  <c r="G237" i="25"/>
  <c r="G238" i="25"/>
  <c r="G239" i="25"/>
  <c r="G240"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AP380" i="25"/>
  <c r="AQ380" i="25" s="1"/>
  <c r="AP381" i="25"/>
  <c r="AQ381" i="25" s="1"/>
  <c r="AP382" i="25"/>
  <c r="AQ382" i="25" s="1"/>
  <c r="AP383" i="25"/>
  <c r="AQ383" i="25" s="1"/>
  <c r="AP384" i="25"/>
  <c r="AQ384" i="25" s="1"/>
  <c r="AP385" i="25"/>
  <c r="AQ385" i="25" s="1"/>
  <c r="AP386" i="25"/>
  <c r="AQ386" i="25" s="1"/>
  <c r="AP387" i="25"/>
  <c r="AQ387" i="25" s="1"/>
  <c r="AP388" i="25"/>
  <c r="AQ388" i="25" s="1"/>
  <c r="AP389" i="25"/>
  <c r="AQ389" i="25" s="1"/>
  <c r="AP390" i="25"/>
  <c r="AQ390" i="25" s="1"/>
  <c r="AP391" i="25"/>
  <c r="AQ391" i="25" s="1"/>
  <c r="AP392" i="25"/>
  <c r="AQ392" i="25" s="1"/>
  <c r="AP393" i="25"/>
  <c r="AQ393" i="25" s="1"/>
  <c r="AP394" i="25"/>
  <c r="AQ394" i="25" s="1"/>
  <c r="AP395" i="25"/>
  <c r="AQ395" i="25" s="1"/>
  <c r="AP396" i="25"/>
  <c r="AQ396" i="25" s="1"/>
  <c r="AP397" i="25"/>
  <c r="AQ397" i="25" s="1"/>
  <c r="AP398" i="25"/>
  <c r="AQ398" i="25" s="1"/>
  <c r="AP399" i="25"/>
  <c r="AQ399" i="25" s="1"/>
  <c r="AP400" i="25"/>
  <c r="AQ400" i="25" s="1"/>
  <c r="AP401" i="25"/>
  <c r="AQ401" i="25" s="1"/>
  <c r="AR380" i="25"/>
  <c r="AS380" i="25" s="1"/>
  <c r="AR381" i="25"/>
  <c r="AS381" i="25" s="1"/>
  <c r="AR382" i="25"/>
  <c r="AR383" i="25"/>
  <c r="AR384" i="25"/>
  <c r="AS384" i="25" s="1"/>
  <c r="AR385" i="25"/>
  <c r="AR386" i="25"/>
  <c r="AS386" i="25" s="1"/>
  <c r="AR387" i="25"/>
  <c r="AS387" i="25" s="1"/>
  <c r="AR388" i="25"/>
  <c r="AS388" i="25" s="1"/>
  <c r="AR389" i="25"/>
  <c r="AS389" i="25" s="1"/>
  <c r="AR390" i="25"/>
  <c r="AR391" i="25"/>
  <c r="AS391" i="25" s="1"/>
  <c r="AR392" i="25"/>
  <c r="AS392" i="25" s="1"/>
  <c r="AR393" i="25"/>
  <c r="AR394" i="25"/>
  <c r="AS394" i="25" s="1"/>
  <c r="AR395" i="25"/>
  <c r="AS395" i="25" s="1"/>
  <c r="AR396" i="25"/>
  <c r="AS396" i="25" s="1"/>
  <c r="AR397" i="25"/>
  <c r="AS397" i="25" s="1"/>
  <c r="AR398" i="25"/>
  <c r="AR399" i="25"/>
  <c r="AR400" i="25"/>
  <c r="AS400" i="25" s="1"/>
  <c r="AR401" i="25"/>
  <c r="AZ380" i="25"/>
  <c r="AZ381" i="25"/>
  <c r="AZ382" i="25"/>
  <c r="AZ383" i="25"/>
  <c r="AZ384" i="25"/>
  <c r="AZ385" i="25"/>
  <c r="AZ386" i="25"/>
  <c r="AZ387" i="25"/>
  <c r="AZ388" i="25"/>
  <c r="AZ389" i="25"/>
  <c r="AZ390" i="25"/>
  <c r="AZ391" i="25"/>
  <c r="AZ392" i="25"/>
  <c r="AZ393" i="25"/>
  <c r="AZ394" i="25"/>
  <c r="AZ395" i="25"/>
  <c r="AZ396" i="25"/>
  <c r="AZ397" i="25"/>
  <c r="AZ398" i="25"/>
  <c r="AZ399" i="25"/>
  <c r="AZ400" i="25"/>
  <c r="AZ401" i="25"/>
  <c r="BB380" i="25"/>
  <c r="BB381" i="25"/>
  <c r="BB382" i="25"/>
  <c r="BB383" i="25"/>
  <c r="BB384" i="25"/>
  <c r="BF385" i="25"/>
  <c r="BF386" i="25"/>
  <c r="BB387" i="25"/>
  <c r="BB388" i="25"/>
  <c r="BB389" i="25"/>
  <c r="BB390" i="25"/>
  <c r="BF391" i="25"/>
  <c r="BB392" i="25"/>
  <c r="BB393" i="25"/>
  <c r="BF394" i="25"/>
  <c r="BB395" i="25"/>
  <c r="BB396" i="25"/>
  <c r="BB397" i="25"/>
  <c r="BB398" i="25"/>
  <c r="BB399" i="25"/>
  <c r="BB400" i="25"/>
  <c r="BF401" i="25"/>
  <c r="BB386" i="25"/>
  <c r="BC380" i="25"/>
  <c r="BC381" i="25"/>
  <c r="BC382" i="25"/>
  <c r="BC383" i="25"/>
  <c r="BC384" i="25"/>
  <c r="BC385" i="25"/>
  <c r="BC386" i="25"/>
  <c r="BC387" i="25"/>
  <c r="BC388" i="25"/>
  <c r="BC389" i="25"/>
  <c r="BC390" i="25"/>
  <c r="BC391" i="25"/>
  <c r="BC392" i="25"/>
  <c r="BC393" i="25"/>
  <c r="BC394" i="25"/>
  <c r="BC395" i="25"/>
  <c r="BC396" i="25"/>
  <c r="BC397" i="25"/>
  <c r="BC398" i="25"/>
  <c r="BC399" i="25"/>
  <c r="BC400" i="25"/>
  <c r="BC401" i="25"/>
  <c r="BD380" i="25"/>
  <c r="BE380" i="25" s="1"/>
  <c r="BD381" i="25"/>
  <c r="BE381" i="25" s="1"/>
  <c r="BD382" i="25"/>
  <c r="BE382" i="25" s="1"/>
  <c r="BD383" i="25"/>
  <c r="BE383" i="25" s="1"/>
  <c r="BD384" i="25"/>
  <c r="BE384" i="25" s="1"/>
  <c r="BD385" i="25"/>
  <c r="BE385" i="25" s="1"/>
  <c r="BD386" i="25"/>
  <c r="BE386" i="25" s="1"/>
  <c r="BD387" i="25"/>
  <c r="BE387" i="25" s="1"/>
  <c r="BD388" i="25"/>
  <c r="BE388" i="25" s="1"/>
  <c r="BD389" i="25"/>
  <c r="BE389" i="25" s="1"/>
  <c r="BD390" i="25"/>
  <c r="BE390" i="25" s="1"/>
  <c r="BD391" i="25"/>
  <c r="BE391" i="25" s="1"/>
  <c r="BD392" i="25"/>
  <c r="BE392" i="25" s="1"/>
  <c r="BD393" i="25"/>
  <c r="BE393" i="25" s="1"/>
  <c r="BD394" i="25"/>
  <c r="BE394" i="25" s="1"/>
  <c r="BD395" i="25"/>
  <c r="BE395" i="25" s="1"/>
  <c r="BD396" i="25"/>
  <c r="BE396" i="25" s="1"/>
  <c r="BD397" i="25"/>
  <c r="BE397" i="25" s="1"/>
  <c r="BD398" i="25"/>
  <c r="BE398" i="25" s="1"/>
  <c r="BD399" i="25"/>
  <c r="BE399" i="25" s="1"/>
  <c r="BD400" i="25"/>
  <c r="BE400" i="25" s="1"/>
  <c r="BD401" i="25"/>
  <c r="BE401" i="25" s="1"/>
  <c r="BG380" i="25"/>
  <c r="BG381" i="25"/>
  <c r="BG382" i="25"/>
  <c r="BG383" i="25"/>
  <c r="BG384" i="25"/>
  <c r="BG385" i="25"/>
  <c r="BG386" i="25"/>
  <c r="BG387" i="25"/>
  <c r="BG388" i="25"/>
  <c r="BG389" i="25"/>
  <c r="BG390" i="25"/>
  <c r="BG391" i="25"/>
  <c r="BG392" i="25"/>
  <c r="BG393" i="25"/>
  <c r="BG394" i="25"/>
  <c r="BG395" i="25"/>
  <c r="BG396" i="25"/>
  <c r="BG397" i="25"/>
  <c r="BG398" i="25"/>
  <c r="BG399" i="25"/>
  <c r="BG400" i="25"/>
  <c r="BG401" i="25"/>
  <c r="BH380" i="25"/>
  <c r="BH381" i="25"/>
  <c r="BH382" i="25"/>
  <c r="BH383" i="25"/>
  <c r="BH384" i="25"/>
  <c r="BH385" i="25"/>
  <c r="BH386" i="25"/>
  <c r="BH387" i="25"/>
  <c r="BH388" i="25"/>
  <c r="BH389" i="25"/>
  <c r="BH390" i="25"/>
  <c r="BH391" i="25"/>
  <c r="BH392" i="25"/>
  <c r="BH393" i="25"/>
  <c r="BH394" i="25"/>
  <c r="BH395" i="25"/>
  <c r="BH396" i="25"/>
  <c r="BH397" i="25"/>
  <c r="BH398" i="25"/>
  <c r="BH399" i="25"/>
  <c r="BH400" i="25"/>
  <c r="BH401" i="25"/>
  <c r="BN380" i="25"/>
  <c r="BN381" i="25"/>
  <c r="BN382" i="25"/>
  <c r="BN383" i="25"/>
  <c r="BN384" i="25"/>
  <c r="BN385" i="25"/>
  <c r="BN386" i="25"/>
  <c r="BN387" i="25"/>
  <c r="BN388" i="25"/>
  <c r="BN389" i="25"/>
  <c r="BN390" i="25"/>
  <c r="BN391" i="25"/>
  <c r="BN392" i="25"/>
  <c r="BN393" i="25"/>
  <c r="BN394" i="25"/>
  <c r="BN395" i="25"/>
  <c r="BN396" i="25"/>
  <c r="BN397" i="25"/>
  <c r="BN398" i="25"/>
  <c r="BN399" i="25"/>
  <c r="BN400" i="25"/>
  <c r="BN401" i="25"/>
  <c r="BP380" i="25"/>
  <c r="BP381" i="25"/>
  <c r="BP382" i="25"/>
  <c r="BP383" i="25"/>
  <c r="BP384" i="25"/>
  <c r="BP385" i="25"/>
  <c r="BP386" i="25"/>
  <c r="BP387" i="25"/>
  <c r="BP388" i="25"/>
  <c r="BP389" i="25"/>
  <c r="BP390" i="25"/>
  <c r="BP391" i="25"/>
  <c r="BP392" i="25"/>
  <c r="BP393" i="25"/>
  <c r="BP394" i="25"/>
  <c r="BP395" i="25"/>
  <c r="BP396" i="25"/>
  <c r="BP397" i="25"/>
  <c r="BP398" i="25"/>
  <c r="BP399" i="25"/>
  <c r="BP400" i="25"/>
  <c r="BP401" i="25"/>
  <c r="BQ380" i="25"/>
  <c r="BQ381" i="25"/>
  <c r="BQ382" i="25"/>
  <c r="BQ383" i="25"/>
  <c r="BQ384" i="25"/>
  <c r="BQ385" i="25"/>
  <c r="BQ386" i="25"/>
  <c r="BQ387" i="25"/>
  <c r="BQ388" i="25"/>
  <c r="BQ389" i="25"/>
  <c r="BQ390" i="25"/>
  <c r="BQ391" i="25"/>
  <c r="BQ392" i="25"/>
  <c r="BQ393" i="25"/>
  <c r="BQ394" i="25"/>
  <c r="BQ395" i="25"/>
  <c r="BQ396" i="25"/>
  <c r="BQ397" i="25"/>
  <c r="BQ398" i="25"/>
  <c r="BQ399" i="25"/>
  <c r="BQ400" i="25"/>
  <c r="BQ401" i="25"/>
  <c r="BR380" i="25"/>
  <c r="BR381" i="25"/>
  <c r="BR382" i="25"/>
  <c r="BR383" i="25"/>
  <c r="BR384" i="25"/>
  <c r="BR385" i="25"/>
  <c r="BR386" i="25"/>
  <c r="BR387" i="25"/>
  <c r="BR388" i="25"/>
  <c r="BR389" i="25"/>
  <c r="BR390" i="25"/>
  <c r="BR391" i="25"/>
  <c r="BR392" i="25"/>
  <c r="BR393" i="25"/>
  <c r="BR394" i="25"/>
  <c r="BR395" i="25"/>
  <c r="BR396" i="25"/>
  <c r="BR397" i="25"/>
  <c r="BR398" i="25"/>
  <c r="BR399" i="25"/>
  <c r="BR400" i="25"/>
  <c r="BR401" i="25"/>
  <c r="BS380" i="25"/>
  <c r="BS381" i="25"/>
  <c r="BS382" i="25"/>
  <c r="BS383" i="25"/>
  <c r="BS384" i="25"/>
  <c r="BS385" i="25"/>
  <c r="BS386" i="25"/>
  <c r="BS387" i="25"/>
  <c r="BS388" i="25"/>
  <c r="BS389" i="25"/>
  <c r="BS390" i="25"/>
  <c r="BS391" i="25"/>
  <c r="BS392" i="25"/>
  <c r="BS393" i="25"/>
  <c r="BS394" i="25"/>
  <c r="BS395" i="25"/>
  <c r="BS396" i="25"/>
  <c r="BS397" i="25"/>
  <c r="BS398" i="25"/>
  <c r="BS399" i="25"/>
  <c r="BS400" i="25"/>
  <c r="BS401" i="25"/>
  <c r="BT380" i="25"/>
  <c r="BT381" i="25"/>
  <c r="BT382" i="25"/>
  <c r="BT383" i="25"/>
  <c r="BT384" i="25"/>
  <c r="BT385" i="25"/>
  <c r="BT386" i="25"/>
  <c r="BT387" i="25"/>
  <c r="BT388" i="25"/>
  <c r="BT389" i="25"/>
  <c r="BT390" i="25"/>
  <c r="BT391" i="25"/>
  <c r="BT392" i="25"/>
  <c r="BT393" i="25"/>
  <c r="BT394" i="25"/>
  <c r="BT395" i="25"/>
  <c r="BT396" i="25"/>
  <c r="BT397" i="25"/>
  <c r="BT398" i="25"/>
  <c r="BT399" i="25"/>
  <c r="BT400" i="25"/>
  <c r="BU380" i="25"/>
  <c r="BU381" i="25"/>
  <c r="BU382" i="25"/>
  <c r="BU383" i="25"/>
  <c r="BU384" i="25"/>
  <c r="BU385" i="25"/>
  <c r="BU386" i="25"/>
  <c r="BU387" i="25"/>
  <c r="BU388" i="25"/>
  <c r="BU389" i="25"/>
  <c r="BU390" i="25"/>
  <c r="BU391" i="25"/>
  <c r="BU392" i="25"/>
  <c r="BU393" i="25"/>
  <c r="BU394" i="25"/>
  <c r="BU395" i="25"/>
  <c r="BU396" i="25"/>
  <c r="BU397" i="25"/>
  <c r="BU398" i="25"/>
  <c r="BU399" i="25"/>
  <c r="BU400" i="25"/>
  <c r="BV380" i="25"/>
  <c r="BV381" i="25"/>
  <c r="BV382" i="25"/>
  <c r="BV383" i="25"/>
  <c r="BV384" i="25"/>
  <c r="BV385" i="25"/>
  <c r="BV386" i="25"/>
  <c r="BV387" i="25"/>
  <c r="BV388" i="25"/>
  <c r="BV389" i="25"/>
  <c r="BV390" i="25"/>
  <c r="BV391" i="25"/>
  <c r="BV392" i="25"/>
  <c r="BV393" i="25"/>
  <c r="BV394" i="25"/>
  <c r="BV395" i="25"/>
  <c r="BV396" i="25"/>
  <c r="BV397" i="25"/>
  <c r="BV398" i="25"/>
  <c r="BV399" i="25"/>
  <c r="BV400" i="25"/>
  <c r="BW380" i="25"/>
  <c r="BW381" i="25"/>
  <c r="BW382" i="25"/>
  <c r="BW383" i="25"/>
  <c r="BW384" i="25"/>
  <c r="BW385" i="25"/>
  <c r="BW386" i="25"/>
  <c r="BW387" i="25"/>
  <c r="BW388" i="25"/>
  <c r="BW389" i="25"/>
  <c r="BW390" i="25"/>
  <c r="BW391" i="25"/>
  <c r="BW392" i="25"/>
  <c r="BW393" i="25"/>
  <c r="BW394" i="25"/>
  <c r="BW395" i="25"/>
  <c r="BW396" i="25"/>
  <c r="BW397" i="25"/>
  <c r="BW398" i="25"/>
  <c r="BW399" i="25"/>
  <c r="BW400" i="25"/>
  <c r="BW401" i="25"/>
  <c r="G28" i="89"/>
  <c r="BL393" i="25" l="1"/>
  <c r="BL400" i="25"/>
  <c r="BL392" i="25"/>
  <c r="BL384" i="25"/>
  <c r="BL386" i="25"/>
  <c r="BL398" i="25"/>
  <c r="BL390" i="25"/>
  <c r="BL382" i="25"/>
  <c r="BL397" i="25"/>
  <c r="BL389" i="25"/>
  <c r="BL381" i="25"/>
  <c r="BL395" i="25"/>
  <c r="BL387" i="25"/>
  <c r="BL394" i="25"/>
  <c r="AT384" i="25"/>
  <c r="AW384" i="25" s="1"/>
  <c r="AX384" i="25" s="1"/>
  <c r="AU388" i="25"/>
  <c r="AV388" i="25" s="1"/>
  <c r="AY388" i="25" s="1"/>
  <c r="BO380" i="25"/>
  <c r="BI380" i="25" s="1"/>
  <c r="BJ380" i="25" s="1"/>
  <c r="BK380" i="25" s="1"/>
  <c r="BB391" i="25"/>
  <c r="AU380" i="25"/>
  <c r="AV380" i="25" s="1"/>
  <c r="AY380" i="25" s="1"/>
  <c r="AT400" i="25"/>
  <c r="AW400" i="25" s="1"/>
  <c r="AX400" i="25" s="1"/>
  <c r="BO399" i="25"/>
  <c r="BI399" i="25" s="1"/>
  <c r="BJ399" i="25" s="1"/>
  <c r="BK399" i="25" s="1"/>
  <c r="BF397" i="25"/>
  <c r="AU395" i="25"/>
  <c r="AV395" i="25" s="1"/>
  <c r="AY395" i="25" s="1"/>
  <c r="BO395" i="25"/>
  <c r="BI395" i="25" s="1"/>
  <c r="BJ395" i="25" s="1"/>
  <c r="BK395" i="25" s="1"/>
  <c r="BO387" i="25"/>
  <c r="BI387" i="25" s="1"/>
  <c r="BJ387" i="25" s="1"/>
  <c r="BK387" i="25" s="1"/>
  <c r="AT401" i="25"/>
  <c r="AW401" i="25" s="1"/>
  <c r="AX401" i="25" s="1"/>
  <c r="AT393" i="25"/>
  <c r="AW393" i="25" s="1"/>
  <c r="AX393" i="25" s="1"/>
  <c r="AT385" i="25"/>
  <c r="AW385" i="25" s="1"/>
  <c r="AX385" i="25" s="1"/>
  <c r="BF399" i="25"/>
  <c r="AT392" i="25"/>
  <c r="AW392" i="25" s="1"/>
  <c r="AX392" i="25" s="1"/>
  <c r="BO393" i="25"/>
  <c r="BI393" i="25" s="1"/>
  <c r="BJ393" i="25" s="1"/>
  <c r="BK393" i="25" s="1"/>
  <c r="BB401" i="25"/>
  <c r="BF381" i="25"/>
  <c r="BB385" i="25"/>
  <c r="AU396" i="25"/>
  <c r="AV396" i="25" s="1"/>
  <c r="AY396" i="25" s="1"/>
  <c r="AT394" i="25"/>
  <c r="AW394" i="25" s="1"/>
  <c r="AX394" i="25" s="1"/>
  <c r="BO394" i="25"/>
  <c r="BI394" i="25" s="1"/>
  <c r="BJ394" i="25" s="1"/>
  <c r="BK394" i="25" s="1"/>
  <c r="BO386" i="25"/>
  <c r="BI386" i="25" s="1"/>
  <c r="BJ386" i="25" s="1"/>
  <c r="BK386" i="25" s="1"/>
  <c r="BO400" i="25"/>
  <c r="BI400" i="25" s="1"/>
  <c r="BJ400" i="25" s="1"/>
  <c r="BK400" i="25" s="1"/>
  <c r="BO392" i="25"/>
  <c r="BI392" i="25" s="1"/>
  <c r="BJ392" i="25" s="1"/>
  <c r="BK392" i="25" s="1"/>
  <c r="BO384" i="25"/>
  <c r="BI384" i="25" s="1"/>
  <c r="BJ384" i="25" s="1"/>
  <c r="BK384" i="25" s="1"/>
  <c r="AT399" i="25"/>
  <c r="AW399" i="25" s="1"/>
  <c r="AX399" i="25" s="1"/>
  <c r="AT391" i="25"/>
  <c r="AW391" i="25" s="1"/>
  <c r="AX391" i="25" s="1"/>
  <c r="AT383" i="25"/>
  <c r="AW383" i="25" s="1"/>
  <c r="AX383" i="25" s="1"/>
  <c r="BO401" i="25"/>
  <c r="BI401" i="25" s="1"/>
  <c r="BJ401" i="25" s="1"/>
  <c r="BK401" i="25" s="1"/>
  <c r="BO385" i="25"/>
  <c r="BI385" i="25" s="1"/>
  <c r="BJ385" i="25" s="1"/>
  <c r="BK385" i="25" s="1"/>
  <c r="BO391" i="25"/>
  <c r="BI391" i="25" s="1"/>
  <c r="BJ391" i="25" s="1"/>
  <c r="BK391" i="25" s="1"/>
  <c r="BO383" i="25"/>
  <c r="BI383" i="25" s="1"/>
  <c r="BJ383" i="25" s="1"/>
  <c r="BK383" i="25" s="1"/>
  <c r="BF383" i="25"/>
  <c r="AU391" i="25"/>
  <c r="AV391" i="25" s="1"/>
  <c r="AY391" i="25" s="1"/>
  <c r="BO396" i="25"/>
  <c r="BI396" i="25" s="1"/>
  <c r="BJ396" i="25" s="1"/>
  <c r="BK396" i="25" s="1"/>
  <c r="BO388" i="25"/>
  <c r="BI388" i="25" s="1"/>
  <c r="BJ388" i="25" s="1"/>
  <c r="BK388" i="25" s="1"/>
  <c r="BB394" i="25"/>
  <c r="AU392" i="25"/>
  <c r="AV392" i="25" s="1"/>
  <c r="AY392" i="25" s="1"/>
  <c r="BO398" i="25"/>
  <c r="BI398" i="25" s="1"/>
  <c r="BJ398" i="25" s="1"/>
  <c r="BK398" i="25" s="1"/>
  <c r="BO390" i="25"/>
  <c r="BI390" i="25" s="1"/>
  <c r="BJ390" i="25" s="1"/>
  <c r="BK390" i="25" s="1"/>
  <c r="BO382" i="25"/>
  <c r="BI382" i="25" s="1"/>
  <c r="BJ382" i="25" s="1"/>
  <c r="BK382" i="25" s="1"/>
  <c r="AS399" i="25"/>
  <c r="AU399" i="25" s="1"/>
  <c r="AV399" i="25" s="1"/>
  <c r="AY399" i="25" s="1"/>
  <c r="AS383" i="25"/>
  <c r="AU383" i="25" s="1"/>
  <c r="AV383" i="25" s="1"/>
  <c r="AY383" i="25" s="1"/>
  <c r="AT395" i="25"/>
  <c r="AW395" i="25" s="1"/>
  <c r="AX395" i="25" s="1"/>
  <c r="AT387" i="25"/>
  <c r="AW387" i="25" s="1"/>
  <c r="AX387" i="25" s="1"/>
  <c r="BO397" i="25"/>
  <c r="BI397" i="25" s="1"/>
  <c r="BJ397" i="25" s="1"/>
  <c r="BK397" i="25" s="1"/>
  <c r="BO389" i="25"/>
  <c r="BI389" i="25" s="1"/>
  <c r="BJ389" i="25" s="1"/>
  <c r="BK389" i="25" s="1"/>
  <c r="BO381" i="25"/>
  <c r="BI381" i="25" s="1"/>
  <c r="BJ381" i="25" s="1"/>
  <c r="BK381" i="25" s="1"/>
  <c r="BF393" i="25"/>
  <c r="AU397" i="25"/>
  <c r="AV397" i="25" s="1"/>
  <c r="AY397" i="25" s="1"/>
  <c r="AU389" i="25"/>
  <c r="AV389" i="25" s="1"/>
  <c r="AY389" i="25" s="1"/>
  <c r="AU381" i="25"/>
  <c r="AV381" i="25" s="1"/>
  <c r="AY381" i="25" s="1"/>
  <c r="AT389" i="25"/>
  <c r="AW389" i="25" s="1"/>
  <c r="AX389" i="25" s="1"/>
  <c r="BL401" i="25"/>
  <c r="BL385" i="25"/>
  <c r="BF389" i="25"/>
  <c r="AT386" i="25"/>
  <c r="AW386" i="25" s="1"/>
  <c r="AX386" i="25" s="1"/>
  <c r="AU400" i="25"/>
  <c r="AV400" i="25" s="1"/>
  <c r="AY400" i="25" s="1"/>
  <c r="AU384" i="25"/>
  <c r="AV384" i="25" s="1"/>
  <c r="AY384" i="25" s="1"/>
  <c r="AT398" i="25"/>
  <c r="AW398" i="25" s="1"/>
  <c r="AX398" i="25" s="1"/>
  <c r="AT390" i="25"/>
  <c r="AW390" i="25" s="1"/>
  <c r="AX390" i="25" s="1"/>
  <c r="AT382" i="25"/>
  <c r="AW382" i="25" s="1"/>
  <c r="AX382" i="25" s="1"/>
  <c r="AT397" i="25"/>
  <c r="AW397" i="25" s="1"/>
  <c r="AX397" i="25" s="1"/>
  <c r="AT381" i="25"/>
  <c r="AW381" i="25" s="1"/>
  <c r="AX381" i="25" s="1"/>
  <c r="AU387" i="25"/>
  <c r="AV387" i="25" s="1"/>
  <c r="AY387" i="25" s="1"/>
  <c r="AU394" i="25"/>
  <c r="AV394" i="25" s="1"/>
  <c r="AY394" i="25" s="1"/>
  <c r="AU386" i="25"/>
  <c r="AV386" i="25" s="1"/>
  <c r="AY386" i="25" s="1"/>
  <c r="BF396" i="25"/>
  <c r="BF388" i="25"/>
  <c r="BF380" i="25"/>
  <c r="AT396" i="25"/>
  <c r="AW396" i="25" s="1"/>
  <c r="AX396" i="25" s="1"/>
  <c r="AT388" i="25"/>
  <c r="AW388" i="25" s="1"/>
  <c r="AX388" i="25" s="1"/>
  <c r="AT380" i="25"/>
  <c r="AW380" i="25" s="1"/>
  <c r="AX380" i="25" s="1"/>
  <c r="BL399" i="25"/>
  <c r="BL391" i="25"/>
  <c r="BL383" i="25"/>
  <c r="BF395" i="25"/>
  <c r="BF387" i="25"/>
  <c r="AS401" i="25"/>
  <c r="AU401" i="25" s="1"/>
  <c r="AV401" i="25" s="1"/>
  <c r="AY401" i="25" s="1"/>
  <c r="AS393" i="25"/>
  <c r="AU393" i="25" s="1"/>
  <c r="AV393" i="25" s="1"/>
  <c r="AY393" i="25" s="1"/>
  <c r="AS385" i="25"/>
  <c r="AU385" i="25" s="1"/>
  <c r="AV385" i="25" s="1"/>
  <c r="AY385" i="25" s="1"/>
  <c r="BL396" i="25"/>
  <c r="BL388" i="25"/>
  <c r="BL380" i="25"/>
  <c r="BF400" i="25"/>
  <c r="BF392" i="25"/>
  <c r="BF384" i="25"/>
  <c r="AS398" i="25"/>
  <c r="AU398" i="25" s="1"/>
  <c r="AV398" i="25" s="1"/>
  <c r="AY398" i="25" s="1"/>
  <c r="AS390" i="25"/>
  <c r="AU390" i="25" s="1"/>
  <c r="AV390" i="25" s="1"/>
  <c r="AY390" i="25" s="1"/>
  <c r="AS382" i="25"/>
  <c r="AU382" i="25" s="1"/>
  <c r="AV382" i="25" s="1"/>
  <c r="AY382" i="25" s="1"/>
  <c r="BF398" i="25"/>
  <c r="BF390" i="25"/>
  <c r="BF382" i="25"/>
  <c r="BN7" i="25" l="1"/>
  <c r="BN8" i="25"/>
  <c r="BN9" i="25"/>
  <c r="BO9" i="25" s="1"/>
  <c r="BN10" i="25"/>
  <c r="BN11" i="25"/>
  <c r="BN12" i="25"/>
  <c r="BN13" i="25"/>
  <c r="BN14" i="25"/>
  <c r="BN15" i="25"/>
  <c r="BN16" i="25"/>
  <c r="BN17" i="25"/>
  <c r="BO17" i="25" s="1"/>
  <c r="BN18" i="25"/>
  <c r="BN19" i="25"/>
  <c r="BN20" i="25"/>
  <c r="BN21" i="25"/>
  <c r="BN22" i="25"/>
  <c r="BN23" i="25"/>
  <c r="BN24" i="25"/>
  <c r="BN25" i="25"/>
  <c r="BO25" i="25" s="1"/>
  <c r="BN26" i="25"/>
  <c r="BN27" i="25"/>
  <c r="BN28" i="25"/>
  <c r="BN29" i="25"/>
  <c r="BN30" i="25"/>
  <c r="BN31" i="25"/>
  <c r="BN32" i="25"/>
  <c r="BN33" i="25"/>
  <c r="BO33" i="25" s="1"/>
  <c r="BN34" i="25"/>
  <c r="BN35" i="25"/>
  <c r="BN36" i="25"/>
  <c r="BN37" i="25"/>
  <c r="BN38" i="25"/>
  <c r="BN39" i="25"/>
  <c r="BN40" i="25"/>
  <c r="BN41" i="25"/>
  <c r="BO41" i="25" s="1"/>
  <c r="BN42" i="25"/>
  <c r="BN43" i="25"/>
  <c r="BN44" i="25"/>
  <c r="BN45" i="25"/>
  <c r="BN46" i="25"/>
  <c r="BN47" i="25"/>
  <c r="BN48" i="25"/>
  <c r="BN49" i="25"/>
  <c r="BO49" i="25" s="1"/>
  <c r="BN50" i="25"/>
  <c r="BN51" i="25"/>
  <c r="BN52" i="25"/>
  <c r="BN53" i="25"/>
  <c r="BN54" i="25"/>
  <c r="BN55" i="25"/>
  <c r="BN56" i="25"/>
  <c r="BN57" i="25"/>
  <c r="BO57" i="25" s="1"/>
  <c r="BN58" i="25"/>
  <c r="BN59" i="25"/>
  <c r="BN60" i="25"/>
  <c r="BN61" i="25"/>
  <c r="BN62" i="25"/>
  <c r="BN63" i="25"/>
  <c r="BN64" i="25"/>
  <c r="BN65" i="25"/>
  <c r="BO65" i="25" s="1"/>
  <c r="BN66" i="25"/>
  <c r="BN67" i="25"/>
  <c r="BN68" i="25"/>
  <c r="BN69" i="25"/>
  <c r="BN70" i="25"/>
  <c r="BN71" i="25"/>
  <c r="BN72" i="25"/>
  <c r="BN73" i="25"/>
  <c r="BO73" i="25" s="1"/>
  <c r="BN74" i="25"/>
  <c r="BN75" i="25"/>
  <c r="BN76" i="25"/>
  <c r="BN77" i="25"/>
  <c r="BN78" i="25"/>
  <c r="BN79" i="25"/>
  <c r="BN80" i="25"/>
  <c r="BN81" i="25"/>
  <c r="BO81" i="25" s="1"/>
  <c r="BN82" i="25"/>
  <c r="BN83" i="25"/>
  <c r="BN84" i="25"/>
  <c r="BN85" i="25"/>
  <c r="BN86" i="25"/>
  <c r="BN87" i="25"/>
  <c r="BN88" i="25"/>
  <c r="BN89" i="25"/>
  <c r="BO89" i="25" s="1"/>
  <c r="BN90" i="25"/>
  <c r="BN91" i="25"/>
  <c r="BN92" i="25"/>
  <c r="BN93" i="25"/>
  <c r="BN94" i="25"/>
  <c r="BN95" i="25"/>
  <c r="BN96" i="25"/>
  <c r="BN97" i="25"/>
  <c r="BO97" i="25" s="1"/>
  <c r="BN98" i="25"/>
  <c r="BN99" i="25"/>
  <c r="BN100" i="25"/>
  <c r="BN101" i="25"/>
  <c r="BN102" i="25"/>
  <c r="BN103" i="25"/>
  <c r="BN104" i="25"/>
  <c r="BN105" i="25"/>
  <c r="BO105" i="25" s="1"/>
  <c r="BN106" i="25"/>
  <c r="BN107" i="25"/>
  <c r="BN108" i="25"/>
  <c r="BN109" i="25"/>
  <c r="BN110" i="25"/>
  <c r="BN111" i="25"/>
  <c r="BN112" i="25"/>
  <c r="BN113" i="25"/>
  <c r="BO113" i="25" s="1"/>
  <c r="BN114" i="25"/>
  <c r="BN115" i="25"/>
  <c r="BN116" i="25"/>
  <c r="BN117" i="25"/>
  <c r="BN118" i="25"/>
  <c r="BN119" i="25"/>
  <c r="BN120" i="25"/>
  <c r="BN121" i="25"/>
  <c r="BO121" i="25" s="1"/>
  <c r="BN122" i="25"/>
  <c r="BN123" i="25"/>
  <c r="BN124" i="25"/>
  <c r="BN125" i="25"/>
  <c r="BN126" i="25"/>
  <c r="BN127" i="25"/>
  <c r="BN128" i="25"/>
  <c r="BN129" i="25"/>
  <c r="BO129" i="25" s="1"/>
  <c r="BN130" i="25"/>
  <c r="BN131" i="25"/>
  <c r="BN132" i="25"/>
  <c r="BN133" i="25"/>
  <c r="BN134" i="25"/>
  <c r="BN135" i="25"/>
  <c r="BN136" i="25"/>
  <c r="BN137" i="25"/>
  <c r="BO137" i="25" s="1"/>
  <c r="BN138" i="25"/>
  <c r="BN139" i="25"/>
  <c r="BN140" i="25"/>
  <c r="BN141" i="25"/>
  <c r="BN142" i="25"/>
  <c r="BN143" i="25"/>
  <c r="BN144" i="25"/>
  <c r="BN145" i="25"/>
  <c r="BO145" i="25" s="1"/>
  <c r="BN146" i="25"/>
  <c r="BN147" i="25"/>
  <c r="BN148" i="25"/>
  <c r="BN149" i="25"/>
  <c r="BN150" i="25"/>
  <c r="BN151" i="25"/>
  <c r="BN152" i="25"/>
  <c r="BN153" i="25"/>
  <c r="BO153" i="25" s="1"/>
  <c r="BN154" i="25"/>
  <c r="BN155" i="25"/>
  <c r="BN156" i="25"/>
  <c r="BN157" i="25"/>
  <c r="BN158" i="25"/>
  <c r="BN159" i="25"/>
  <c r="BN160" i="25"/>
  <c r="BN161" i="25"/>
  <c r="BO161" i="25" s="1"/>
  <c r="BN162" i="25"/>
  <c r="BN163" i="25"/>
  <c r="BN164" i="25"/>
  <c r="BN165" i="25"/>
  <c r="BN166" i="25"/>
  <c r="BN167" i="25"/>
  <c r="BN168" i="25"/>
  <c r="BN169" i="25"/>
  <c r="BO169" i="25" s="1"/>
  <c r="BN170" i="25"/>
  <c r="BN171" i="25"/>
  <c r="BN172" i="25"/>
  <c r="BN173" i="25"/>
  <c r="BN174" i="25"/>
  <c r="BN175" i="25"/>
  <c r="BN176" i="25"/>
  <c r="BN177" i="25"/>
  <c r="BO177" i="25" s="1"/>
  <c r="BN178" i="25"/>
  <c r="BN179" i="25"/>
  <c r="BN180" i="25"/>
  <c r="BN181" i="25"/>
  <c r="BN182" i="25"/>
  <c r="BN183" i="25"/>
  <c r="BN184" i="25"/>
  <c r="BN185" i="25"/>
  <c r="BO185" i="25" s="1"/>
  <c r="BN186" i="25"/>
  <c r="BN187" i="25"/>
  <c r="BN188" i="25"/>
  <c r="BN189" i="25"/>
  <c r="BN190" i="25"/>
  <c r="BN191" i="25"/>
  <c r="BN192" i="25"/>
  <c r="BN193" i="25"/>
  <c r="BO193" i="25" s="1"/>
  <c r="BN194" i="25"/>
  <c r="BN195" i="25"/>
  <c r="BN196" i="25"/>
  <c r="BN197" i="25"/>
  <c r="BN198" i="25"/>
  <c r="BN199" i="25"/>
  <c r="BN200" i="25"/>
  <c r="BN201" i="25"/>
  <c r="BO201" i="25" s="1"/>
  <c r="BN202" i="25"/>
  <c r="BN203" i="25"/>
  <c r="BN204" i="25"/>
  <c r="BN205" i="25"/>
  <c r="BN206" i="25"/>
  <c r="BN207" i="25"/>
  <c r="BN208" i="25"/>
  <c r="BN209" i="25"/>
  <c r="BO209" i="25" s="1"/>
  <c r="BN210" i="25"/>
  <c r="BN211" i="25"/>
  <c r="BN212" i="25"/>
  <c r="BN213" i="25"/>
  <c r="BN214" i="25"/>
  <c r="BN215" i="25"/>
  <c r="BN216" i="25"/>
  <c r="BN217" i="25"/>
  <c r="BO217" i="25" s="1"/>
  <c r="BN218" i="25"/>
  <c r="BN219" i="25"/>
  <c r="BN220" i="25"/>
  <c r="BN221" i="25"/>
  <c r="BN222" i="25"/>
  <c r="BN223" i="25"/>
  <c r="BN224" i="25"/>
  <c r="BN225" i="25"/>
  <c r="BO225" i="25" s="1"/>
  <c r="BN226" i="25"/>
  <c r="BN227" i="25"/>
  <c r="BN228" i="25"/>
  <c r="BO228" i="25" s="1"/>
  <c r="BN229" i="25"/>
  <c r="BN230" i="25"/>
  <c r="BN231" i="25"/>
  <c r="BN232" i="25"/>
  <c r="BN233" i="25"/>
  <c r="BN234" i="25"/>
  <c r="BN236" i="25"/>
  <c r="BN235" i="25"/>
  <c r="BO235" i="25" s="1"/>
  <c r="BN241" i="25"/>
  <c r="BN237" i="25"/>
  <c r="BN238" i="25"/>
  <c r="BN239" i="25"/>
  <c r="BN240" i="25"/>
  <c r="BN242" i="25"/>
  <c r="BO242" i="25" s="1"/>
  <c r="BN243" i="25"/>
  <c r="BN244" i="25"/>
  <c r="BN245" i="25"/>
  <c r="BN246" i="25"/>
  <c r="BN247" i="25"/>
  <c r="BN248" i="25"/>
  <c r="BN249" i="25"/>
  <c r="BN250" i="25"/>
  <c r="BO250" i="25" s="1"/>
  <c r="BN251" i="25"/>
  <c r="BN252" i="25"/>
  <c r="BN253" i="25"/>
  <c r="BN254" i="25"/>
  <c r="BN255" i="25"/>
  <c r="BN256" i="25"/>
  <c r="BN257" i="25"/>
  <c r="BN258" i="25"/>
  <c r="BO258" i="25" s="1"/>
  <c r="BN259" i="25"/>
  <c r="BN260" i="25"/>
  <c r="BN261" i="25"/>
  <c r="BN262" i="25"/>
  <c r="BN263" i="25"/>
  <c r="BN264" i="25"/>
  <c r="BN265" i="25"/>
  <c r="BN266" i="25"/>
  <c r="BO266" i="25" s="1"/>
  <c r="BN267" i="25"/>
  <c r="BN268" i="25"/>
  <c r="BN269" i="25"/>
  <c r="BN270" i="25"/>
  <c r="BN271" i="25"/>
  <c r="BN272" i="25"/>
  <c r="BN273" i="25"/>
  <c r="BO273" i="25" s="1"/>
  <c r="BN274" i="25"/>
  <c r="BN275" i="25"/>
  <c r="BN276" i="25"/>
  <c r="BN277" i="25"/>
  <c r="BN278" i="25"/>
  <c r="BN279" i="25"/>
  <c r="BN280" i="25"/>
  <c r="BN281" i="25"/>
  <c r="BO281" i="25" s="1"/>
  <c r="BN282" i="25"/>
  <c r="BN283" i="25"/>
  <c r="BN284" i="25"/>
  <c r="BN285" i="25"/>
  <c r="BN286" i="25"/>
  <c r="BN287" i="25"/>
  <c r="BN288" i="25"/>
  <c r="BN289" i="25"/>
  <c r="BO289" i="25" s="1"/>
  <c r="BN290" i="25"/>
  <c r="BN291" i="25"/>
  <c r="BN292" i="25"/>
  <c r="BN293" i="25"/>
  <c r="BN294" i="25"/>
  <c r="BN295" i="25"/>
  <c r="BN296" i="25"/>
  <c r="BN297" i="25"/>
  <c r="BO297" i="25" s="1"/>
  <c r="BN298" i="25"/>
  <c r="BN299" i="25"/>
  <c r="BN300" i="25"/>
  <c r="BN301" i="25"/>
  <c r="BN302" i="25"/>
  <c r="BN303" i="25"/>
  <c r="BN304" i="25"/>
  <c r="BN305" i="25"/>
  <c r="BO305" i="25" s="1"/>
  <c r="BN306" i="25"/>
  <c r="BN307" i="25"/>
  <c r="BN308" i="25"/>
  <c r="BN309" i="25"/>
  <c r="BN310" i="25"/>
  <c r="BN311" i="25"/>
  <c r="BN312" i="25"/>
  <c r="BN313" i="25"/>
  <c r="BO313" i="25" s="1"/>
  <c r="BN314" i="25"/>
  <c r="BN315" i="25"/>
  <c r="BN316" i="25"/>
  <c r="BN317" i="25"/>
  <c r="BN318" i="25"/>
  <c r="BN319" i="25"/>
  <c r="BN320" i="25"/>
  <c r="BN321" i="25"/>
  <c r="BO321" i="25" s="1"/>
  <c r="BN322" i="25"/>
  <c r="BN323" i="25"/>
  <c r="BN324" i="25"/>
  <c r="BN325" i="25"/>
  <c r="BN326" i="25"/>
  <c r="BN327" i="25"/>
  <c r="BN328" i="25"/>
  <c r="BN329" i="25"/>
  <c r="BO329" i="25" s="1"/>
  <c r="BN330" i="25"/>
  <c r="BN331" i="25"/>
  <c r="BN332" i="25"/>
  <c r="BN333" i="25"/>
  <c r="BN334" i="25"/>
  <c r="BN335" i="25"/>
  <c r="BN336" i="25"/>
  <c r="BN337" i="25"/>
  <c r="BO337" i="25" s="1"/>
  <c r="BN338" i="25"/>
  <c r="BN339" i="25"/>
  <c r="BN340" i="25"/>
  <c r="BN341" i="25"/>
  <c r="BN342" i="25"/>
  <c r="BN343" i="25"/>
  <c r="BN344" i="25"/>
  <c r="BN345" i="25"/>
  <c r="BN346" i="25"/>
  <c r="BN347" i="25"/>
  <c r="BN348" i="25"/>
  <c r="BN349" i="25"/>
  <c r="BN350" i="25"/>
  <c r="BN351" i="25"/>
  <c r="BO351" i="25" s="1"/>
  <c r="BN352" i="25"/>
  <c r="BN353" i="25"/>
  <c r="BN354" i="25"/>
  <c r="BN355" i="25"/>
  <c r="BN356" i="25"/>
  <c r="BN357" i="25"/>
  <c r="BN358" i="25"/>
  <c r="BN359" i="25"/>
  <c r="BO359" i="25" s="1"/>
  <c r="BN360" i="25"/>
  <c r="BN361" i="25"/>
  <c r="BO361" i="25" s="1"/>
  <c r="BN362" i="25"/>
  <c r="BN363" i="25"/>
  <c r="BN364" i="25"/>
  <c r="BN365" i="25"/>
  <c r="BN366" i="25"/>
  <c r="BN367" i="25"/>
  <c r="BN368" i="25"/>
  <c r="BN369" i="25"/>
  <c r="BO369" i="25" s="1"/>
  <c r="BN370" i="25"/>
  <c r="BN371" i="25"/>
  <c r="BN372" i="25"/>
  <c r="BN373" i="25"/>
  <c r="BN374" i="25"/>
  <c r="BN375" i="25"/>
  <c r="BN376" i="25"/>
  <c r="BN377" i="25"/>
  <c r="BO377" i="25" s="1"/>
  <c r="BN378" i="25"/>
  <c r="BN379" i="25"/>
  <c r="BO373" i="25" l="1"/>
  <c r="BO333" i="25"/>
  <c r="BO325" i="25"/>
  <c r="BO317" i="25"/>
  <c r="BO309" i="25"/>
  <c r="BO301" i="25"/>
  <c r="BO293" i="25"/>
  <c r="BO285" i="25"/>
  <c r="BO277" i="25"/>
  <c r="BO270" i="25"/>
  <c r="BO262" i="25"/>
  <c r="BO254" i="25"/>
  <c r="BO246" i="25"/>
  <c r="BO232" i="25"/>
  <c r="BO221" i="25"/>
  <c r="BO213" i="25"/>
  <c r="BO205" i="25"/>
  <c r="BO197" i="25"/>
  <c r="BO189" i="25"/>
  <c r="BO181" i="25"/>
  <c r="BO173" i="25"/>
  <c r="BO165" i="25"/>
  <c r="BO157" i="25"/>
  <c r="BO149" i="25"/>
  <c r="BO141" i="25"/>
  <c r="BO133" i="25"/>
  <c r="BO125" i="25"/>
  <c r="BO117" i="25"/>
  <c r="BO109" i="25"/>
  <c r="BO101" i="25"/>
  <c r="BO93" i="25"/>
  <c r="BO85" i="25"/>
  <c r="BO77" i="25"/>
  <c r="BO69" i="25"/>
  <c r="BO61" i="25"/>
  <c r="BO53" i="25"/>
  <c r="BO45" i="25"/>
  <c r="BO365" i="25"/>
  <c r="BO355" i="25"/>
  <c r="BO341" i="25"/>
  <c r="BO347" i="25"/>
  <c r="BO37" i="25"/>
  <c r="BO29" i="25"/>
  <c r="BO21" i="25"/>
  <c r="BO13" i="25"/>
  <c r="BO367" i="25"/>
  <c r="BO357" i="25"/>
  <c r="BO349" i="25"/>
  <c r="BO343" i="25"/>
  <c r="BO335" i="25"/>
  <c r="BO327" i="25"/>
  <c r="BO319" i="25"/>
  <c r="BO311" i="25"/>
  <c r="BO303" i="25"/>
  <c r="BO295" i="25"/>
  <c r="BO287" i="25"/>
  <c r="BO279" i="25"/>
  <c r="BO271" i="25"/>
  <c r="BO264" i="25"/>
  <c r="BO256" i="25"/>
  <c r="BO248" i="25"/>
  <c r="BO239" i="25"/>
  <c r="BO234" i="25"/>
  <c r="BO226" i="25"/>
  <c r="BO223" i="25"/>
  <c r="BO215" i="25"/>
  <c r="BO207" i="25"/>
  <c r="BO199" i="25"/>
  <c r="BO191" i="25"/>
  <c r="BO183" i="25"/>
  <c r="BO175" i="25"/>
  <c r="BO167" i="25"/>
  <c r="BO159" i="25"/>
  <c r="BO151" i="25"/>
  <c r="BO143" i="25"/>
  <c r="BO135" i="25"/>
  <c r="BO127" i="25"/>
  <c r="BO119" i="25"/>
  <c r="BO111" i="25"/>
  <c r="BO103" i="25"/>
  <c r="BO95" i="25"/>
  <c r="BO87" i="25"/>
  <c r="BO79" i="25"/>
  <c r="BO71" i="25"/>
  <c r="BO63" i="25"/>
  <c r="BO55" i="25"/>
  <c r="BO47" i="25"/>
  <c r="BO39" i="25"/>
  <c r="BO31" i="25"/>
  <c r="BO23" i="25"/>
  <c r="BO15" i="25"/>
  <c r="BO7" i="25"/>
  <c r="BO375" i="25"/>
  <c r="BO366" i="25"/>
  <c r="BO348" i="25"/>
  <c r="BO326" i="25"/>
  <c r="BO318" i="25"/>
  <c r="BO310" i="25"/>
  <c r="BO302" i="25"/>
  <c r="BO294" i="25"/>
  <c r="BO286" i="25"/>
  <c r="BO278" i="25"/>
  <c r="BO263" i="25"/>
  <c r="BO255" i="25"/>
  <c r="BO247" i="25"/>
  <c r="BO233" i="25"/>
  <c r="BO222" i="25"/>
  <c r="BO214" i="25"/>
  <c r="BO206" i="25"/>
  <c r="BO198" i="25"/>
  <c r="BO190" i="25"/>
  <c r="BO182" i="25"/>
  <c r="BO174" i="25"/>
  <c r="BO166" i="25"/>
  <c r="BO158" i="25"/>
  <c r="BO150" i="25"/>
  <c r="BO142" i="25"/>
  <c r="BO134" i="25"/>
  <c r="BO126" i="25"/>
  <c r="BO118" i="25"/>
  <c r="BO110" i="25"/>
  <c r="BO102" i="25"/>
  <c r="BO94" i="25"/>
  <c r="BO86" i="25"/>
  <c r="BO78" i="25"/>
  <c r="BO70" i="25"/>
  <c r="BO62" i="25"/>
  <c r="BO54" i="25"/>
  <c r="BO46" i="25"/>
  <c r="BO38" i="25"/>
  <c r="BO30" i="25"/>
  <c r="BO22" i="25"/>
  <c r="BO14" i="25"/>
  <c r="BO374" i="25"/>
  <c r="BO342" i="25"/>
  <c r="BO356" i="25"/>
  <c r="BO334" i="25"/>
  <c r="BO372" i="25"/>
  <c r="BO324" i="25"/>
  <c r="BO316" i="25"/>
  <c r="BO308" i="25"/>
  <c r="BO300" i="25"/>
  <c r="BO292" i="25"/>
  <c r="BO284" i="25"/>
  <c r="BO276" i="25"/>
  <c r="BO269" i="25"/>
  <c r="BO261" i="25"/>
  <c r="BO253" i="25"/>
  <c r="BO245" i="25"/>
  <c r="BO238" i="25"/>
  <c r="BO231" i="25"/>
  <c r="BO220" i="25"/>
  <c r="BO212" i="25"/>
  <c r="BO204" i="25"/>
  <c r="BO196" i="25"/>
  <c r="BO188" i="25"/>
  <c r="BO180" i="25"/>
  <c r="BO172" i="25"/>
  <c r="BO164" i="25"/>
  <c r="BO156" i="25"/>
  <c r="BO148" i="25"/>
  <c r="BO140" i="25"/>
  <c r="BO132" i="25"/>
  <c r="BO124" i="25"/>
  <c r="BO116" i="25"/>
  <c r="BO108" i="25"/>
  <c r="BO100" i="25"/>
  <c r="BO92" i="25"/>
  <c r="BO84" i="25"/>
  <c r="BO76" i="25"/>
  <c r="BO68" i="25"/>
  <c r="BO60" i="25"/>
  <c r="BO52" i="25"/>
  <c r="BO44" i="25"/>
  <c r="BO36" i="25"/>
  <c r="BO28" i="25"/>
  <c r="BO20" i="25"/>
  <c r="BO12" i="25"/>
  <c r="BO379" i="25"/>
  <c r="BO354" i="25"/>
  <c r="BO340" i="25"/>
  <c r="BO364" i="25"/>
  <c r="BO332" i="25"/>
  <c r="BO371" i="25"/>
  <c r="BO363" i="25"/>
  <c r="BO353" i="25"/>
  <c r="BO346" i="25"/>
  <c r="BO339" i="25"/>
  <c r="BO331" i="25"/>
  <c r="BO323" i="25"/>
  <c r="BO315" i="25"/>
  <c r="BO307" i="25"/>
  <c r="BO299" i="25"/>
  <c r="BO291" i="25"/>
  <c r="BO283" i="25"/>
  <c r="BO275" i="25"/>
  <c r="BO268" i="25"/>
  <c r="BO260" i="25"/>
  <c r="BO252" i="25"/>
  <c r="BO244" i="25"/>
  <c r="BO237" i="25"/>
  <c r="BO230" i="25"/>
  <c r="BO219" i="25"/>
  <c r="BO211" i="25"/>
  <c r="BO203" i="25"/>
  <c r="BO195" i="25"/>
  <c r="BO187" i="25"/>
  <c r="BO179" i="25"/>
  <c r="BO171" i="25"/>
  <c r="BO163" i="25"/>
  <c r="BO155" i="25"/>
  <c r="BO147" i="25"/>
  <c r="BO139" i="25"/>
  <c r="BO131" i="25"/>
  <c r="BO123" i="25"/>
  <c r="BO115" i="25"/>
  <c r="BO107" i="25"/>
  <c r="BO378" i="25"/>
  <c r="BO370" i="25"/>
  <c r="BO362" i="25"/>
  <c r="BO352" i="25"/>
  <c r="BO345" i="25"/>
  <c r="BO338" i="25"/>
  <c r="BO330" i="25"/>
  <c r="BO322" i="25"/>
  <c r="BO314" i="25"/>
  <c r="BO306" i="25"/>
  <c r="BO298" i="25"/>
  <c r="BO290" i="25"/>
  <c r="BO282" i="25"/>
  <c r="BO274" i="25"/>
  <c r="BO267" i="25"/>
  <c r="BO259" i="25"/>
  <c r="BO251" i="25"/>
  <c r="BO243" i="25"/>
  <c r="BO241" i="25"/>
  <c r="BO229" i="25"/>
  <c r="BO218" i="25"/>
  <c r="BO210" i="25"/>
  <c r="BO202" i="25"/>
  <c r="BO194" i="25"/>
  <c r="BO186" i="25"/>
  <c r="BO178" i="25"/>
  <c r="BO170" i="25"/>
  <c r="BO162" i="25"/>
  <c r="BO154" i="25"/>
  <c r="BO146" i="25"/>
  <c r="BO138" i="25"/>
  <c r="BO130" i="25"/>
  <c r="BO122" i="25"/>
  <c r="BO114" i="25"/>
  <c r="BO106" i="25"/>
  <c r="BO98" i="25"/>
  <c r="BO90" i="25"/>
  <c r="BO82" i="25"/>
  <c r="BO74" i="25"/>
  <c r="BO66" i="25"/>
  <c r="BO58" i="25"/>
  <c r="BO50" i="25"/>
  <c r="BO42" i="25"/>
  <c r="BO34" i="25"/>
  <c r="BO26" i="25"/>
  <c r="BO18" i="25"/>
  <c r="BO10" i="25"/>
  <c r="BO376" i="25"/>
  <c r="BO368" i="25"/>
  <c r="BO360" i="25"/>
  <c r="BO358" i="25"/>
  <c r="BO350" i="25"/>
  <c r="BO344" i="25"/>
  <c r="BO336" i="25"/>
  <c r="BO328" i="25"/>
  <c r="BO320" i="25"/>
  <c r="BO312" i="25"/>
  <c r="BO304" i="25"/>
  <c r="BO296" i="25"/>
  <c r="BO288" i="25"/>
  <c r="BO280" i="25"/>
  <c r="BO272" i="25"/>
  <c r="BO265" i="25"/>
  <c r="BO257" i="25"/>
  <c r="BO249" i="25"/>
  <c r="BO240" i="25"/>
  <c r="BO236" i="25"/>
  <c r="BO227" i="25"/>
  <c r="BO224" i="25"/>
  <c r="BO216" i="25"/>
  <c r="BO208" i="25"/>
  <c r="BO200" i="25"/>
  <c r="BO192" i="25"/>
  <c r="BO184" i="25"/>
  <c r="BO176" i="25"/>
  <c r="BO168" i="25"/>
  <c r="BO160" i="25"/>
  <c r="BO152" i="25"/>
  <c r="BO144" i="25"/>
  <c r="BO136" i="25"/>
  <c r="BO128" i="25"/>
  <c r="BO120" i="25"/>
  <c r="BO112" i="25"/>
  <c r="BO104" i="25"/>
  <c r="BO96" i="25"/>
  <c r="BO88" i="25"/>
  <c r="BO80" i="25"/>
  <c r="BO72" i="25"/>
  <c r="BO64" i="25"/>
  <c r="BO56" i="25"/>
  <c r="BO48" i="25"/>
  <c r="BO40" i="25"/>
  <c r="BO32" i="25"/>
  <c r="BO24" i="25"/>
  <c r="BO16" i="25"/>
  <c r="BO8" i="25"/>
  <c r="BO99" i="25"/>
  <c r="BO91" i="25"/>
  <c r="BO83" i="25"/>
  <c r="BO75" i="25"/>
  <c r="BO67" i="25"/>
  <c r="BO59" i="25"/>
  <c r="BO51" i="25"/>
  <c r="BO43" i="25"/>
  <c r="BO35" i="25"/>
  <c r="BO27" i="25"/>
  <c r="BO19" i="25"/>
  <c r="BO11" i="25"/>
  <c r="AP223" i="25"/>
  <c r="AQ223" i="25" s="1"/>
  <c r="AP224" i="25"/>
  <c r="AQ224" i="25" s="1"/>
  <c r="AP225" i="25"/>
  <c r="AQ225" i="25" s="1"/>
  <c r="AP226" i="25"/>
  <c r="AQ226" i="25" s="1"/>
  <c r="AP227" i="25"/>
  <c r="AQ227" i="25" s="1"/>
  <c r="AP228" i="25"/>
  <c r="AQ228" i="25" s="1"/>
  <c r="AP229" i="25"/>
  <c r="AQ229" i="25" s="1"/>
  <c r="AP230" i="25"/>
  <c r="AQ230" i="25" s="1"/>
  <c r="AP231" i="25"/>
  <c r="AQ231" i="25" s="1"/>
  <c r="AP232" i="25"/>
  <c r="AQ232" i="25" s="1"/>
  <c r="AP233" i="25"/>
  <c r="AP234" i="25"/>
  <c r="AQ234" i="25" s="1"/>
  <c r="AP236" i="25"/>
  <c r="AQ236" i="25" s="1"/>
  <c r="AP235" i="25"/>
  <c r="AQ235" i="25" s="1"/>
  <c r="AP241" i="25"/>
  <c r="AQ241" i="25" s="1"/>
  <c r="AP237" i="25"/>
  <c r="AQ237" i="25" s="1"/>
  <c r="AP238" i="25"/>
  <c r="AP239" i="25"/>
  <c r="AQ239" i="25" s="1"/>
  <c r="AP240" i="25"/>
  <c r="AQ240" i="25" s="1"/>
  <c r="AP242" i="25"/>
  <c r="AQ242" i="25" s="1"/>
  <c r="AP243" i="25"/>
  <c r="AQ243" i="25" s="1"/>
  <c r="AP244" i="25"/>
  <c r="AQ244" i="25" s="1"/>
  <c r="AP245" i="25"/>
  <c r="AQ245" i="25" s="1"/>
  <c r="AP246" i="25"/>
  <c r="AQ246" i="25" s="1"/>
  <c r="AP247" i="25"/>
  <c r="AP248" i="25"/>
  <c r="AQ248" i="25" s="1"/>
  <c r="AP249" i="25"/>
  <c r="AQ249" i="25" s="1"/>
  <c r="AP250" i="25"/>
  <c r="AQ250" i="25" s="1"/>
  <c r="AP251" i="25"/>
  <c r="AQ251" i="25" s="1"/>
  <c r="AP252" i="25"/>
  <c r="AQ252" i="25" s="1"/>
  <c r="AP253" i="25"/>
  <c r="AQ253" i="25" s="1"/>
  <c r="AP254" i="25"/>
  <c r="AQ254" i="25" s="1"/>
  <c r="AP255" i="25"/>
  <c r="AP256" i="25"/>
  <c r="AQ256" i="25" s="1"/>
  <c r="AP257" i="25"/>
  <c r="AQ257" i="25" s="1"/>
  <c r="AP258" i="25"/>
  <c r="AQ258" i="25" s="1"/>
  <c r="AP259" i="25"/>
  <c r="AQ259" i="25" s="1"/>
  <c r="AP260" i="25"/>
  <c r="AQ260" i="25" s="1"/>
  <c r="AP261" i="25"/>
  <c r="AP262" i="25"/>
  <c r="AQ262" i="25" s="1"/>
  <c r="AP263" i="25"/>
  <c r="AP264" i="25"/>
  <c r="AQ264" i="25" s="1"/>
  <c r="AP265" i="25"/>
  <c r="AQ265" i="25" s="1"/>
  <c r="AP266" i="25"/>
  <c r="AQ266" i="25" s="1"/>
  <c r="AP267" i="25"/>
  <c r="AQ267" i="25" s="1"/>
  <c r="AP268" i="25"/>
  <c r="AQ268" i="25" s="1"/>
  <c r="AP269" i="25"/>
  <c r="AQ269" i="25" s="1"/>
  <c r="AP270" i="25"/>
  <c r="AQ270" i="25" s="1"/>
  <c r="AP271" i="25"/>
  <c r="AQ271" i="25" s="1"/>
  <c r="AP272" i="25"/>
  <c r="AQ272" i="25" s="1"/>
  <c r="AP273" i="25"/>
  <c r="AQ273" i="25" s="1"/>
  <c r="AP274" i="25"/>
  <c r="AQ274" i="25" s="1"/>
  <c r="AP275" i="25"/>
  <c r="AQ275" i="25" s="1"/>
  <c r="AP276" i="25"/>
  <c r="AQ276" i="25" s="1"/>
  <c r="AP277" i="25"/>
  <c r="AQ277" i="25" s="1"/>
  <c r="AP278" i="25"/>
  <c r="AP279" i="25"/>
  <c r="AQ279" i="25" s="1"/>
  <c r="AP280" i="25"/>
  <c r="AQ280" i="25" s="1"/>
  <c r="AP281" i="25"/>
  <c r="AQ281" i="25" s="1"/>
  <c r="AP282" i="25"/>
  <c r="AQ282" i="25" s="1"/>
  <c r="AP283" i="25"/>
  <c r="AQ283" i="25" s="1"/>
  <c r="AP284" i="25"/>
  <c r="AQ284" i="25" s="1"/>
  <c r="AP285" i="25"/>
  <c r="AQ285" i="25" s="1"/>
  <c r="AP286" i="25"/>
  <c r="AP287" i="25"/>
  <c r="AQ287" i="25" s="1"/>
  <c r="AP288" i="25"/>
  <c r="AQ288" i="25" s="1"/>
  <c r="AP289" i="25"/>
  <c r="AQ289" i="25" s="1"/>
  <c r="AP290" i="25"/>
  <c r="AQ290" i="25" s="1"/>
  <c r="AP291" i="25"/>
  <c r="AQ291" i="25" s="1"/>
  <c r="AP292" i="25"/>
  <c r="AQ292" i="25" s="1"/>
  <c r="AP293" i="25"/>
  <c r="AQ293" i="25" s="1"/>
  <c r="AP294" i="25"/>
  <c r="AP295" i="25"/>
  <c r="AQ295" i="25" s="1"/>
  <c r="AP296" i="25"/>
  <c r="AQ296" i="25" s="1"/>
  <c r="AP297" i="25"/>
  <c r="AQ297" i="25" s="1"/>
  <c r="AP298" i="25"/>
  <c r="AQ298" i="25" s="1"/>
  <c r="AP299" i="25"/>
  <c r="AQ299" i="25" s="1"/>
  <c r="AP300" i="25"/>
  <c r="AP301" i="25"/>
  <c r="AQ301" i="25" s="1"/>
  <c r="AP302" i="25"/>
  <c r="AP303" i="25"/>
  <c r="AQ303" i="25" s="1"/>
  <c r="AP304" i="25"/>
  <c r="AQ304" i="25" s="1"/>
  <c r="AP305" i="25"/>
  <c r="AQ305" i="25" s="1"/>
  <c r="AP306" i="25"/>
  <c r="AQ306" i="25" s="1"/>
  <c r="AP307" i="25"/>
  <c r="AQ307" i="25" s="1"/>
  <c r="AP308" i="25"/>
  <c r="AQ308" i="25" s="1"/>
  <c r="AP309" i="25"/>
  <c r="AQ309" i="25" s="1"/>
  <c r="AP310" i="25"/>
  <c r="AP311" i="25"/>
  <c r="AQ311" i="25" s="1"/>
  <c r="AP312" i="25"/>
  <c r="AQ312" i="25" s="1"/>
  <c r="AP313" i="25"/>
  <c r="AQ313" i="25" s="1"/>
  <c r="AP314" i="25"/>
  <c r="AQ314" i="25" s="1"/>
  <c r="AP315" i="25"/>
  <c r="AQ315" i="25" s="1"/>
  <c r="AP316" i="25"/>
  <c r="AQ316" i="25" s="1"/>
  <c r="AP317" i="25"/>
  <c r="AQ317" i="25" s="1"/>
  <c r="AP318" i="25"/>
  <c r="AP319" i="25"/>
  <c r="AQ319" i="25" s="1"/>
  <c r="AP320" i="25"/>
  <c r="AQ320" i="25" s="1"/>
  <c r="AP321" i="25"/>
  <c r="AQ321" i="25" s="1"/>
  <c r="AP322" i="25"/>
  <c r="AQ322" i="25" s="1"/>
  <c r="AP323" i="25"/>
  <c r="AQ323" i="25" s="1"/>
  <c r="AP324" i="25"/>
  <c r="AP325" i="25"/>
  <c r="AQ325" i="25" s="1"/>
  <c r="AP326" i="25"/>
  <c r="AP327" i="25"/>
  <c r="AQ327" i="25" s="1"/>
  <c r="AP328" i="25"/>
  <c r="AQ328" i="25" s="1"/>
  <c r="AP329" i="25"/>
  <c r="AQ329" i="25" s="1"/>
  <c r="AP330" i="25"/>
  <c r="AQ330" i="25" s="1"/>
  <c r="AP331" i="25"/>
  <c r="AQ331" i="25" s="1"/>
  <c r="AP332" i="25"/>
  <c r="AQ332" i="25" s="1"/>
  <c r="AP333" i="25"/>
  <c r="AQ333" i="25" s="1"/>
  <c r="AP334" i="25"/>
  <c r="AP335" i="25"/>
  <c r="AQ335" i="25" s="1"/>
  <c r="AP336" i="25"/>
  <c r="AQ336" i="25" s="1"/>
  <c r="AP337" i="25"/>
  <c r="AQ337" i="25" s="1"/>
  <c r="AP338" i="25"/>
  <c r="AQ338" i="25" s="1"/>
  <c r="AP339" i="25"/>
  <c r="AQ339" i="25" s="1"/>
  <c r="AP340" i="25"/>
  <c r="AQ340" i="25" s="1"/>
  <c r="AP341" i="25"/>
  <c r="AQ341" i="25" s="1"/>
  <c r="AP342" i="25"/>
  <c r="AP343" i="25"/>
  <c r="AQ343" i="25" s="1"/>
  <c r="AP344" i="25"/>
  <c r="AQ344" i="25" s="1"/>
  <c r="AP345" i="25"/>
  <c r="AQ345" i="25" s="1"/>
  <c r="AP346" i="25"/>
  <c r="AQ346" i="25" s="1"/>
  <c r="AP347" i="25"/>
  <c r="AQ347" i="25" s="1"/>
  <c r="AP348" i="25"/>
  <c r="AP349" i="25"/>
  <c r="AQ349" i="25" s="1"/>
  <c r="AP350" i="25"/>
  <c r="AQ350" i="25" s="1"/>
  <c r="AP351" i="25"/>
  <c r="AQ351" i="25" s="1"/>
  <c r="AP352" i="25"/>
  <c r="AQ352" i="25" s="1"/>
  <c r="AP353" i="25"/>
  <c r="AQ353" i="25" s="1"/>
  <c r="AP354" i="25"/>
  <c r="AQ354" i="25" s="1"/>
  <c r="AP355" i="25"/>
  <c r="AQ355" i="25" s="1"/>
  <c r="AP356" i="25"/>
  <c r="AP357" i="25"/>
  <c r="AQ357" i="25" s="1"/>
  <c r="AP358" i="25"/>
  <c r="AQ358" i="25" s="1"/>
  <c r="AP359" i="25"/>
  <c r="AQ359" i="25" s="1"/>
  <c r="AP360" i="25"/>
  <c r="AQ360" i="25" s="1"/>
  <c r="AP361" i="25"/>
  <c r="AQ361" i="25" s="1"/>
  <c r="AP362" i="25"/>
  <c r="AQ362" i="25" s="1"/>
  <c r="AP363" i="25"/>
  <c r="AQ363" i="25" s="1"/>
  <c r="AP364" i="25"/>
  <c r="AP365" i="25"/>
  <c r="AQ365" i="25" s="1"/>
  <c r="AP366" i="25"/>
  <c r="AP367" i="25"/>
  <c r="AQ367" i="25" s="1"/>
  <c r="AP368" i="25"/>
  <c r="AQ368" i="25" s="1"/>
  <c r="AP369" i="25"/>
  <c r="AQ369" i="25" s="1"/>
  <c r="AP370" i="25"/>
  <c r="AQ370" i="25" s="1"/>
  <c r="AP371" i="25"/>
  <c r="AQ371" i="25" s="1"/>
  <c r="AP372" i="25"/>
  <c r="AQ372" i="25" s="1"/>
  <c r="AP373" i="25"/>
  <c r="AQ373" i="25" s="1"/>
  <c r="AP374" i="25"/>
  <c r="AP375" i="25"/>
  <c r="AQ375" i="25" s="1"/>
  <c r="AP376" i="25"/>
  <c r="AQ376" i="25" s="1"/>
  <c r="AP377" i="25"/>
  <c r="AQ377" i="25" s="1"/>
  <c r="AP378" i="25"/>
  <c r="AQ378" i="25" s="1"/>
  <c r="AP379" i="25"/>
  <c r="AQ379" i="25" s="1"/>
  <c r="AR223" i="25"/>
  <c r="AR224" i="25"/>
  <c r="AS224" i="25" s="1"/>
  <c r="AR225" i="25"/>
  <c r="AS225" i="25" s="1"/>
  <c r="AR226" i="25"/>
  <c r="AS226" i="25" s="1"/>
  <c r="AR227" i="25"/>
  <c r="AR228" i="25"/>
  <c r="AS228" i="25" s="1"/>
  <c r="AR229" i="25"/>
  <c r="AR230" i="25"/>
  <c r="AS230" i="25" s="1"/>
  <c r="AR231" i="25"/>
  <c r="AS231" i="25" s="1"/>
  <c r="AR232" i="25"/>
  <c r="AR233" i="25"/>
  <c r="AS233" i="25" s="1"/>
  <c r="AR234" i="25"/>
  <c r="AR236" i="25"/>
  <c r="AS236" i="25" s="1"/>
  <c r="AR235" i="25"/>
  <c r="AS235" i="25" s="1"/>
  <c r="AR241" i="25"/>
  <c r="AR237" i="25"/>
  <c r="AS237" i="25" s="1"/>
  <c r="AR238" i="25"/>
  <c r="AS238" i="25" s="1"/>
  <c r="AR239" i="25"/>
  <c r="AS239" i="25" s="1"/>
  <c r="AR240" i="25"/>
  <c r="AR242" i="25"/>
  <c r="AS242" i="25" s="1"/>
  <c r="AR243" i="25"/>
  <c r="AR244" i="25"/>
  <c r="AR245" i="25"/>
  <c r="AS245" i="25" s="1"/>
  <c r="AR246" i="25"/>
  <c r="AR247" i="25"/>
  <c r="AS247" i="25" s="1"/>
  <c r="AR248" i="25"/>
  <c r="AR249" i="25"/>
  <c r="AS249" i="25" s="1"/>
  <c r="AR250" i="25"/>
  <c r="AS250" i="25" s="1"/>
  <c r="AR251" i="25"/>
  <c r="AR252" i="25"/>
  <c r="AS252" i="25" s="1"/>
  <c r="AR253" i="25"/>
  <c r="AS253" i="25" s="1"/>
  <c r="AR254" i="25"/>
  <c r="AR255" i="25"/>
  <c r="AS255" i="25" s="1"/>
  <c r="AR256" i="25"/>
  <c r="AR257" i="25"/>
  <c r="AS257" i="25" s="1"/>
  <c r="AR258" i="25"/>
  <c r="AS258" i="25" s="1"/>
  <c r="AR259" i="25"/>
  <c r="AR260" i="25"/>
  <c r="AS260" i="25" s="1"/>
  <c r="AR261" i="25"/>
  <c r="AS261" i="25" s="1"/>
  <c r="AR262" i="25"/>
  <c r="AR263" i="25"/>
  <c r="AS263" i="25" s="1"/>
  <c r="AR264" i="25"/>
  <c r="AR265" i="25"/>
  <c r="AS265" i="25" s="1"/>
  <c r="AR266" i="25"/>
  <c r="AS266" i="25" s="1"/>
  <c r="AR267" i="25"/>
  <c r="AR268" i="25"/>
  <c r="AS268" i="25" s="1"/>
  <c r="AR269" i="25"/>
  <c r="AS269" i="25" s="1"/>
  <c r="AR270" i="25"/>
  <c r="AR271" i="25"/>
  <c r="AS271" i="25" s="1"/>
  <c r="AR272" i="25"/>
  <c r="AS272" i="25" s="1"/>
  <c r="AR273" i="25"/>
  <c r="AR274" i="25"/>
  <c r="AR275" i="25"/>
  <c r="AS275" i="25" s="1"/>
  <c r="AR276" i="25"/>
  <c r="AS276" i="25" s="1"/>
  <c r="AR277" i="25"/>
  <c r="AR278" i="25"/>
  <c r="AS278" i="25" s="1"/>
  <c r="AR279" i="25"/>
  <c r="AR280" i="25"/>
  <c r="AR281" i="25"/>
  <c r="AS281" i="25" s="1"/>
  <c r="AR282" i="25"/>
  <c r="AR283" i="25"/>
  <c r="AS283" i="25" s="1"/>
  <c r="AR284" i="25"/>
  <c r="AS284" i="25" s="1"/>
  <c r="AR285" i="25"/>
  <c r="AR286" i="25"/>
  <c r="AS286" i="25" s="1"/>
  <c r="AR287" i="25"/>
  <c r="AS287" i="25" s="1"/>
  <c r="AR288" i="25"/>
  <c r="AS288" i="25" s="1"/>
  <c r="AR289" i="25"/>
  <c r="AS289" i="25" s="1"/>
  <c r="AR290" i="25"/>
  <c r="AR291" i="25"/>
  <c r="AR292" i="25"/>
  <c r="AS292" i="25" s="1"/>
  <c r="AR293" i="25"/>
  <c r="AR294" i="25"/>
  <c r="AS294" i="25" s="1"/>
  <c r="AR295" i="25"/>
  <c r="AR296" i="25"/>
  <c r="AR297" i="25"/>
  <c r="AS297" i="25" s="1"/>
  <c r="AR298" i="25"/>
  <c r="AR299" i="25"/>
  <c r="AS299" i="25" s="1"/>
  <c r="AR300" i="25"/>
  <c r="AS300" i="25" s="1"/>
  <c r="AR301" i="25"/>
  <c r="AR302" i="25"/>
  <c r="AS302" i="25" s="1"/>
  <c r="AR303" i="25"/>
  <c r="AS303" i="25" s="1"/>
  <c r="AR304" i="25"/>
  <c r="AR305" i="25"/>
  <c r="AR306" i="25"/>
  <c r="AR307" i="25"/>
  <c r="AS307" i="25" s="1"/>
  <c r="AR308" i="25"/>
  <c r="AS308" i="25" s="1"/>
  <c r="AR309" i="25"/>
  <c r="AR310" i="25"/>
  <c r="AS310" i="25" s="1"/>
  <c r="AR311" i="25"/>
  <c r="AR312" i="25"/>
  <c r="AR313" i="25"/>
  <c r="AS313" i="25" s="1"/>
  <c r="AR314" i="25"/>
  <c r="AR315" i="25"/>
  <c r="AS315" i="25" s="1"/>
  <c r="AR316" i="25"/>
  <c r="AS316" i="25" s="1"/>
  <c r="AR317" i="25"/>
  <c r="AR318" i="25"/>
  <c r="AS318" i="25" s="1"/>
  <c r="AR319" i="25"/>
  <c r="AR320" i="25"/>
  <c r="AS320" i="25" s="1"/>
  <c r="AR321" i="25"/>
  <c r="AS321" i="25" s="1"/>
  <c r="AR322" i="25"/>
  <c r="AR323" i="25"/>
  <c r="AS323" i="25" s="1"/>
  <c r="AR324" i="25"/>
  <c r="AS324" i="25" s="1"/>
  <c r="AR325" i="25"/>
  <c r="AR326" i="25"/>
  <c r="AS326" i="25" s="1"/>
  <c r="AR327" i="25"/>
  <c r="AS327" i="25" s="1"/>
  <c r="AR328" i="25"/>
  <c r="AR329" i="25"/>
  <c r="AS329" i="25" s="1"/>
  <c r="AR330" i="25"/>
  <c r="AR331" i="25"/>
  <c r="AR332" i="25"/>
  <c r="AS332" i="25" s="1"/>
  <c r="AR333" i="25"/>
  <c r="AR334" i="25"/>
  <c r="AS334" i="25" s="1"/>
  <c r="AR335" i="25"/>
  <c r="AR336" i="25"/>
  <c r="AS336" i="25" s="1"/>
  <c r="AR337" i="25"/>
  <c r="AR338" i="25"/>
  <c r="AR339" i="25"/>
  <c r="AS339" i="25" s="1"/>
  <c r="AR340" i="25"/>
  <c r="AS340" i="25" s="1"/>
  <c r="AR341" i="25"/>
  <c r="AR342" i="25"/>
  <c r="AS342" i="25" s="1"/>
  <c r="AR343" i="25"/>
  <c r="AR344" i="25"/>
  <c r="AR345" i="25"/>
  <c r="AR346" i="25"/>
  <c r="AR347" i="25"/>
  <c r="AR348" i="25"/>
  <c r="AS348" i="25" s="1"/>
  <c r="AR349" i="25"/>
  <c r="AS349" i="25" s="1"/>
  <c r="AR350" i="25"/>
  <c r="AS350" i="25" s="1"/>
  <c r="AR351" i="25"/>
  <c r="AS351" i="25" s="1"/>
  <c r="AR352" i="25"/>
  <c r="AR353" i="25"/>
  <c r="AS353" i="25" s="1"/>
  <c r="AR354" i="25"/>
  <c r="AS354" i="25" s="1"/>
  <c r="AR355" i="25"/>
  <c r="AR356" i="25"/>
  <c r="AS356" i="25" s="1"/>
  <c r="AR357" i="25"/>
  <c r="AS357" i="25" s="1"/>
  <c r="AR358" i="25"/>
  <c r="AS358" i="25" s="1"/>
  <c r="AR359" i="25"/>
  <c r="AS359" i="25" s="1"/>
  <c r="AR360" i="25"/>
  <c r="AS360" i="25" s="1"/>
  <c r="AR361" i="25"/>
  <c r="AS361" i="25" s="1"/>
  <c r="AR362" i="25"/>
  <c r="AR363" i="25"/>
  <c r="AR364" i="25"/>
  <c r="AS364" i="25" s="1"/>
  <c r="AR365" i="25"/>
  <c r="AR366" i="25"/>
  <c r="AS366" i="25" s="1"/>
  <c r="AR367" i="25"/>
  <c r="AS367" i="25" s="1"/>
  <c r="AR368" i="25"/>
  <c r="AS368" i="25" s="1"/>
  <c r="AR369" i="25"/>
  <c r="AS369" i="25" s="1"/>
  <c r="AR370" i="25"/>
  <c r="AR371" i="25"/>
  <c r="AS371" i="25" s="1"/>
  <c r="AR372" i="25"/>
  <c r="AS372" i="25" s="1"/>
  <c r="AR373" i="25"/>
  <c r="AR374" i="25"/>
  <c r="AS374" i="25" s="1"/>
  <c r="AR375" i="25"/>
  <c r="AR376" i="25"/>
  <c r="AS376" i="25" s="1"/>
  <c r="AR377" i="25"/>
  <c r="AS377" i="25" s="1"/>
  <c r="AR378" i="25"/>
  <c r="AR379" i="25"/>
  <c r="AS379" i="25" s="1"/>
  <c r="AZ223" i="25"/>
  <c r="AZ224" i="25"/>
  <c r="AZ225" i="25"/>
  <c r="AZ226" i="25"/>
  <c r="AZ227" i="25"/>
  <c r="AZ228" i="25"/>
  <c r="AZ229" i="25"/>
  <c r="AZ230" i="25"/>
  <c r="AZ231" i="25"/>
  <c r="AZ232" i="25"/>
  <c r="AZ233" i="25"/>
  <c r="AZ234" i="25"/>
  <c r="AZ236" i="25"/>
  <c r="AZ235" i="25"/>
  <c r="AZ241" i="25"/>
  <c r="AZ237" i="25"/>
  <c r="AZ238" i="25"/>
  <c r="AZ239" i="25"/>
  <c r="AZ240" i="25"/>
  <c r="AZ242" i="25"/>
  <c r="AZ243" i="25"/>
  <c r="AZ244" i="25"/>
  <c r="AZ245" i="25"/>
  <c r="AZ246" i="25"/>
  <c r="AZ247" i="25"/>
  <c r="AZ248" i="25"/>
  <c r="AZ249" i="25"/>
  <c r="AZ250" i="25"/>
  <c r="AZ251" i="25"/>
  <c r="AZ252" i="25"/>
  <c r="AZ253" i="25"/>
  <c r="AZ254" i="25"/>
  <c r="AZ255" i="25"/>
  <c r="AZ256" i="25"/>
  <c r="AZ257" i="25"/>
  <c r="AZ258" i="25"/>
  <c r="AZ259" i="25"/>
  <c r="AZ260" i="25"/>
  <c r="AZ261" i="25"/>
  <c r="AZ262" i="25"/>
  <c r="AZ263" i="25"/>
  <c r="AZ264" i="25"/>
  <c r="AZ265" i="25"/>
  <c r="AZ266" i="25"/>
  <c r="AZ267" i="25"/>
  <c r="AZ268" i="25"/>
  <c r="AZ269" i="25"/>
  <c r="AZ270" i="25"/>
  <c r="AZ271" i="25"/>
  <c r="AZ272" i="25"/>
  <c r="AZ273" i="25"/>
  <c r="AZ274" i="25"/>
  <c r="AZ275" i="25"/>
  <c r="AZ276" i="25"/>
  <c r="AZ277" i="25"/>
  <c r="AZ278" i="25"/>
  <c r="AZ279" i="25"/>
  <c r="AZ280" i="25"/>
  <c r="AZ281" i="25"/>
  <c r="AZ282" i="25"/>
  <c r="AZ283" i="25"/>
  <c r="AZ284" i="25"/>
  <c r="AZ285" i="25"/>
  <c r="AZ286" i="25"/>
  <c r="AZ287" i="25"/>
  <c r="AZ288" i="25"/>
  <c r="AZ289" i="25"/>
  <c r="AZ290" i="25"/>
  <c r="AZ291" i="25"/>
  <c r="AZ292" i="25"/>
  <c r="AZ293" i="25"/>
  <c r="AZ294" i="25"/>
  <c r="AZ295" i="25"/>
  <c r="AZ296" i="25"/>
  <c r="AZ297" i="25"/>
  <c r="AZ298" i="25"/>
  <c r="AZ299" i="25"/>
  <c r="AZ300" i="25"/>
  <c r="AZ301" i="25"/>
  <c r="AZ302" i="25"/>
  <c r="AZ303" i="25"/>
  <c r="AZ304" i="25"/>
  <c r="AZ305" i="25"/>
  <c r="AZ306" i="25"/>
  <c r="AZ307" i="25"/>
  <c r="AZ308" i="25"/>
  <c r="AZ309" i="25"/>
  <c r="AZ310" i="25"/>
  <c r="AZ311" i="25"/>
  <c r="AZ312" i="25"/>
  <c r="AZ313" i="25"/>
  <c r="AZ314" i="25"/>
  <c r="AZ315" i="25"/>
  <c r="AZ316" i="25"/>
  <c r="AZ317" i="25"/>
  <c r="AZ318" i="25"/>
  <c r="AZ319" i="25"/>
  <c r="AZ320" i="25"/>
  <c r="AZ321" i="25"/>
  <c r="AZ322" i="25"/>
  <c r="AZ323" i="25"/>
  <c r="AZ324" i="25"/>
  <c r="AZ325" i="25"/>
  <c r="AZ326" i="25"/>
  <c r="AZ327" i="25"/>
  <c r="AZ328" i="25"/>
  <c r="AZ329" i="25"/>
  <c r="AZ330" i="25"/>
  <c r="AZ331" i="25"/>
  <c r="AZ332" i="25"/>
  <c r="AZ333" i="25"/>
  <c r="AZ334" i="25"/>
  <c r="AZ335" i="25"/>
  <c r="AZ336" i="25"/>
  <c r="AZ337" i="25"/>
  <c r="AZ338" i="25"/>
  <c r="AZ339" i="25"/>
  <c r="AZ340" i="25"/>
  <c r="AZ341" i="25"/>
  <c r="AZ342" i="25"/>
  <c r="AZ343" i="25"/>
  <c r="AZ344" i="25"/>
  <c r="AZ345" i="25"/>
  <c r="AZ346" i="25"/>
  <c r="AZ347" i="25"/>
  <c r="AZ348" i="25"/>
  <c r="AZ349" i="25"/>
  <c r="AZ350" i="25"/>
  <c r="AZ351" i="25"/>
  <c r="AZ352" i="25"/>
  <c r="AZ353" i="25"/>
  <c r="AZ354" i="25"/>
  <c r="AZ355" i="25"/>
  <c r="AZ356" i="25"/>
  <c r="AZ357" i="25"/>
  <c r="AZ358" i="25"/>
  <c r="AZ359" i="25"/>
  <c r="AZ360" i="25"/>
  <c r="AZ361" i="25"/>
  <c r="AZ362" i="25"/>
  <c r="AZ363" i="25"/>
  <c r="AZ364" i="25"/>
  <c r="AZ365" i="25"/>
  <c r="AZ366" i="25"/>
  <c r="AZ367" i="25"/>
  <c r="AZ368" i="25"/>
  <c r="AZ369" i="25"/>
  <c r="AZ370" i="25"/>
  <c r="AZ371" i="25"/>
  <c r="AZ372" i="25"/>
  <c r="AZ373" i="25"/>
  <c r="AZ374" i="25"/>
  <c r="AZ375" i="25"/>
  <c r="AZ376" i="25"/>
  <c r="AZ377" i="25"/>
  <c r="AZ378" i="25"/>
  <c r="AZ379" i="25"/>
  <c r="BB223" i="25"/>
  <c r="BB224" i="25"/>
  <c r="BF225" i="25"/>
  <c r="BF226" i="25"/>
  <c r="BB227" i="25"/>
  <c r="BF228" i="25"/>
  <c r="BB229" i="25"/>
  <c r="BB231" i="25"/>
  <c r="BB232" i="25"/>
  <c r="BF233" i="25"/>
  <c r="BF234" i="25"/>
  <c r="BF236" i="25"/>
  <c r="BB235" i="25"/>
  <c r="BB238" i="25"/>
  <c r="BB239" i="25"/>
  <c r="BB240" i="25"/>
  <c r="BB242" i="25"/>
  <c r="BB243" i="25"/>
  <c r="BB245" i="25"/>
  <c r="BB246" i="25"/>
  <c r="BB247" i="25"/>
  <c r="BB248" i="25"/>
  <c r="BB249" i="25"/>
  <c r="BF250" i="25"/>
  <c r="BB253" i="25"/>
  <c r="BF254" i="25"/>
  <c r="BB255" i="25"/>
  <c r="BB256" i="25"/>
  <c r="BB257" i="25"/>
  <c r="BF258" i="25"/>
  <c r="BB261" i="25"/>
  <c r="BF262" i="25"/>
  <c r="BF263" i="25"/>
  <c r="BB264" i="25"/>
  <c r="BF265" i="25"/>
  <c r="BF266" i="25"/>
  <c r="BB267" i="25"/>
  <c r="BB269" i="25"/>
  <c r="BB270" i="25"/>
  <c r="BF271" i="25"/>
  <c r="BB272" i="25"/>
  <c r="BB273" i="25"/>
  <c r="BB276" i="25"/>
  <c r="BF277" i="25"/>
  <c r="BB278" i="25"/>
  <c r="BF279" i="25"/>
  <c r="BF280" i="25"/>
  <c r="BB281" i="25"/>
  <c r="BB282" i="25"/>
  <c r="BB284" i="25"/>
  <c r="BF285" i="25"/>
  <c r="BB286" i="25"/>
  <c r="BF287" i="25"/>
  <c r="BB288" i="25"/>
  <c r="BB289" i="25"/>
  <c r="BB290" i="25"/>
  <c r="BB292" i="25"/>
  <c r="BF293" i="25"/>
  <c r="BB294" i="25"/>
  <c r="BF295" i="25"/>
  <c r="BB296" i="25"/>
  <c r="BB297" i="25"/>
  <c r="BB300" i="25"/>
  <c r="BB301" i="25"/>
  <c r="BB302" i="25"/>
  <c r="BB303" i="25"/>
  <c r="BB304" i="25"/>
  <c r="BB305" i="25"/>
  <c r="BB306" i="25"/>
  <c r="BB308" i="25"/>
  <c r="BF309" i="25"/>
  <c r="BB310" i="25"/>
  <c r="BB311" i="25"/>
  <c r="BF312" i="25"/>
  <c r="BB313" i="25"/>
  <c r="BB316" i="25"/>
  <c r="BB317" i="25"/>
  <c r="BB318" i="25"/>
  <c r="BB319" i="25"/>
  <c r="BB320" i="25"/>
  <c r="BB321" i="25"/>
  <c r="BB324" i="25"/>
  <c r="BF325" i="25"/>
  <c r="BB326" i="25"/>
  <c r="BB327" i="25"/>
  <c r="BF328" i="25"/>
  <c r="BB329" i="25"/>
  <c r="BF330" i="25"/>
  <c r="BB332" i="25"/>
  <c r="BF333" i="25"/>
  <c r="BB334" i="25"/>
  <c r="BB335" i="25"/>
  <c r="BB336" i="25"/>
  <c r="BB337" i="25"/>
  <c r="BB340" i="25"/>
  <c r="BB341" i="25"/>
  <c r="BB342" i="25"/>
  <c r="BB343" i="25"/>
  <c r="BB344" i="25"/>
  <c r="BB345" i="25"/>
  <c r="BF347" i="25"/>
  <c r="BB348" i="25"/>
  <c r="BB349" i="25"/>
  <c r="BB350" i="25"/>
  <c r="BB351" i="25"/>
  <c r="BB352" i="25"/>
  <c r="BB354" i="25"/>
  <c r="BF355" i="25"/>
  <c r="BB356" i="25"/>
  <c r="BB357" i="25"/>
  <c r="BF358" i="25"/>
  <c r="BB359" i="25"/>
  <c r="BB360" i="25"/>
  <c r="BB361" i="25"/>
  <c r="BB362" i="25"/>
  <c r="BB364" i="25"/>
  <c r="BB365" i="25"/>
  <c r="BB366" i="25"/>
  <c r="BB367" i="25"/>
  <c r="BB368" i="25"/>
  <c r="BB369" i="25"/>
  <c r="BF370" i="25"/>
  <c r="BB372" i="25"/>
  <c r="BB373" i="25"/>
  <c r="BB374" i="25"/>
  <c r="BB375" i="25"/>
  <c r="BB376" i="25"/>
  <c r="BB377" i="25"/>
  <c r="BB379" i="25"/>
  <c r="BC223" i="25"/>
  <c r="BC224" i="25"/>
  <c r="BC225" i="25"/>
  <c r="BC226" i="25"/>
  <c r="BC227" i="25"/>
  <c r="BC228" i="25"/>
  <c r="BC229" i="25"/>
  <c r="BC230" i="25"/>
  <c r="BC231" i="25"/>
  <c r="BC232" i="25"/>
  <c r="BC233" i="25"/>
  <c r="BC234" i="25"/>
  <c r="BC236" i="25"/>
  <c r="BC235" i="25"/>
  <c r="BC241" i="25"/>
  <c r="BC237" i="25"/>
  <c r="BC238" i="25"/>
  <c r="BC239" i="25"/>
  <c r="BC240" i="25"/>
  <c r="BC242" i="25"/>
  <c r="BC243" i="25"/>
  <c r="BC244" i="25"/>
  <c r="BC245" i="25"/>
  <c r="BC246" i="25"/>
  <c r="BC247" i="25"/>
  <c r="BC248" i="25"/>
  <c r="BC249" i="25"/>
  <c r="BC250" i="25"/>
  <c r="BC251" i="25"/>
  <c r="BC252" i="25"/>
  <c r="BC253" i="25"/>
  <c r="BC254" i="25"/>
  <c r="BC255" i="25"/>
  <c r="BC256" i="25"/>
  <c r="BC257" i="25"/>
  <c r="BC258" i="25"/>
  <c r="BC259" i="25"/>
  <c r="BC260" i="25"/>
  <c r="BC261" i="25"/>
  <c r="BC262" i="25"/>
  <c r="BC263" i="25"/>
  <c r="BC264" i="25"/>
  <c r="BC265" i="25"/>
  <c r="BC266" i="25"/>
  <c r="BC267" i="25"/>
  <c r="BC268" i="25"/>
  <c r="BC269" i="25"/>
  <c r="BC270" i="25"/>
  <c r="BC271" i="25"/>
  <c r="BC272" i="25"/>
  <c r="BC273" i="25"/>
  <c r="BC274" i="25"/>
  <c r="BC275" i="25"/>
  <c r="BC276" i="25"/>
  <c r="BC277" i="25"/>
  <c r="BC278" i="25"/>
  <c r="BC279" i="25"/>
  <c r="BC280" i="25"/>
  <c r="BC281" i="25"/>
  <c r="BC282" i="25"/>
  <c r="BC283" i="25"/>
  <c r="BC284" i="25"/>
  <c r="BC285" i="25"/>
  <c r="BC286" i="25"/>
  <c r="BC287" i="25"/>
  <c r="BC288" i="25"/>
  <c r="BC289" i="25"/>
  <c r="BC290" i="25"/>
  <c r="BC291" i="25"/>
  <c r="BC292" i="25"/>
  <c r="BC293" i="25"/>
  <c r="BC294" i="25"/>
  <c r="BC295" i="25"/>
  <c r="BC296" i="25"/>
  <c r="BC297" i="25"/>
  <c r="BC298" i="25"/>
  <c r="BC299" i="25"/>
  <c r="BC300" i="25"/>
  <c r="BC301" i="25"/>
  <c r="BC302" i="25"/>
  <c r="BC303" i="25"/>
  <c r="BC304" i="25"/>
  <c r="BC305" i="25"/>
  <c r="BC306" i="25"/>
  <c r="BC307" i="25"/>
  <c r="BC308" i="25"/>
  <c r="BC309" i="25"/>
  <c r="BC310" i="25"/>
  <c r="BC311" i="25"/>
  <c r="BC312" i="25"/>
  <c r="BC313" i="25"/>
  <c r="BC314" i="25"/>
  <c r="BC315" i="25"/>
  <c r="BC316" i="25"/>
  <c r="BC317" i="25"/>
  <c r="BC318" i="25"/>
  <c r="BC319" i="25"/>
  <c r="BC320" i="25"/>
  <c r="BC321" i="25"/>
  <c r="BC322" i="25"/>
  <c r="BC323" i="25"/>
  <c r="BC324" i="25"/>
  <c r="BC325" i="25"/>
  <c r="BC326" i="25"/>
  <c r="BC327" i="25"/>
  <c r="BC328" i="25"/>
  <c r="BC329" i="25"/>
  <c r="BC330" i="25"/>
  <c r="BC331" i="25"/>
  <c r="BC332" i="25"/>
  <c r="BC333" i="25"/>
  <c r="BC334" i="25"/>
  <c r="BC335" i="25"/>
  <c r="BC336" i="25"/>
  <c r="BC337" i="25"/>
  <c r="BC338" i="25"/>
  <c r="BC339" i="25"/>
  <c r="BC340" i="25"/>
  <c r="BC341" i="25"/>
  <c r="BC342" i="25"/>
  <c r="BC343" i="25"/>
  <c r="BC344" i="25"/>
  <c r="BC345" i="25"/>
  <c r="BC346" i="25"/>
  <c r="BC347" i="25"/>
  <c r="BC348" i="25"/>
  <c r="BC349" i="25"/>
  <c r="BC350" i="25"/>
  <c r="BC351" i="25"/>
  <c r="BC352" i="25"/>
  <c r="BC353" i="25"/>
  <c r="BC354" i="25"/>
  <c r="BC355" i="25"/>
  <c r="BC356" i="25"/>
  <c r="BC357" i="25"/>
  <c r="BC358" i="25"/>
  <c r="BC359" i="25"/>
  <c r="BC360" i="25"/>
  <c r="BC361" i="25"/>
  <c r="BC362" i="25"/>
  <c r="BC363" i="25"/>
  <c r="BC364" i="25"/>
  <c r="BC365" i="25"/>
  <c r="BC366" i="25"/>
  <c r="BC367" i="25"/>
  <c r="BC368" i="25"/>
  <c r="BC369" i="25"/>
  <c r="BC370" i="25"/>
  <c r="BC371" i="25"/>
  <c r="BC372" i="25"/>
  <c r="BC373" i="25"/>
  <c r="BC374" i="25"/>
  <c r="BC375" i="25"/>
  <c r="BC376" i="25"/>
  <c r="BC377" i="25"/>
  <c r="BC378" i="25"/>
  <c r="BC379" i="25"/>
  <c r="BD223" i="25"/>
  <c r="BE223" i="25" s="1"/>
  <c r="BD224" i="25"/>
  <c r="BE224" i="25" s="1"/>
  <c r="BD225" i="25"/>
  <c r="BE225" i="25" s="1"/>
  <c r="BD226" i="25"/>
  <c r="BE226" i="25" s="1"/>
  <c r="BD227" i="25"/>
  <c r="BE227" i="25" s="1"/>
  <c r="BD228" i="25"/>
  <c r="BE228" i="25" s="1"/>
  <c r="BD229" i="25"/>
  <c r="BE229" i="25" s="1"/>
  <c r="BD230" i="25"/>
  <c r="BE230" i="25" s="1"/>
  <c r="BD231" i="25"/>
  <c r="BE231" i="25" s="1"/>
  <c r="BD232" i="25"/>
  <c r="BE232" i="25" s="1"/>
  <c r="BD233" i="25"/>
  <c r="BE233" i="25" s="1"/>
  <c r="BD234" i="25"/>
  <c r="BE234" i="25" s="1"/>
  <c r="BD236" i="25"/>
  <c r="BE236" i="25" s="1"/>
  <c r="BD235" i="25"/>
  <c r="BE235" i="25" s="1"/>
  <c r="BD241" i="25"/>
  <c r="BE241" i="25" s="1"/>
  <c r="BD237" i="25"/>
  <c r="BE237" i="25" s="1"/>
  <c r="BD238" i="25"/>
  <c r="BE238" i="25" s="1"/>
  <c r="BD239" i="25"/>
  <c r="BE239" i="25" s="1"/>
  <c r="BD240" i="25"/>
  <c r="BE240" i="25" s="1"/>
  <c r="BD242" i="25"/>
  <c r="BE242" i="25" s="1"/>
  <c r="BD243" i="25"/>
  <c r="BE243" i="25" s="1"/>
  <c r="BD244" i="25"/>
  <c r="BE244" i="25" s="1"/>
  <c r="BD245" i="25"/>
  <c r="BE245" i="25" s="1"/>
  <c r="BD246" i="25"/>
  <c r="BE246" i="25" s="1"/>
  <c r="BD247" i="25"/>
  <c r="BE247" i="25" s="1"/>
  <c r="BD248" i="25"/>
  <c r="BE248" i="25" s="1"/>
  <c r="BD249" i="25"/>
  <c r="BE249" i="25" s="1"/>
  <c r="BD250" i="25"/>
  <c r="BE250" i="25" s="1"/>
  <c r="BD251" i="25"/>
  <c r="BE251" i="25" s="1"/>
  <c r="BD252" i="25"/>
  <c r="BE252" i="25" s="1"/>
  <c r="BD253" i="25"/>
  <c r="BE253" i="25" s="1"/>
  <c r="BD254" i="25"/>
  <c r="BE254" i="25" s="1"/>
  <c r="BD255" i="25"/>
  <c r="BE255" i="25" s="1"/>
  <c r="BD256" i="25"/>
  <c r="BE256" i="25" s="1"/>
  <c r="BD257" i="25"/>
  <c r="BE257" i="25" s="1"/>
  <c r="BD258" i="25"/>
  <c r="BE258" i="25" s="1"/>
  <c r="BD259" i="25"/>
  <c r="BE259" i="25" s="1"/>
  <c r="BD260" i="25"/>
  <c r="BE260" i="25" s="1"/>
  <c r="BD261" i="25"/>
  <c r="BE261" i="25" s="1"/>
  <c r="BD262" i="25"/>
  <c r="BE262" i="25" s="1"/>
  <c r="BD263" i="25"/>
  <c r="BE263" i="25" s="1"/>
  <c r="BD264" i="25"/>
  <c r="BE264" i="25" s="1"/>
  <c r="BD265" i="25"/>
  <c r="BE265" i="25" s="1"/>
  <c r="BD266" i="25"/>
  <c r="BE266" i="25" s="1"/>
  <c r="BD267" i="25"/>
  <c r="BE267" i="25" s="1"/>
  <c r="BD268" i="25"/>
  <c r="BE268" i="25" s="1"/>
  <c r="BD269" i="25"/>
  <c r="BE269" i="25" s="1"/>
  <c r="BD270" i="25"/>
  <c r="BE270" i="25" s="1"/>
  <c r="BD271" i="25"/>
  <c r="BE271" i="25" s="1"/>
  <c r="BD272" i="25"/>
  <c r="BE272" i="25" s="1"/>
  <c r="BD273" i="25"/>
  <c r="BE273" i="25" s="1"/>
  <c r="BD274" i="25"/>
  <c r="BE274" i="25" s="1"/>
  <c r="BD275" i="25"/>
  <c r="BE275" i="25" s="1"/>
  <c r="BD276" i="25"/>
  <c r="BE276" i="25" s="1"/>
  <c r="BD277" i="25"/>
  <c r="BE277" i="25" s="1"/>
  <c r="BD278" i="25"/>
  <c r="BE278" i="25" s="1"/>
  <c r="BD279" i="25"/>
  <c r="BE279" i="25" s="1"/>
  <c r="BD280" i="25"/>
  <c r="BE280" i="25" s="1"/>
  <c r="BD281" i="25"/>
  <c r="BE281" i="25" s="1"/>
  <c r="BD282" i="25"/>
  <c r="BE282" i="25" s="1"/>
  <c r="BD283" i="25"/>
  <c r="BE283" i="25" s="1"/>
  <c r="BD284" i="25"/>
  <c r="BE284" i="25" s="1"/>
  <c r="BD285" i="25"/>
  <c r="BE285" i="25" s="1"/>
  <c r="BD286" i="25"/>
  <c r="BE286" i="25" s="1"/>
  <c r="BD287" i="25"/>
  <c r="BE287" i="25" s="1"/>
  <c r="BD288" i="25"/>
  <c r="BE288" i="25" s="1"/>
  <c r="BD289" i="25"/>
  <c r="BE289" i="25" s="1"/>
  <c r="BD290" i="25"/>
  <c r="BE290" i="25" s="1"/>
  <c r="BD291" i="25"/>
  <c r="BE291" i="25" s="1"/>
  <c r="BD292" i="25"/>
  <c r="BE292" i="25" s="1"/>
  <c r="BD293" i="25"/>
  <c r="BE293" i="25" s="1"/>
  <c r="BD294" i="25"/>
  <c r="BE294" i="25" s="1"/>
  <c r="BD295" i="25"/>
  <c r="BE295" i="25" s="1"/>
  <c r="BD296" i="25"/>
  <c r="BE296" i="25" s="1"/>
  <c r="BD297" i="25"/>
  <c r="BE297" i="25" s="1"/>
  <c r="BD298" i="25"/>
  <c r="BE298" i="25" s="1"/>
  <c r="BD299" i="25"/>
  <c r="BE299" i="25" s="1"/>
  <c r="BD300" i="25"/>
  <c r="BE300" i="25" s="1"/>
  <c r="BD301" i="25"/>
  <c r="BE301" i="25" s="1"/>
  <c r="BD302" i="25"/>
  <c r="BE302" i="25" s="1"/>
  <c r="BD303" i="25"/>
  <c r="BE303" i="25" s="1"/>
  <c r="BD304" i="25"/>
  <c r="BE304" i="25" s="1"/>
  <c r="BD305" i="25"/>
  <c r="BE305" i="25" s="1"/>
  <c r="BD306" i="25"/>
  <c r="BE306" i="25" s="1"/>
  <c r="BD307" i="25"/>
  <c r="BE307" i="25" s="1"/>
  <c r="BD308" i="25"/>
  <c r="BE308" i="25" s="1"/>
  <c r="BD309" i="25"/>
  <c r="BE309" i="25" s="1"/>
  <c r="BD310" i="25"/>
  <c r="BE310" i="25" s="1"/>
  <c r="BD311" i="25"/>
  <c r="BE311" i="25" s="1"/>
  <c r="BD312" i="25"/>
  <c r="BE312" i="25" s="1"/>
  <c r="BD313" i="25"/>
  <c r="BE313" i="25" s="1"/>
  <c r="BD314" i="25"/>
  <c r="BE314" i="25" s="1"/>
  <c r="BD315" i="25"/>
  <c r="BE315" i="25" s="1"/>
  <c r="BD316" i="25"/>
  <c r="BE316" i="25" s="1"/>
  <c r="BD317" i="25"/>
  <c r="BE317" i="25" s="1"/>
  <c r="BD318" i="25"/>
  <c r="BE318" i="25" s="1"/>
  <c r="BD319" i="25"/>
  <c r="BE319" i="25" s="1"/>
  <c r="BD320" i="25"/>
  <c r="BE320" i="25" s="1"/>
  <c r="BD321" i="25"/>
  <c r="BE321" i="25" s="1"/>
  <c r="BD322" i="25"/>
  <c r="BE322" i="25" s="1"/>
  <c r="BD323" i="25"/>
  <c r="BE323" i="25" s="1"/>
  <c r="BD324" i="25"/>
  <c r="BE324" i="25" s="1"/>
  <c r="BD325" i="25"/>
  <c r="BE325" i="25" s="1"/>
  <c r="BD326" i="25"/>
  <c r="BE326" i="25" s="1"/>
  <c r="BD327" i="25"/>
  <c r="BE327" i="25" s="1"/>
  <c r="BD328" i="25"/>
  <c r="BE328" i="25" s="1"/>
  <c r="BD329" i="25"/>
  <c r="BE329" i="25" s="1"/>
  <c r="BD330" i="25"/>
  <c r="BE330" i="25" s="1"/>
  <c r="BD331" i="25"/>
  <c r="BE331" i="25" s="1"/>
  <c r="BD332" i="25"/>
  <c r="BE332" i="25" s="1"/>
  <c r="BD333" i="25"/>
  <c r="BE333" i="25" s="1"/>
  <c r="BD334" i="25"/>
  <c r="BE334" i="25" s="1"/>
  <c r="BD335" i="25"/>
  <c r="BE335" i="25" s="1"/>
  <c r="BD336" i="25"/>
  <c r="BE336" i="25" s="1"/>
  <c r="BD337" i="25"/>
  <c r="BE337" i="25" s="1"/>
  <c r="BD338" i="25"/>
  <c r="BE338" i="25" s="1"/>
  <c r="BD339" i="25"/>
  <c r="BE339" i="25" s="1"/>
  <c r="BD340" i="25"/>
  <c r="BE340" i="25" s="1"/>
  <c r="BD341" i="25"/>
  <c r="BE341" i="25" s="1"/>
  <c r="BD342" i="25"/>
  <c r="BE342" i="25" s="1"/>
  <c r="BD343" i="25"/>
  <c r="BE343" i="25" s="1"/>
  <c r="BD344" i="25"/>
  <c r="BE344" i="25" s="1"/>
  <c r="BD345" i="25"/>
  <c r="BE345" i="25" s="1"/>
  <c r="BD346" i="25"/>
  <c r="BE346" i="25" s="1"/>
  <c r="BD347" i="25"/>
  <c r="BE347" i="25" s="1"/>
  <c r="BD348" i="25"/>
  <c r="BE348" i="25" s="1"/>
  <c r="BD349" i="25"/>
  <c r="BE349" i="25" s="1"/>
  <c r="BD350" i="25"/>
  <c r="BE350" i="25" s="1"/>
  <c r="BD351" i="25"/>
  <c r="BE351" i="25" s="1"/>
  <c r="BD352" i="25"/>
  <c r="BE352" i="25" s="1"/>
  <c r="BD353" i="25"/>
  <c r="BE353" i="25" s="1"/>
  <c r="BD354" i="25"/>
  <c r="BE354" i="25" s="1"/>
  <c r="BD355" i="25"/>
  <c r="BE355" i="25" s="1"/>
  <c r="BD356" i="25"/>
  <c r="BE356" i="25" s="1"/>
  <c r="BD357" i="25"/>
  <c r="BE357" i="25" s="1"/>
  <c r="BD358" i="25"/>
  <c r="BE358" i="25" s="1"/>
  <c r="BD359" i="25"/>
  <c r="BE359" i="25" s="1"/>
  <c r="BD360" i="25"/>
  <c r="BE360" i="25" s="1"/>
  <c r="BD361" i="25"/>
  <c r="BE361" i="25" s="1"/>
  <c r="BD362" i="25"/>
  <c r="BE362" i="25" s="1"/>
  <c r="BD363" i="25"/>
  <c r="BE363" i="25" s="1"/>
  <c r="BD364" i="25"/>
  <c r="BE364" i="25" s="1"/>
  <c r="BD365" i="25"/>
  <c r="BE365" i="25" s="1"/>
  <c r="BD366" i="25"/>
  <c r="BE366" i="25" s="1"/>
  <c r="BD367" i="25"/>
  <c r="BE367" i="25" s="1"/>
  <c r="BD368" i="25"/>
  <c r="BE368" i="25" s="1"/>
  <c r="BD369" i="25"/>
  <c r="BE369" i="25" s="1"/>
  <c r="BD370" i="25"/>
  <c r="BE370" i="25" s="1"/>
  <c r="BD371" i="25"/>
  <c r="BE371" i="25" s="1"/>
  <c r="BD372" i="25"/>
  <c r="BE372" i="25" s="1"/>
  <c r="BD373" i="25"/>
  <c r="BE373" i="25" s="1"/>
  <c r="BD374" i="25"/>
  <c r="BE374" i="25" s="1"/>
  <c r="BD375" i="25"/>
  <c r="BE375" i="25" s="1"/>
  <c r="BD376" i="25"/>
  <c r="BE376" i="25" s="1"/>
  <c r="BD377" i="25"/>
  <c r="BE377" i="25" s="1"/>
  <c r="BD378" i="25"/>
  <c r="BE378" i="25" s="1"/>
  <c r="BD379" i="25"/>
  <c r="BE379" i="25" s="1"/>
  <c r="BG223" i="25"/>
  <c r="BI223" i="25" s="1"/>
  <c r="BG224" i="25"/>
  <c r="BG225" i="25"/>
  <c r="BG226" i="25"/>
  <c r="BG227" i="25"/>
  <c r="BG228" i="25"/>
  <c r="BG229" i="25"/>
  <c r="BG230" i="25"/>
  <c r="BG231" i="25"/>
  <c r="BG232" i="25"/>
  <c r="BG233" i="25"/>
  <c r="BG234" i="25"/>
  <c r="BG236" i="25"/>
  <c r="BG235" i="25"/>
  <c r="BG241" i="25"/>
  <c r="BG237" i="25"/>
  <c r="BG238" i="25"/>
  <c r="BG239" i="25"/>
  <c r="BG240" i="25"/>
  <c r="BG242" i="25"/>
  <c r="BG243" i="25"/>
  <c r="BG244" i="25"/>
  <c r="BG245" i="25"/>
  <c r="BG246" i="25"/>
  <c r="BG247" i="25"/>
  <c r="BG248" i="25"/>
  <c r="BG249" i="25"/>
  <c r="BG250" i="25"/>
  <c r="BG251" i="25"/>
  <c r="BG252" i="25"/>
  <c r="BG253" i="25"/>
  <c r="BG254" i="25"/>
  <c r="BG255" i="25"/>
  <c r="BG256" i="25"/>
  <c r="BG257" i="25"/>
  <c r="BG258" i="25"/>
  <c r="BG259" i="25"/>
  <c r="BG260" i="25"/>
  <c r="BG261" i="25"/>
  <c r="BG262" i="25"/>
  <c r="BG263" i="25"/>
  <c r="BG264" i="25"/>
  <c r="BI264" i="25" s="1"/>
  <c r="BG265" i="25"/>
  <c r="BG266" i="25"/>
  <c r="BG267" i="25"/>
  <c r="BG268" i="25"/>
  <c r="BG269" i="25"/>
  <c r="BG270" i="25"/>
  <c r="BG271" i="25"/>
  <c r="BG272" i="25"/>
  <c r="BG273" i="25"/>
  <c r="BG274" i="25"/>
  <c r="BG275" i="25"/>
  <c r="BG276" i="25"/>
  <c r="BG277" i="25"/>
  <c r="BG278" i="25"/>
  <c r="BG279" i="25"/>
  <c r="BG280" i="25"/>
  <c r="BG281" i="25"/>
  <c r="BG282" i="25"/>
  <c r="BG283" i="25"/>
  <c r="BG284" i="25"/>
  <c r="BG285" i="25"/>
  <c r="BG286" i="25"/>
  <c r="BG287" i="25"/>
  <c r="BG288" i="25"/>
  <c r="BG289" i="25"/>
  <c r="BG290" i="25"/>
  <c r="BG291" i="25"/>
  <c r="BG292" i="25"/>
  <c r="BG293" i="25"/>
  <c r="BG294" i="25"/>
  <c r="BG295" i="25"/>
  <c r="BG296" i="25"/>
  <c r="BG297" i="25"/>
  <c r="BG298" i="25"/>
  <c r="BG299" i="25"/>
  <c r="BG300" i="25"/>
  <c r="BG301" i="25"/>
  <c r="BG302" i="25"/>
  <c r="BG303" i="25"/>
  <c r="BG304" i="25"/>
  <c r="BG305" i="25"/>
  <c r="BG306" i="25"/>
  <c r="BG307" i="25"/>
  <c r="BG308" i="25"/>
  <c r="BG309" i="25"/>
  <c r="BG310" i="25"/>
  <c r="BG311" i="25"/>
  <c r="BG312" i="25"/>
  <c r="BG313" i="25"/>
  <c r="BG314" i="25"/>
  <c r="BG315" i="25"/>
  <c r="BG316" i="25"/>
  <c r="BG317" i="25"/>
  <c r="BG318" i="25"/>
  <c r="BG319" i="25"/>
  <c r="BG320" i="25"/>
  <c r="BG321" i="25"/>
  <c r="BG322" i="25"/>
  <c r="BG323" i="25"/>
  <c r="BG324" i="25"/>
  <c r="BG325" i="25"/>
  <c r="BG326" i="25"/>
  <c r="BG327" i="25"/>
  <c r="BG328" i="25"/>
  <c r="BG329" i="25"/>
  <c r="BG330" i="25"/>
  <c r="BG331" i="25"/>
  <c r="BG332" i="25"/>
  <c r="BG333" i="25"/>
  <c r="BG334" i="25"/>
  <c r="BG335" i="25"/>
  <c r="BG336" i="25"/>
  <c r="BG337" i="25"/>
  <c r="BG338" i="25"/>
  <c r="BG339" i="25"/>
  <c r="BG340" i="25"/>
  <c r="BG341" i="25"/>
  <c r="BG342" i="25"/>
  <c r="BG343" i="25"/>
  <c r="BG344" i="25"/>
  <c r="BG345" i="25"/>
  <c r="BG346" i="25"/>
  <c r="BG347" i="25"/>
  <c r="BG348" i="25"/>
  <c r="BG349" i="25"/>
  <c r="BG350" i="25"/>
  <c r="BG351" i="25"/>
  <c r="BG352" i="25"/>
  <c r="BG353" i="25"/>
  <c r="BG354" i="25"/>
  <c r="BG355" i="25"/>
  <c r="BG356" i="25"/>
  <c r="BG357" i="25"/>
  <c r="BG358" i="25"/>
  <c r="BG359" i="25"/>
  <c r="BG360" i="25"/>
  <c r="BG361" i="25"/>
  <c r="BG362" i="25"/>
  <c r="BG363" i="25"/>
  <c r="BG364" i="25"/>
  <c r="BG365" i="25"/>
  <c r="BG366" i="25"/>
  <c r="BG367" i="25"/>
  <c r="BG368" i="25"/>
  <c r="BG369" i="25"/>
  <c r="BG370" i="25"/>
  <c r="BG371" i="25"/>
  <c r="BG372" i="25"/>
  <c r="BG373" i="25"/>
  <c r="BG374" i="25"/>
  <c r="BG375" i="25"/>
  <c r="BG376" i="25"/>
  <c r="BG377" i="25"/>
  <c r="BG378" i="25"/>
  <c r="BG379" i="25"/>
  <c r="BH223" i="25"/>
  <c r="BH224" i="25"/>
  <c r="BH225" i="25"/>
  <c r="BH226" i="25"/>
  <c r="BH227" i="25"/>
  <c r="BH228" i="25"/>
  <c r="BH229" i="25"/>
  <c r="BH230" i="25"/>
  <c r="BH231" i="25"/>
  <c r="BH232" i="25"/>
  <c r="BH233" i="25"/>
  <c r="BH234" i="25"/>
  <c r="BH236" i="25"/>
  <c r="BH235" i="25"/>
  <c r="BH241" i="25"/>
  <c r="BH237" i="25"/>
  <c r="BH238" i="25"/>
  <c r="BH239" i="25"/>
  <c r="BH240" i="25"/>
  <c r="BH242" i="25"/>
  <c r="BH243" i="25"/>
  <c r="BH244" i="25"/>
  <c r="BH245" i="25"/>
  <c r="BH246" i="25"/>
  <c r="BH247" i="25"/>
  <c r="BH248" i="25"/>
  <c r="BH249" i="25"/>
  <c r="BH250" i="25"/>
  <c r="BH251" i="25"/>
  <c r="BH252" i="25"/>
  <c r="BH253" i="25"/>
  <c r="BH254" i="25"/>
  <c r="BH255" i="25"/>
  <c r="BH256" i="25"/>
  <c r="BH257" i="25"/>
  <c r="BH258" i="25"/>
  <c r="BH259" i="25"/>
  <c r="BH260" i="25"/>
  <c r="BH261" i="25"/>
  <c r="BH262" i="25"/>
  <c r="BH263" i="25"/>
  <c r="BH264" i="25"/>
  <c r="BH265" i="25"/>
  <c r="BH266" i="25"/>
  <c r="BH267" i="25"/>
  <c r="BH268" i="25"/>
  <c r="BH269" i="25"/>
  <c r="BH270" i="25"/>
  <c r="BH271" i="25"/>
  <c r="BH272" i="25"/>
  <c r="BH273" i="25"/>
  <c r="BH274" i="25"/>
  <c r="BH275" i="25"/>
  <c r="BH276" i="25"/>
  <c r="BH277" i="25"/>
  <c r="BH278" i="25"/>
  <c r="BH279" i="25"/>
  <c r="BH280" i="25"/>
  <c r="BH281" i="25"/>
  <c r="BH282" i="25"/>
  <c r="BH283" i="25"/>
  <c r="BH284" i="25"/>
  <c r="BH285" i="25"/>
  <c r="BH286" i="25"/>
  <c r="BH287" i="25"/>
  <c r="BH288" i="25"/>
  <c r="BH289" i="25"/>
  <c r="BH290" i="25"/>
  <c r="BH291" i="25"/>
  <c r="BH292" i="25"/>
  <c r="BH293" i="25"/>
  <c r="BH294" i="25"/>
  <c r="BH295" i="25"/>
  <c r="BH296" i="25"/>
  <c r="BH297" i="25"/>
  <c r="BH298" i="25"/>
  <c r="BH299" i="25"/>
  <c r="BH300" i="25"/>
  <c r="BH301" i="25"/>
  <c r="BH302" i="25"/>
  <c r="BH303" i="25"/>
  <c r="BH304" i="25"/>
  <c r="BH305" i="25"/>
  <c r="BH306" i="25"/>
  <c r="BH307" i="25"/>
  <c r="BH308" i="25"/>
  <c r="BH309" i="25"/>
  <c r="BH310" i="25"/>
  <c r="BH311" i="25"/>
  <c r="BH312" i="25"/>
  <c r="BH313" i="25"/>
  <c r="BH314" i="25"/>
  <c r="BH315" i="25"/>
  <c r="BH316" i="25"/>
  <c r="BH317" i="25"/>
  <c r="BH318" i="25"/>
  <c r="BH319" i="25"/>
  <c r="BH320" i="25"/>
  <c r="BH321" i="25"/>
  <c r="BH322" i="25"/>
  <c r="BH323" i="25"/>
  <c r="BH324" i="25"/>
  <c r="BH325" i="25"/>
  <c r="BH326" i="25"/>
  <c r="BH327" i="25"/>
  <c r="BH328" i="25"/>
  <c r="BH329" i="25"/>
  <c r="BH330" i="25"/>
  <c r="BH331" i="25"/>
  <c r="BH332" i="25"/>
  <c r="BH333" i="25"/>
  <c r="BH334" i="25"/>
  <c r="BH335" i="25"/>
  <c r="BH336" i="25"/>
  <c r="BH337" i="25"/>
  <c r="BH338" i="25"/>
  <c r="BH339" i="25"/>
  <c r="BH340" i="25"/>
  <c r="BH341" i="25"/>
  <c r="BH342" i="25"/>
  <c r="BH343" i="25"/>
  <c r="BH344" i="25"/>
  <c r="BH345" i="25"/>
  <c r="BH346" i="25"/>
  <c r="BH347" i="25"/>
  <c r="BH348" i="25"/>
  <c r="BH349" i="25"/>
  <c r="BH350" i="25"/>
  <c r="BH351" i="25"/>
  <c r="BH352" i="25"/>
  <c r="BH353" i="25"/>
  <c r="BH354" i="25"/>
  <c r="BH355" i="25"/>
  <c r="BH356" i="25"/>
  <c r="BH357" i="25"/>
  <c r="BH358" i="25"/>
  <c r="BH359" i="25"/>
  <c r="BH360" i="25"/>
  <c r="BH361" i="25"/>
  <c r="BH362" i="25"/>
  <c r="BH363" i="25"/>
  <c r="BH364" i="25"/>
  <c r="BH365" i="25"/>
  <c r="BH366" i="25"/>
  <c r="BH367" i="25"/>
  <c r="BH368" i="25"/>
  <c r="BH369" i="25"/>
  <c r="BH370" i="25"/>
  <c r="BH371" i="25"/>
  <c r="BH372" i="25"/>
  <c r="BH373" i="25"/>
  <c r="BH374" i="25"/>
  <c r="BH375" i="25"/>
  <c r="BH376" i="25"/>
  <c r="BH377" i="25"/>
  <c r="BH378" i="25"/>
  <c r="BH379" i="25"/>
  <c r="BP223" i="25"/>
  <c r="BP224" i="25"/>
  <c r="BP225" i="25"/>
  <c r="BP226" i="25"/>
  <c r="BP227" i="25"/>
  <c r="BP228" i="25"/>
  <c r="BP229" i="25"/>
  <c r="BP230" i="25"/>
  <c r="BP231" i="25"/>
  <c r="BP232" i="25"/>
  <c r="BP233" i="25"/>
  <c r="BP234" i="25"/>
  <c r="BP236" i="25"/>
  <c r="BP235" i="25"/>
  <c r="BP241" i="25"/>
  <c r="BP237" i="25"/>
  <c r="BP238" i="25"/>
  <c r="BP239" i="25"/>
  <c r="BP240" i="25"/>
  <c r="BP242" i="25"/>
  <c r="BP243" i="25"/>
  <c r="BP244" i="25"/>
  <c r="BP245" i="25"/>
  <c r="BP246" i="25"/>
  <c r="BP247" i="25"/>
  <c r="BP248" i="25"/>
  <c r="BP249" i="25"/>
  <c r="BP250" i="25"/>
  <c r="BP251" i="25"/>
  <c r="BP252" i="25"/>
  <c r="BP253" i="25"/>
  <c r="BP254" i="25"/>
  <c r="BP255" i="25"/>
  <c r="BP256" i="25"/>
  <c r="BP257" i="25"/>
  <c r="BP258" i="25"/>
  <c r="BP259" i="25"/>
  <c r="BP260" i="25"/>
  <c r="BP261" i="25"/>
  <c r="BP262" i="25"/>
  <c r="BP263" i="25"/>
  <c r="BP264" i="25"/>
  <c r="BP265" i="25"/>
  <c r="BP266" i="25"/>
  <c r="BP267" i="25"/>
  <c r="BP268" i="25"/>
  <c r="BP269" i="25"/>
  <c r="BP270" i="25"/>
  <c r="BP271" i="25"/>
  <c r="BP272" i="25"/>
  <c r="BP273" i="25"/>
  <c r="BP274" i="25"/>
  <c r="BP275" i="25"/>
  <c r="BP276" i="25"/>
  <c r="BP277" i="25"/>
  <c r="BP278" i="25"/>
  <c r="BP279" i="25"/>
  <c r="BP280" i="25"/>
  <c r="BP281" i="25"/>
  <c r="BP282" i="25"/>
  <c r="BP283" i="25"/>
  <c r="BP284" i="25"/>
  <c r="BP285" i="25"/>
  <c r="BP286" i="25"/>
  <c r="BP287" i="25"/>
  <c r="BP288" i="25"/>
  <c r="BP289" i="25"/>
  <c r="BP290" i="25"/>
  <c r="BP291" i="25"/>
  <c r="BP292" i="25"/>
  <c r="BP293" i="25"/>
  <c r="BP294" i="25"/>
  <c r="BP295" i="25"/>
  <c r="BP296" i="25"/>
  <c r="BP297" i="25"/>
  <c r="BP298" i="25"/>
  <c r="BP299" i="25"/>
  <c r="BP300" i="25"/>
  <c r="BP301" i="25"/>
  <c r="BP302" i="25"/>
  <c r="BP303" i="25"/>
  <c r="BP304" i="25"/>
  <c r="BP305" i="25"/>
  <c r="BP306" i="25"/>
  <c r="BP307" i="25"/>
  <c r="BP308" i="25"/>
  <c r="BP309" i="25"/>
  <c r="BP310" i="25"/>
  <c r="BP311" i="25"/>
  <c r="BP312" i="25"/>
  <c r="BP313" i="25"/>
  <c r="BP314" i="25"/>
  <c r="BP315" i="25"/>
  <c r="BP316" i="25"/>
  <c r="BP317" i="25"/>
  <c r="BP318" i="25"/>
  <c r="BP319" i="25"/>
  <c r="BP320" i="25"/>
  <c r="BP321" i="25"/>
  <c r="BP322" i="25"/>
  <c r="BP323" i="25"/>
  <c r="BP324" i="25"/>
  <c r="BP325" i="25"/>
  <c r="BP326" i="25"/>
  <c r="BP327" i="25"/>
  <c r="BP328" i="25"/>
  <c r="BP329" i="25"/>
  <c r="BP330" i="25"/>
  <c r="BP331" i="25"/>
  <c r="BP332" i="25"/>
  <c r="BP333" i="25"/>
  <c r="BP334" i="25"/>
  <c r="BP335" i="25"/>
  <c r="BP336" i="25"/>
  <c r="BP337" i="25"/>
  <c r="BP338" i="25"/>
  <c r="BP339" i="25"/>
  <c r="BP340" i="25"/>
  <c r="BP341" i="25"/>
  <c r="BP342" i="25"/>
  <c r="BP343" i="25"/>
  <c r="BP344" i="25"/>
  <c r="BP345" i="25"/>
  <c r="BP346" i="25"/>
  <c r="BP347" i="25"/>
  <c r="BP348" i="25"/>
  <c r="BP349" i="25"/>
  <c r="BP350" i="25"/>
  <c r="BP351" i="25"/>
  <c r="BP352" i="25"/>
  <c r="BP353" i="25"/>
  <c r="BP354" i="25"/>
  <c r="BP355" i="25"/>
  <c r="BP356" i="25"/>
  <c r="BP357" i="25"/>
  <c r="BP358" i="25"/>
  <c r="BP359" i="25"/>
  <c r="BP360" i="25"/>
  <c r="BP361" i="25"/>
  <c r="BP362" i="25"/>
  <c r="BP363" i="25"/>
  <c r="BP364" i="25"/>
  <c r="BP365" i="25"/>
  <c r="BP366" i="25"/>
  <c r="BP367" i="25"/>
  <c r="BP368" i="25"/>
  <c r="BP369" i="25"/>
  <c r="BP370" i="25"/>
  <c r="BP371" i="25"/>
  <c r="BP372" i="25"/>
  <c r="BP373" i="25"/>
  <c r="BP374" i="25"/>
  <c r="BP375" i="25"/>
  <c r="BP376" i="25"/>
  <c r="BP377" i="25"/>
  <c r="BP378" i="25"/>
  <c r="BP379" i="25"/>
  <c r="BQ223" i="25"/>
  <c r="BQ224" i="25"/>
  <c r="BQ225" i="25"/>
  <c r="BQ226" i="25"/>
  <c r="BQ227" i="25"/>
  <c r="BQ228" i="25"/>
  <c r="BQ229" i="25"/>
  <c r="BQ230" i="25"/>
  <c r="BQ231" i="25"/>
  <c r="BQ232" i="25"/>
  <c r="BQ233" i="25"/>
  <c r="BQ234" i="25"/>
  <c r="BQ236" i="25"/>
  <c r="BQ235" i="25"/>
  <c r="BQ241" i="25"/>
  <c r="BQ237" i="25"/>
  <c r="BQ238" i="25"/>
  <c r="BQ239" i="25"/>
  <c r="BQ240" i="25"/>
  <c r="BQ242" i="25"/>
  <c r="BQ243" i="25"/>
  <c r="BQ244" i="25"/>
  <c r="BQ245" i="25"/>
  <c r="BQ246" i="25"/>
  <c r="BQ247" i="25"/>
  <c r="BQ248" i="25"/>
  <c r="BQ249" i="25"/>
  <c r="BQ250" i="25"/>
  <c r="BQ251" i="25"/>
  <c r="BQ252" i="25"/>
  <c r="BQ253" i="25"/>
  <c r="BQ254" i="25"/>
  <c r="BQ255" i="25"/>
  <c r="BQ256" i="25"/>
  <c r="BQ257" i="25"/>
  <c r="BQ258" i="25"/>
  <c r="BQ259" i="25"/>
  <c r="BQ260" i="25"/>
  <c r="BQ261" i="25"/>
  <c r="BQ262" i="25"/>
  <c r="BQ263" i="25"/>
  <c r="BQ264" i="25"/>
  <c r="BQ265" i="25"/>
  <c r="BQ266" i="25"/>
  <c r="BQ267" i="25"/>
  <c r="BQ268" i="25"/>
  <c r="BQ269" i="25"/>
  <c r="BQ270" i="25"/>
  <c r="BQ271" i="25"/>
  <c r="BQ272" i="25"/>
  <c r="BQ273" i="25"/>
  <c r="BQ274" i="25"/>
  <c r="BQ275" i="25"/>
  <c r="BQ276" i="25"/>
  <c r="BQ277" i="25"/>
  <c r="BQ278" i="25"/>
  <c r="BQ279" i="25"/>
  <c r="BQ280" i="25"/>
  <c r="BQ281" i="25"/>
  <c r="BQ282" i="25"/>
  <c r="BQ283" i="25"/>
  <c r="BQ284" i="25"/>
  <c r="BQ285" i="25"/>
  <c r="BQ286" i="25"/>
  <c r="BQ287" i="25"/>
  <c r="BQ288" i="25"/>
  <c r="BQ289" i="25"/>
  <c r="BQ290" i="25"/>
  <c r="BQ291" i="25"/>
  <c r="BQ292" i="25"/>
  <c r="BQ293" i="25"/>
  <c r="BQ294" i="25"/>
  <c r="BQ295" i="25"/>
  <c r="BQ296" i="25"/>
  <c r="BQ297" i="25"/>
  <c r="BQ298" i="25"/>
  <c r="BQ299" i="25"/>
  <c r="BQ300" i="25"/>
  <c r="BQ301" i="25"/>
  <c r="BQ302" i="25"/>
  <c r="BQ303" i="25"/>
  <c r="BQ304" i="25"/>
  <c r="BQ305" i="25"/>
  <c r="BQ306" i="25"/>
  <c r="BQ307" i="25"/>
  <c r="BQ308" i="25"/>
  <c r="BQ309" i="25"/>
  <c r="BQ310" i="25"/>
  <c r="BQ311" i="25"/>
  <c r="BQ312" i="25"/>
  <c r="BQ313" i="25"/>
  <c r="BQ314" i="25"/>
  <c r="BQ315" i="25"/>
  <c r="BQ316" i="25"/>
  <c r="BQ317" i="25"/>
  <c r="BQ318" i="25"/>
  <c r="BQ319" i="25"/>
  <c r="BQ320" i="25"/>
  <c r="BQ321" i="25"/>
  <c r="BQ322" i="25"/>
  <c r="BQ323" i="25"/>
  <c r="BQ324" i="25"/>
  <c r="BQ325" i="25"/>
  <c r="BQ326" i="25"/>
  <c r="BQ327" i="25"/>
  <c r="BQ328" i="25"/>
  <c r="BQ329" i="25"/>
  <c r="BQ330" i="25"/>
  <c r="BQ331" i="25"/>
  <c r="BQ332" i="25"/>
  <c r="BQ333" i="25"/>
  <c r="BQ334" i="25"/>
  <c r="BQ335" i="25"/>
  <c r="BQ336" i="25"/>
  <c r="BQ337" i="25"/>
  <c r="BQ338" i="25"/>
  <c r="BQ339" i="25"/>
  <c r="BQ340" i="25"/>
  <c r="BQ341" i="25"/>
  <c r="BQ342" i="25"/>
  <c r="BQ343" i="25"/>
  <c r="BQ344" i="25"/>
  <c r="BQ345" i="25"/>
  <c r="BQ346" i="25"/>
  <c r="BQ347" i="25"/>
  <c r="BQ348" i="25"/>
  <c r="BQ349" i="25"/>
  <c r="BQ350" i="25"/>
  <c r="BQ351" i="25"/>
  <c r="BQ352" i="25"/>
  <c r="BQ353" i="25"/>
  <c r="BQ354" i="25"/>
  <c r="BQ355" i="25"/>
  <c r="BQ356" i="25"/>
  <c r="BQ357" i="25"/>
  <c r="BQ358" i="25"/>
  <c r="BQ359" i="25"/>
  <c r="BQ360" i="25"/>
  <c r="BQ361" i="25"/>
  <c r="BQ362" i="25"/>
  <c r="BQ363" i="25"/>
  <c r="BQ364" i="25"/>
  <c r="BQ365" i="25"/>
  <c r="BQ366" i="25"/>
  <c r="BQ367" i="25"/>
  <c r="BQ368" i="25"/>
  <c r="BQ369" i="25"/>
  <c r="BQ370" i="25"/>
  <c r="BQ371" i="25"/>
  <c r="BQ372" i="25"/>
  <c r="BQ373" i="25"/>
  <c r="BQ374" i="25"/>
  <c r="BQ375" i="25"/>
  <c r="BQ376" i="25"/>
  <c r="BQ377" i="25"/>
  <c r="BQ378" i="25"/>
  <c r="BQ379" i="25"/>
  <c r="BR223" i="25"/>
  <c r="BR224" i="25"/>
  <c r="BR225" i="25"/>
  <c r="BR226" i="25"/>
  <c r="BR227" i="25"/>
  <c r="BR228" i="25"/>
  <c r="BR229" i="25"/>
  <c r="BR230" i="25"/>
  <c r="BR231" i="25"/>
  <c r="BR232" i="25"/>
  <c r="BR233" i="25"/>
  <c r="BR234" i="25"/>
  <c r="BR236" i="25"/>
  <c r="BR235" i="25"/>
  <c r="BR241" i="25"/>
  <c r="BR237" i="25"/>
  <c r="BR238" i="25"/>
  <c r="BR239" i="25"/>
  <c r="BR240" i="25"/>
  <c r="BR242" i="25"/>
  <c r="BR243" i="25"/>
  <c r="BR244" i="25"/>
  <c r="BR245" i="25"/>
  <c r="BR246" i="25"/>
  <c r="BR247" i="25"/>
  <c r="BR248" i="25"/>
  <c r="BR249" i="25"/>
  <c r="BR250" i="25"/>
  <c r="BR251" i="25"/>
  <c r="BR252" i="25"/>
  <c r="BR253" i="25"/>
  <c r="BR254" i="25"/>
  <c r="BR255" i="25"/>
  <c r="BR256" i="25"/>
  <c r="BR257" i="25"/>
  <c r="BR258" i="25"/>
  <c r="BR259" i="25"/>
  <c r="BR260" i="25"/>
  <c r="BR261" i="25"/>
  <c r="BR262" i="25"/>
  <c r="BR263" i="25"/>
  <c r="BR264" i="25"/>
  <c r="BR265" i="25"/>
  <c r="BR266" i="25"/>
  <c r="BR267" i="25"/>
  <c r="BR268" i="25"/>
  <c r="BR269" i="25"/>
  <c r="BR270" i="25"/>
  <c r="BR271" i="25"/>
  <c r="BR272" i="25"/>
  <c r="BR273" i="25"/>
  <c r="BR274" i="25"/>
  <c r="BR275" i="25"/>
  <c r="BR276" i="25"/>
  <c r="BR277" i="25"/>
  <c r="BR278" i="25"/>
  <c r="BR279" i="25"/>
  <c r="BR280" i="25"/>
  <c r="BR281" i="25"/>
  <c r="BR282" i="25"/>
  <c r="BR283" i="25"/>
  <c r="BR284" i="25"/>
  <c r="BR285" i="25"/>
  <c r="BR286" i="25"/>
  <c r="BR287" i="25"/>
  <c r="BR288" i="25"/>
  <c r="BR289" i="25"/>
  <c r="BR290" i="25"/>
  <c r="BR291" i="25"/>
  <c r="BR292" i="25"/>
  <c r="BR293" i="25"/>
  <c r="BR294" i="25"/>
  <c r="BR295" i="25"/>
  <c r="BR296" i="25"/>
  <c r="BR297" i="25"/>
  <c r="BR298" i="25"/>
  <c r="BR299" i="25"/>
  <c r="BR300" i="25"/>
  <c r="BR301" i="25"/>
  <c r="BR302" i="25"/>
  <c r="BR303" i="25"/>
  <c r="BR304" i="25"/>
  <c r="BR305" i="25"/>
  <c r="BR306" i="25"/>
  <c r="BR307" i="25"/>
  <c r="BR308" i="25"/>
  <c r="BR309" i="25"/>
  <c r="BR310" i="25"/>
  <c r="BR311" i="25"/>
  <c r="BR312" i="25"/>
  <c r="BR313" i="25"/>
  <c r="BR314" i="25"/>
  <c r="BR315" i="25"/>
  <c r="BR316" i="25"/>
  <c r="BR317" i="25"/>
  <c r="BR318" i="25"/>
  <c r="BR319" i="25"/>
  <c r="BR320" i="25"/>
  <c r="BR321" i="25"/>
  <c r="BR322" i="25"/>
  <c r="BR323" i="25"/>
  <c r="BR324" i="25"/>
  <c r="BR325" i="25"/>
  <c r="BR326" i="25"/>
  <c r="BR327" i="25"/>
  <c r="BR328" i="25"/>
  <c r="BR329" i="25"/>
  <c r="BR330" i="25"/>
  <c r="BR331" i="25"/>
  <c r="BR332" i="25"/>
  <c r="BR333" i="25"/>
  <c r="BR334" i="25"/>
  <c r="BR335" i="25"/>
  <c r="BR336" i="25"/>
  <c r="BR337" i="25"/>
  <c r="BR338" i="25"/>
  <c r="BR339" i="25"/>
  <c r="BR340" i="25"/>
  <c r="BR341" i="25"/>
  <c r="BR342" i="25"/>
  <c r="BR343" i="25"/>
  <c r="BR344" i="25"/>
  <c r="BR345" i="25"/>
  <c r="BR346" i="25"/>
  <c r="BR347" i="25"/>
  <c r="BR348" i="25"/>
  <c r="BR349" i="25"/>
  <c r="BR350" i="25"/>
  <c r="BR351" i="25"/>
  <c r="BR352" i="25"/>
  <c r="BR353" i="25"/>
  <c r="BR354" i="25"/>
  <c r="BR355" i="25"/>
  <c r="BR356" i="25"/>
  <c r="BR357" i="25"/>
  <c r="BR358" i="25"/>
  <c r="BR359" i="25"/>
  <c r="BR360" i="25"/>
  <c r="BR361" i="25"/>
  <c r="BR362" i="25"/>
  <c r="BR363" i="25"/>
  <c r="BR364" i="25"/>
  <c r="BR365" i="25"/>
  <c r="BR366" i="25"/>
  <c r="BR367" i="25"/>
  <c r="BR368" i="25"/>
  <c r="BR369" i="25"/>
  <c r="BR370" i="25"/>
  <c r="BR371" i="25"/>
  <c r="BR372" i="25"/>
  <c r="BR373" i="25"/>
  <c r="BR374" i="25"/>
  <c r="BR375" i="25"/>
  <c r="BR376" i="25"/>
  <c r="BR377" i="25"/>
  <c r="BR378" i="25"/>
  <c r="BR379" i="25"/>
  <c r="BS223" i="25"/>
  <c r="BS224" i="25"/>
  <c r="BS225" i="25"/>
  <c r="BS226" i="25"/>
  <c r="BS227" i="25"/>
  <c r="BS228" i="25"/>
  <c r="BS229" i="25"/>
  <c r="BS230" i="25"/>
  <c r="BS231" i="25"/>
  <c r="BS232" i="25"/>
  <c r="BS233" i="25"/>
  <c r="BS234" i="25"/>
  <c r="BS236" i="25"/>
  <c r="BS235" i="25"/>
  <c r="BS241" i="25"/>
  <c r="BS237" i="25"/>
  <c r="BS238" i="25"/>
  <c r="BS239" i="25"/>
  <c r="BS240" i="25"/>
  <c r="BS242" i="25"/>
  <c r="BS243" i="25"/>
  <c r="BS244" i="25"/>
  <c r="BS245" i="25"/>
  <c r="BS246" i="25"/>
  <c r="BS247" i="25"/>
  <c r="BS248" i="25"/>
  <c r="BS249" i="25"/>
  <c r="BS250" i="25"/>
  <c r="BS251" i="25"/>
  <c r="BS252" i="25"/>
  <c r="BS253" i="25"/>
  <c r="BS254" i="25"/>
  <c r="BS255" i="25"/>
  <c r="BS256" i="25"/>
  <c r="BS257" i="25"/>
  <c r="BS258" i="25"/>
  <c r="BS259" i="25"/>
  <c r="BS260" i="25"/>
  <c r="BS261" i="25"/>
  <c r="BS262" i="25"/>
  <c r="BS263" i="25"/>
  <c r="BS264" i="25"/>
  <c r="BS265" i="25"/>
  <c r="BS266" i="25"/>
  <c r="BS267" i="25"/>
  <c r="BS268" i="25"/>
  <c r="BS269" i="25"/>
  <c r="BS270" i="25"/>
  <c r="BS271" i="25"/>
  <c r="BS272" i="25"/>
  <c r="BS273" i="25"/>
  <c r="BS274" i="25"/>
  <c r="BS275" i="25"/>
  <c r="BS276" i="25"/>
  <c r="BS277" i="25"/>
  <c r="BS278" i="25"/>
  <c r="BS279" i="25"/>
  <c r="BS280" i="25"/>
  <c r="BS281" i="25"/>
  <c r="BS282" i="25"/>
  <c r="BS283" i="25"/>
  <c r="BS284" i="25"/>
  <c r="BS285" i="25"/>
  <c r="BS286" i="25"/>
  <c r="BS287" i="25"/>
  <c r="BS288" i="25"/>
  <c r="BS289" i="25"/>
  <c r="BS290" i="25"/>
  <c r="BS291" i="25"/>
  <c r="BS292" i="25"/>
  <c r="BS293" i="25"/>
  <c r="BS294" i="25"/>
  <c r="BS295" i="25"/>
  <c r="BS296" i="25"/>
  <c r="BS297" i="25"/>
  <c r="BS298" i="25"/>
  <c r="BS299" i="25"/>
  <c r="BS300" i="25"/>
  <c r="BS301" i="25"/>
  <c r="BS302" i="25"/>
  <c r="BS303" i="25"/>
  <c r="BS304" i="25"/>
  <c r="BS305" i="25"/>
  <c r="BS306" i="25"/>
  <c r="BS307" i="25"/>
  <c r="BS308" i="25"/>
  <c r="BS309" i="25"/>
  <c r="BS310" i="25"/>
  <c r="BS311" i="25"/>
  <c r="BS312" i="25"/>
  <c r="BS313" i="25"/>
  <c r="BS314" i="25"/>
  <c r="BS315" i="25"/>
  <c r="BS316" i="25"/>
  <c r="BS317" i="25"/>
  <c r="BS318" i="25"/>
  <c r="BS319" i="25"/>
  <c r="BS320" i="25"/>
  <c r="BS321" i="25"/>
  <c r="BS322" i="25"/>
  <c r="BS323" i="25"/>
  <c r="BS324" i="25"/>
  <c r="BS325" i="25"/>
  <c r="BS326" i="25"/>
  <c r="BS327" i="25"/>
  <c r="BS328" i="25"/>
  <c r="BS329" i="25"/>
  <c r="BS330" i="25"/>
  <c r="BS331" i="25"/>
  <c r="BS332" i="25"/>
  <c r="BS333" i="25"/>
  <c r="BS334" i="25"/>
  <c r="BS335" i="25"/>
  <c r="BS336" i="25"/>
  <c r="BS337" i="25"/>
  <c r="BS338" i="25"/>
  <c r="BS339" i="25"/>
  <c r="BS340" i="25"/>
  <c r="BS341" i="25"/>
  <c r="BS342" i="25"/>
  <c r="BS343" i="25"/>
  <c r="BS344" i="25"/>
  <c r="BS345" i="25"/>
  <c r="BS346" i="25"/>
  <c r="BS347" i="25"/>
  <c r="BS348" i="25"/>
  <c r="BS349" i="25"/>
  <c r="BS350" i="25"/>
  <c r="BS351" i="25"/>
  <c r="BS352" i="25"/>
  <c r="BS353" i="25"/>
  <c r="BS354" i="25"/>
  <c r="BS355" i="25"/>
  <c r="BS356" i="25"/>
  <c r="BS357" i="25"/>
  <c r="BS358" i="25"/>
  <c r="BS359" i="25"/>
  <c r="BS360" i="25"/>
  <c r="BS361" i="25"/>
  <c r="BS362" i="25"/>
  <c r="BS363" i="25"/>
  <c r="BS364" i="25"/>
  <c r="BS365" i="25"/>
  <c r="BS366" i="25"/>
  <c r="BS367" i="25"/>
  <c r="BS368" i="25"/>
  <c r="BS369" i="25"/>
  <c r="BS370" i="25"/>
  <c r="BS371" i="25"/>
  <c r="BS372" i="25"/>
  <c r="BS373" i="25"/>
  <c r="BS374" i="25"/>
  <c r="BS375" i="25"/>
  <c r="BS376" i="25"/>
  <c r="BS377" i="25"/>
  <c r="BS378" i="25"/>
  <c r="BS379" i="25"/>
  <c r="BT223" i="25"/>
  <c r="BT224" i="25"/>
  <c r="BT225" i="25"/>
  <c r="BT226" i="25"/>
  <c r="BT227" i="25"/>
  <c r="BT228" i="25"/>
  <c r="BT229" i="25"/>
  <c r="BT230" i="25"/>
  <c r="BT231" i="25"/>
  <c r="BT232" i="25"/>
  <c r="BT233" i="25"/>
  <c r="BT234" i="25"/>
  <c r="BT236" i="25"/>
  <c r="BT235" i="25"/>
  <c r="BT241" i="25"/>
  <c r="BT237" i="25"/>
  <c r="BT238" i="25"/>
  <c r="BT239" i="25"/>
  <c r="BT240" i="25"/>
  <c r="BT242" i="25"/>
  <c r="BT243" i="25"/>
  <c r="BT244" i="25"/>
  <c r="BT245" i="25"/>
  <c r="BT246" i="25"/>
  <c r="BT247" i="25"/>
  <c r="BT248" i="25"/>
  <c r="BT249" i="25"/>
  <c r="BT250" i="25"/>
  <c r="BT251" i="25"/>
  <c r="BT252" i="25"/>
  <c r="BT253" i="25"/>
  <c r="BT254" i="25"/>
  <c r="BT255" i="25"/>
  <c r="BT256" i="25"/>
  <c r="BT257" i="25"/>
  <c r="BT258" i="25"/>
  <c r="BT259" i="25"/>
  <c r="BT260" i="25"/>
  <c r="BT261" i="25"/>
  <c r="BT262" i="25"/>
  <c r="BT263" i="25"/>
  <c r="BT264" i="25"/>
  <c r="BT265" i="25"/>
  <c r="BT266" i="25"/>
  <c r="BT267" i="25"/>
  <c r="BT268" i="25"/>
  <c r="BT269" i="25"/>
  <c r="BT270" i="25"/>
  <c r="BT271" i="25"/>
  <c r="BT272" i="25"/>
  <c r="BT273" i="25"/>
  <c r="BT274" i="25"/>
  <c r="BT275" i="25"/>
  <c r="BT276" i="25"/>
  <c r="BT277" i="25"/>
  <c r="BT278" i="25"/>
  <c r="BT279" i="25"/>
  <c r="BT280" i="25"/>
  <c r="BT281" i="25"/>
  <c r="BT282" i="25"/>
  <c r="BT283" i="25"/>
  <c r="BT284" i="25"/>
  <c r="BT285" i="25"/>
  <c r="BT286" i="25"/>
  <c r="BT287" i="25"/>
  <c r="BT288" i="25"/>
  <c r="BT289" i="25"/>
  <c r="BT290" i="25"/>
  <c r="BT291" i="25"/>
  <c r="BT292" i="25"/>
  <c r="BT293" i="25"/>
  <c r="BT294" i="25"/>
  <c r="BT295" i="25"/>
  <c r="BT296" i="25"/>
  <c r="BT297" i="25"/>
  <c r="BT298" i="25"/>
  <c r="BT299" i="25"/>
  <c r="BT300" i="25"/>
  <c r="BT301" i="25"/>
  <c r="BT302" i="25"/>
  <c r="BT303" i="25"/>
  <c r="BT304" i="25"/>
  <c r="BT305" i="25"/>
  <c r="BT306" i="25"/>
  <c r="BT307" i="25"/>
  <c r="BT308" i="25"/>
  <c r="BT309" i="25"/>
  <c r="BT310" i="25"/>
  <c r="BT311" i="25"/>
  <c r="BT312" i="25"/>
  <c r="BT313" i="25"/>
  <c r="BT314" i="25"/>
  <c r="BT315" i="25"/>
  <c r="BT316" i="25"/>
  <c r="BT317" i="25"/>
  <c r="BT318" i="25"/>
  <c r="BT319" i="25"/>
  <c r="BT320" i="25"/>
  <c r="BT321" i="25"/>
  <c r="BT322" i="25"/>
  <c r="BT323" i="25"/>
  <c r="BT324" i="25"/>
  <c r="BT325" i="25"/>
  <c r="BT326" i="25"/>
  <c r="BT327" i="25"/>
  <c r="BT328" i="25"/>
  <c r="BT329" i="25"/>
  <c r="BT330" i="25"/>
  <c r="BT331" i="25"/>
  <c r="BT332" i="25"/>
  <c r="BT333" i="25"/>
  <c r="BT334" i="25"/>
  <c r="BT335" i="25"/>
  <c r="BT336" i="25"/>
  <c r="BT337" i="25"/>
  <c r="BT338" i="25"/>
  <c r="BT339" i="25"/>
  <c r="BT340" i="25"/>
  <c r="BT341" i="25"/>
  <c r="BT342" i="25"/>
  <c r="BT343" i="25"/>
  <c r="BT344" i="25"/>
  <c r="BT345" i="25"/>
  <c r="BT346" i="25"/>
  <c r="BT347" i="25"/>
  <c r="BT348" i="25"/>
  <c r="BT349" i="25"/>
  <c r="BT350" i="25"/>
  <c r="BT351" i="25"/>
  <c r="BT352" i="25"/>
  <c r="BT353" i="25"/>
  <c r="BT354" i="25"/>
  <c r="BT355" i="25"/>
  <c r="BT356" i="25"/>
  <c r="BT357" i="25"/>
  <c r="BT358" i="25"/>
  <c r="BT359" i="25"/>
  <c r="BT360" i="25"/>
  <c r="BT361" i="25"/>
  <c r="BT362" i="25"/>
  <c r="BT363" i="25"/>
  <c r="BT364" i="25"/>
  <c r="BT365" i="25"/>
  <c r="BT366" i="25"/>
  <c r="BT367" i="25"/>
  <c r="BT368" i="25"/>
  <c r="BT369" i="25"/>
  <c r="BT370" i="25"/>
  <c r="BT371" i="25"/>
  <c r="BT372" i="25"/>
  <c r="BT373" i="25"/>
  <c r="BT374" i="25"/>
  <c r="BT375" i="25"/>
  <c r="BT376" i="25"/>
  <c r="BT377" i="25"/>
  <c r="BT378" i="25"/>
  <c r="BT379" i="25"/>
  <c r="BU223" i="25"/>
  <c r="BU224" i="25"/>
  <c r="BU225" i="25"/>
  <c r="BU226" i="25"/>
  <c r="BU227" i="25"/>
  <c r="BU228" i="25"/>
  <c r="BU229" i="25"/>
  <c r="BU230" i="25"/>
  <c r="BU231" i="25"/>
  <c r="BU232" i="25"/>
  <c r="BU233" i="25"/>
  <c r="BU234" i="25"/>
  <c r="BU236" i="25"/>
  <c r="BU235" i="25"/>
  <c r="BU241" i="25"/>
  <c r="BU237" i="25"/>
  <c r="BU238" i="25"/>
  <c r="BU239" i="25"/>
  <c r="BU240" i="25"/>
  <c r="BU242" i="25"/>
  <c r="BU243" i="25"/>
  <c r="BU244" i="25"/>
  <c r="BU245" i="25"/>
  <c r="BU246" i="25"/>
  <c r="BU247" i="25"/>
  <c r="BU248" i="25"/>
  <c r="BU249" i="25"/>
  <c r="BU250" i="25"/>
  <c r="BU251" i="25"/>
  <c r="BU252" i="25"/>
  <c r="BU253" i="25"/>
  <c r="BU254" i="25"/>
  <c r="BU255" i="25"/>
  <c r="BU256" i="25"/>
  <c r="BU257" i="25"/>
  <c r="BU258" i="25"/>
  <c r="BU259" i="25"/>
  <c r="BU260" i="25"/>
  <c r="BU261" i="25"/>
  <c r="BU262" i="25"/>
  <c r="BU263" i="25"/>
  <c r="BU264" i="25"/>
  <c r="BU265" i="25"/>
  <c r="BU266" i="25"/>
  <c r="BU267" i="25"/>
  <c r="BU268" i="25"/>
  <c r="BU269" i="25"/>
  <c r="BU270" i="25"/>
  <c r="BU271" i="25"/>
  <c r="BU272" i="25"/>
  <c r="BU273" i="25"/>
  <c r="BU274" i="25"/>
  <c r="BU275" i="25"/>
  <c r="BU276" i="25"/>
  <c r="BU277" i="25"/>
  <c r="BU278" i="25"/>
  <c r="BU279" i="25"/>
  <c r="BU280" i="25"/>
  <c r="BU281" i="25"/>
  <c r="BU282" i="25"/>
  <c r="BU283" i="25"/>
  <c r="BU284" i="25"/>
  <c r="BU285" i="25"/>
  <c r="BU286" i="25"/>
  <c r="BU287" i="25"/>
  <c r="BU288" i="25"/>
  <c r="BU289" i="25"/>
  <c r="BU290" i="25"/>
  <c r="BU291" i="25"/>
  <c r="BU292" i="25"/>
  <c r="BU293" i="25"/>
  <c r="BU294" i="25"/>
  <c r="BU295" i="25"/>
  <c r="BU296" i="25"/>
  <c r="BU297" i="25"/>
  <c r="BU298" i="25"/>
  <c r="BU299" i="25"/>
  <c r="BU300" i="25"/>
  <c r="BU301" i="25"/>
  <c r="BU302" i="25"/>
  <c r="BU303" i="25"/>
  <c r="BU304" i="25"/>
  <c r="BU305" i="25"/>
  <c r="BU306" i="25"/>
  <c r="BU307" i="25"/>
  <c r="BU308" i="25"/>
  <c r="BU309" i="25"/>
  <c r="BU310" i="25"/>
  <c r="BU311" i="25"/>
  <c r="BU312" i="25"/>
  <c r="BU313" i="25"/>
  <c r="BU314" i="25"/>
  <c r="BU315" i="25"/>
  <c r="BU316" i="25"/>
  <c r="BU317" i="25"/>
  <c r="BU318" i="25"/>
  <c r="BU319" i="25"/>
  <c r="BU320" i="25"/>
  <c r="BU321" i="25"/>
  <c r="BU322" i="25"/>
  <c r="BU323" i="25"/>
  <c r="BU324" i="25"/>
  <c r="BU325" i="25"/>
  <c r="BU326" i="25"/>
  <c r="BU327" i="25"/>
  <c r="BU328" i="25"/>
  <c r="BU329" i="25"/>
  <c r="BU330" i="25"/>
  <c r="BU331" i="25"/>
  <c r="BU332" i="25"/>
  <c r="BU333" i="25"/>
  <c r="BU334" i="25"/>
  <c r="BU335" i="25"/>
  <c r="BU336" i="25"/>
  <c r="BU337" i="25"/>
  <c r="BU338" i="25"/>
  <c r="BU339" i="25"/>
  <c r="BU340" i="25"/>
  <c r="BU341" i="25"/>
  <c r="BU342" i="25"/>
  <c r="BU343" i="25"/>
  <c r="BU344" i="25"/>
  <c r="BU345" i="25"/>
  <c r="BU346" i="25"/>
  <c r="BU347" i="25"/>
  <c r="BU348" i="25"/>
  <c r="BU349" i="25"/>
  <c r="BU350" i="25"/>
  <c r="BU351" i="25"/>
  <c r="BU352" i="25"/>
  <c r="BU353" i="25"/>
  <c r="BU354" i="25"/>
  <c r="BU355" i="25"/>
  <c r="BU356" i="25"/>
  <c r="BU357" i="25"/>
  <c r="BU358" i="25"/>
  <c r="BU359" i="25"/>
  <c r="BU360" i="25"/>
  <c r="BU361" i="25"/>
  <c r="BU362" i="25"/>
  <c r="BU363" i="25"/>
  <c r="BU364" i="25"/>
  <c r="BU365" i="25"/>
  <c r="BU366" i="25"/>
  <c r="BU367" i="25"/>
  <c r="BU368" i="25"/>
  <c r="BU369" i="25"/>
  <c r="BU370" i="25"/>
  <c r="BU371" i="25"/>
  <c r="BU372" i="25"/>
  <c r="BU373" i="25"/>
  <c r="BU374" i="25"/>
  <c r="BU375" i="25"/>
  <c r="BU376" i="25"/>
  <c r="BU377" i="25"/>
  <c r="BU378" i="25"/>
  <c r="BU379" i="25"/>
  <c r="BV223" i="25"/>
  <c r="BV224" i="25"/>
  <c r="BV225" i="25"/>
  <c r="BV226" i="25"/>
  <c r="BV227" i="25"/>
  <c r="BV228" i="25"/>
  <c r="BV229" i="25"/>
  <c r="BV230" i="25"/>
  <c r="BV231" i="25"/>
  <c r="BV232" i="25"/>
  <c r="BV233" i="25"/>
  <c r="BV234" i="25"/>
  <c r="BV236" i="25"/>
  <c r="BV235" i="25"/>
  <c r="BV241" i="25"/>
  <c r="BV237" i="25"/>
  <c r="BV238" i="25"/>
  <c r="BV239" i="25"/>
  <c r="BV240" i="25"/>
  <c r="BV242" i="25"/>
  <c r="BV243" i="25"/>
  <c r="BV244" i="25"/>
  <c r="BV245" i="25"/>
  <c r="BV246" i="25"/>
  <c r="BV247" i="25"/>
  <c r="BV248" i="25"/>
  <c r="BV249" i="25"/>
  <c r="BV250" i="25"/>
  <c r="BV251" i="25"/>
  <c r="BV252" i="25"/>
  <c r="BV253" i="25"/>
  <c r="BV254" i="25"/>
  <c r="BV255" i="25"/>
  <c r="BV256" i="25"/>
  <c r="BV257" i="25"/>
  <c r="BV258" i="25"/>
  <c r="BV259" i="25"/>
  <c r="BV260" i="25"/>
  <c r="BV261" i="25"/>
  <c r="BV262" i="25"/>
  <c r="BV263" i="25"/>
  <c r="BV264" i="25"/>
  <c r="BV265" i="25"/>
  <c r="BV266" i="25"/>
  <c r="BV267" i="25"/>
  <c r="BV268" i="25"/>
  <c r="BV269" i="25"/>
  <c r="BV270" i="25"/>
  <c r="BV271" i="25"/>
  <c r="BV272" i="25"/>
  <c r="BV273" i="25"/>
  <c r="BV274" i="25"/>
  <c r="BV275" i="25"/>
  <c r="BV276" i="25"/>
  <c r="BV277" i="25"/>
  <c r="BV278" i="25"/>
  <c r="BV279" i="25"/>
  <c r="BV280" i="25"/>
  <c r="BV281" i="25"/>
  <c r="BV282" i="25"/>
  <c r="BV283" i="25"/>
  <c r="BV284" i="25"/>
  <c r="BV285" i="25"/>
  <c r="BV286" i="25"/>
  <c r="BV287" i="25"/>
  <c r="BV288" i="25"/>
  <c r="BV289" i="25"/>
  <c r="BV290" i="25"/>
  <c r="BV291" i="25"/>
  <c r="BV292" i="25"/>
  <c r="BV293" i="25"/>
  <c r="BV294" i="25"/>
  <c r="BV295" i="25"/>
  <c r="BV296" i="25"/>
  <c r="BV297" i="25"/>
  <c r="BV298" i="25"/>
  <c r="BV299" i="25"/>
  <c r="BV300" i="25"/>
  <c r="BV301" i="25"/>
  <c r="BV302" i="25"/>
  <c r="BV303" i="25"/>
  <c r="BV304" i="25"/>
  <c r="BV305" i="25"/>
  <c r="BV306" i="25"/>
  <c r="BV307" i="25"/>
  <c r="BV308" i="25"/>
  <c r="BV309" i="25"/>
  <c r="BV310" i="25"/>
  <c r="BV311" i="25"/>
  <c r="BV312" i="25"/>
  <c r="BV313" i="25"/>
  <c r="BV314" i="25"/>
  <c r="BV315" i="25"/>
  <c r="BV316" i="25"/>
  <c r="BV317" i="25"/>
  <c r="BV318" i="25"/>
  <c r="BV319" i="25"/>
  <c r="BV320" i="25"/>
  <c r="BV321" i="25"/>
  <c r="BV322" i="25"/>
  <c r="BV323" i="25"/>
  <c r="BV324" i="25"/>
  <c r="BV325" i="25"/>
  <c r="BV326" i="25"/>
  <c r="BV327" i="25"/>
  <c r="BV328" i="25"/>
  <c r="BV329" i="25"/>
  <c r="BV330" i="25"/>
  <c r="BV331" i="25"/>
  <c r="BV332" i="25"/>
  <c r="BV333" i="25"/>
  <c r="BV334" i="25"/>
  <c r="BV335" i="25"/>
  <c r="BV336" i="25"/>
  <c r="BV337" i="25"/>
  <c r="BV338" i="25"/>
  <c r="BV339" i="25"/>
  <c r="BV340" i="25"/>
  <c r="BV341" i="25"/>
  <c r="BV342" i="25"/>
  <c r="BV343" i="25"/>
  <c r="BV344" i="25"/>
  <c r="BV345" i="25"/>
  <c r="BV346" i="25"/>
  <c r="BV347" i="25"/>
  <c r="BV348" i="25"/>
  <c r="BV349" i="25"/>
  <c r="BV350" i="25"/>
  <c r="BV351" i="25"/>
  <c r="BV352" i="25"/>
  <c r="BV353" i="25"/>
  <c r="BV354" i="25"/>
  <c r="BV355" i="25"/>
  <c r="BV356" i="25"/>
  <c r="BV357" i="25"/>
  <c r="BV358" i="25"/>
  <c r="BV359" i="25"/>
  <c r="BV360" i="25"/>
  <c r="BV361" i="25"/>
  <c r="BV362" i="25"/>
  <c r="BV363" i="25"/>
  <c r="BV364" i="25"/>
  <c r="BV365" i="25"/>
  <c r="BV366" i="25"/>
  <c r="BV367" i="25"/>
  <c r="BV368" i="25"/>
  <c r="BV369" i="25"/>
  <c r="BV370" i="25"/>
  <c r="BV371" i="25"/>
  <c r="BV372" i="25"/>
  <c r="BV373" i="25"/>
  <c r="BV374" i="25"/>
  <c r="BV375" i="25"/>
  <c r="BV376" i="25"/>
  <c r="BV377" i="25"/>
  <c r="BV378" i="25"/>
  <c r="BV379" i="25"/>
  <c r="BW223" i="25"/>
  <c r="BW224" i="25"/>
  <c r="BW225" i="25"/>
  <c r="BW226" i="25"/>
  <c r="BW227" i="25"/>
  <c r="BW228" i="25"/>
  <c r="BW229" i="25"/>
  <c r="BW230" i="25"/>
  <c r="BW231" i="25"/>
  <c r="BW232" i="25"/>
  <c r="BW233" i="25"/>
  <c r="BW234" i="25"/>
  <c r="BW236" i="25"/>
  <c r="BW235" i="25"/>
  <c r="BW241" i="25"/>
  <c r="BW237" i="25"/>
  <c r="BW238" i="25"/>
  <c r="BW239" i="25"/>
  <c r="BW240" i="25"/>
  <c r="BW242" i="25"/>
  <c r="BW243" i="25"/>
  <c r="BW244" i="25"/>
  <c r="BW245" i="25"/>
  <c r="BW246" i="25"/>
  <c r="BW247" i="25"/>
  <c r="BW248" i="25"/>
  <c r="BW249" i="25"/>
  <c r="BW250" i="25"/>
  <c r="BW251" i="25"/>
  <c r="BW252" i="25"/>
  <c r="BW253" i="25"/>
  <c r="BW254" i="25"/>
  <c r="BW255" i="25"/>
  <c r="BW256" i="25"/>
  <c r="BW257" i="25"/>
  <c r="BW258" i="25"/>
  <c r="BW259" i="25"/>
  <c r="BW260" i="25"/>
  <c r="BW261" i="25"/>
  <c r="BW262" i="25"/>
  <c r="BW263" i="25"/>
  <c r="BW264" i="25"/>
  <c r="BW265" i="25"/>
  <c r="BW266" i="25"/>
  <c r="BW267" i="25"/>
  <c r="BW268" i="25"/>
  <c r="BW269" i="25"/>
  <c r="BW270" i="25"/>
  <c r="BW271" i="25"/>
  <c r="BW272" i="25"/>
  <c r="BW273" i="25"/>
  <c r="BW274" i="25"/>
  <c r="BW275" i="25"/>
  <c r="BW276" i="25"/>
  <c r="BW277" i="25"/>
  <c r="BW278" i="25"/>
  <c r="BW279" i="25"/>
  <c r="BW280" i="25"/>
  <c r="BW281" i="25"/>
  <c r="BW282" i="25"/>
  <c r="BW283" i="25"/>
  <c r="BW284" i="25"/>
  <c r="BW285" i="25"/>
  <c r="BW286" i="25"/>
  <c r="BW287" i="25"/>
  <c r="BW288" i="25"/>
  <c r="BW289" i="25"/>
  <c r="BW290" i="25"/>
  <c r="BW291" i="25"/>
  <c r="BW292" i="25"/>
  <c r="BW293" i="25"/>
  <c r="BW294" i="25"/>
  <c r="BW295" i="25"/>
  <c r="BW296" i="25"/>
  <c r="BW297" i="25"/>
  <c r="BW298" i="25"/>
  <c r="BW299" i="25"/>
  <c r="BW300" i="25"/>
  <c r="BW301" i="25"/>
  <c r="BW302" i="25"/>
  <c r="BW303" i="25"/>
  <c r="BW304" i="25"/>
  <c r="BW305" i="25"/>
  <c r="BW306" i="25"/>
  <c r="BW307" i="25"/>
  <c r="BW308" i="25"/>
  <c r="BW309" i="25"/>
  <c r="BW310" i="25"/>
  <c r="BW311" i="25"/>
  <c r="BW312" i="25"/>
  <c r="BW313" i="25"/>
  <c r="BW314" i="25"/>
  <c r="BW315" i="25"/>
  <c r="BW316" i="25"/>
  <c r="BW317" i="25"/>
  <c r="BW318" i="25"/>
  <c r="BW319" i="25"/>
  <c r="BW320" i="25"/>
  <c r="BW321" i="25"/>
  <c r="BW322" i="25"/>
  <c r="BW323" i="25"/>
  <c r="BW324" i="25"/>
  <c r="BW325" i="25"/>
  <c r="BW326" i="25"/>
  <c r="BW327" i="25"/>
  <c r="BW328" i="25"/>
  <c r="BW329" i="25"/>
  <c r="BW330" i="25"/>
  <c r="BW331" i="25"/>
  <c r="BW332" i="25"/>
  <c r="BW333" i="25"/>
  <c r="BW334" i="25"/>
  <c r="BW335" i="25"/>
  <c r="BW336" i="25"/>
  <c r="BW337" i="25"/>
  <c r="BW338" i="25"/>
  <c r="BW339" i="25"/>
  <c r="BW340" i="25"/>
  <c r="BW341" i="25"/>
  <c r="BW342" i="25"/>
  <c r="BW343" i="25"/>
  <c r="BW344" i="25"/>
  <c r="BW345" i="25"/>
  <c r="BW346" i="25"/>
  <c r="BW347" i="25"/>
  <c r="BW348" i="25"/>
  <c r="BW349" i="25"/>
  <c r="BW350" i="25"/>
  <c r="BW351" i="25"/>
  <c r="BW352" i="25"/>
  <c r="BW353" i="25"/>
  <c r="BW354" i="25"/>
  <c r="BW355" i="25"/>
  <c r="BW356" i="25"/>
  <c r="BW357" i="25"/>
  <c r="BW358" i="25"/>
  <c r="BW359" i="25"/>
  <c r="BW360" i="25"/>
  <c r="BW361" i="25"/>
  <c r="BW362" i="25"/>
  <c r="BW363" i="25"/>
  <c r="BW364" i="25"/>
  <c r="BW365" i="25"/>
  <c r="BW366" i="25"/>
  <c r="BW367" i="25"/>
  <c r="BW368" i="25"/>
  <c r="BW369" i="25"/>
  <c r="BW370" i="25"/>
  <c r="BW371" i="25"/>
  <c r="BW372" i="25"/>
  <c r="BW373" i="25"/>
  <c r="BW374" i="25"/>
  <c r="BW375" i="25"/>
  <c r="BW376" i="25"/>
  <c r="BW377" i="25"/>
  <c r="BW378" i="25"/>
  <c r="BW379" i="25"/>
  <c r="BI327" i="25" l="1"/>
  <c r="BJ327" i="25" s="1"/>
  <c r="BK327" i="25" s="1"/>
  <c r="BI307" i="25"/>
  <c r="BI272" i="25"/>
  <c r="BJ272" i="25" s="1"/>
  <c r="BK272" i="25" s="1"/>
  <c r="BI291" i="25"/>
  <c r="BI335" i="25"/>
  <c r="BJ335" i="25" s="1"/>
  <c r="BK335" i="25" s="1"/>
  <c r="BI271" i="25"/>
  <c r="BJ271" i="25" s="1"/>
  <c r="BK271" i="25" s="1"/>
  <c r="BI299" i="25"/>
  <c r="BJ299" i="25" s="1"/>
  <c r="BK299" i="25" s="1"/>
  <c r="BI252" i="25"/>
  <c r="BJ252" i="25" s="1"/>
  <c r="BK252" i="25" s="1"/>
  <c r="BI256" i="25"/>
  <c r="BJ256" i="25" s="1"/>
  <c r="BK256" i="25" s="1"/>
  <c r="BI248" i="25"/>
  <c r="BI319" i="25"/>
  <c r="BJ319" i="25" s="1"/>
  <c r="BK319" i="25" s="1"/>
  <c r="BI311" i="25"/>
  <c r="BJ311" i="25" s="1"/>
  <c r="BK311" i="25" s="1"/>
  <c r="BI357" i="25"/>
  <c r="BJ357" i="25" s="1"/>
  <c r="BK357" i="25" s="1"/>
  <c r="BI234" i="25"/>
  <c r="BJ234" i="25" s="1"/>
  <c r="BK234" i="25" s="1"/>
  <c r="BI295" i="25"/>
  <c r="BJ295" i="25" s="1"/>
  <c r="BK295" i="25" s="1"/>
  <c r="BI358" i="25"/>
  <c r="BJ358" i="25" s="1"/>
  <c r="BK358" i="25" s="1"/>
  <c r="BI253" i="25"/>
  <c r="BJ253" i="25" s="1"/>
  <c r="BK253" i="25" s="1"/>
  <c r="BI316" i="25"/>
  <c r="BJ316" i="25" s="1"/>
  <c r="BK316" i="25" s="1"/>
  <c r="BI296" i="25"/>
  <c r="BJ296" i="25" s="1"/>
  <c r="BK296" i="25" s="1"/>
  <c r="BI322" i="25"/>
  <c r="BJ322" i="25" s="1"/>
  <c r="BK322" i="25" s="1"/>
  <c r="BI362" i="25"/>
  <c r="BJ362" i="25" s="1"/>
  <c r="BK362" i="25" s="1"/>
  <c r="BI276" i="25"/>
  <c r="BJ276" i="25" s="1"/>
  <c r="BK276" i="25" s="1"/>
  <c r="BI330" i="25"/>
  <c r="BJ330" i="25" s="1"/>
  <c r="BK330" i="25" s="1"/>
  <c r="BI303" i="25"/>
  <c r="BJ303" i="25" s="1"/>
  <c r="BK303" i="25" s="1"/>
  <c r="BI239" i="25"/>
  <c r="BJ239" i="25" s="1"/>
  <c r="BK239" i="25" s="1"/>
  <c r="BI367" i="25"/>
  <c r="BJ367" i="25" s="1"/>
  <c r="BK367" i="25" s="1"/>
  <c r="AT240" i="25"/>
  <c r="AW240" i="25" s="1"/>
  <c r="AX240" i="25" s="1"/>
  <c r="AT227" i="25"/>
  <c r="AW227" i="25" s="1"/>
  <c r="AX227" i="25" s="1"/>
  <c r="BI371" i="25"/>
  <c r="BJ371" i="25" s="1"/>
  <c r="BK371" i="25" s="1"/>
  <c r="BI331" i="25"/>
  <c r="BJ331" i="25" s="1"/>
  <c r="BK331" i="25" s="1"/>
  <c r="BI375" i="25"/>
  <c r="BJ375" i="25" s="1"/>
  <c r="BK375" i="25" s="1"/>
  <c r="BI349" i="25"/>
  <c r="BJ349" i="25" s="1"/>
  <c r="BK349" i="25" s="1"/>
  <c r="BI287" i="25"/>
  <c r="BJ287" i="25" s="1"/>
  <c r="BK287" i="25" s="1"/>
  <c r="BI226" i="25"/>
  <c r="BJ226" i="25" s="1"/>
  <c r="BK226" i="25" s="1"/>
  <c r="BI323" i="25"/>
  <c r="BJ323" i="25" s="1"/>
  <c r="BK323" i="25" s="1"/>
  <c r="BI343" i="25"/>
  <c r="BJ343" i="25" s="1"/>
  <c r="BK343" i="25" s="1"/>
  <c r="BI279" i="25"/>
  <c r="BJ279" i="25" s="1"/>
  <c r="BK279" i="25" s="1"/>
  <c r="BL363" i="25"/>
  <c r="BI363" i="25"/>
  <c r="BJ363" i="25" s="1"/>
  <c r="BK363" i="25" s="1"/>
  <c r="BL353" i="25"/>
  <c r="BI353" i="25"/>
  <c r="BJ353" i="25" s="1"/>
  <c r="BK353" i="25" s="1"/>
  <c r="BL346" i="25"/>
  <c r="BI346" i="25"/>
  <c r="BJ346" i="25" s="1"/>
  <c r="BK346" i="25" s="1"/>
  <c r="BL339" i="25"/>
  <c r="BI339" i="25"/>
  <c r="BJ339" i="25" s="1"/>
  <c r="BK339" i="25" s="1"/>
  <c r="BL315" i="25"/>
  <c r="BI315" i="25"/>
  <c r="BJ315" i="25" s="1"/>
  <c r="BK315" i="25" s="1"/>
  <c r="BL283" i="25"/>
  <c r="BI283" i="25"/>
  <c r="BJ283" i="25" s="1"/>
  <c r="BK283" i="25" s="1"/>
  <c r="BL275" i="25"/>
  <c r="BI275" i="25"/>
  <c r="BJ275" i="25" s="1"/>
  <c r="BK275" i="25" s="1"/>
  <c r="BL268" i="25"/>
  <c r="BI268" i="25"/>
  <c r="BJ268" i="25" s="1"/>
  <c r="BK268" i="25" s="1"/>
  <c r="BL260" i="25"/>
  <c r="BI260" i="25"/>
  <c r="BJ260" i="25" s="1"/>
  <c r="BK260" i="25" s="1"/>
  <c r="BL244" i="25"/>
  <c r="BI244" i="25"/>
  <c r="BJ244" i="25" s="1"/>
  <c r="BK244" i="25" s="1"/>
  <c r="BL237" i="25"/>
  <c r="BI237" i="25"/>
  <c r="BJ237" i="25" s="1"/>
  <c r="BK237" i="25" s="1"/>
  <c r="BL230" i="25"/>
  <c r="BI230" i="25"/>
  <c r="BJ230" i="25" s="1"/>
  <c r="BK230" i="25" s="1"/>
  <c r="BL378" i="25"/>
  <c r="BI378" i="25"/>
  <c r="BJ378" i="25" s="1"/>
  <c r="BK378" i="25" s="1"/>
  <c r="BL370" i="25"/>
  <c r="BI370" i="25"/>
  <c r="BJ370" i="25" s="1"/>
  <c r="BK370" i="25" s="1"/>
  <c r="BL352" i="25"/>
  <c r="BI352" i="25"/>
  <c r="BJ352" i="25" s="1"/>
  <c r="BK352" i="25" s="1"/>
  <c r="BL345" i="25"/>
  <c r="BI345" i="25"/>
  <c r="BJ345" i="25" s="1"/>
  <c r="BK345" i="25" s="1"/>
  <c r="BL338" i="25"/>
  <c r="BI338" i="25"/>
  <c r="BJ338" i="25" s="1"/>
  <c r="BK338" i="25" s="1"/>
  <c r="BL314" i="25"/>
  <c r="BI314" i="25"/>
  <c r="BJ314" i="25" s="1"/>
  <c r="BK314" i="25" s="1"/>
  <c r="BL306" i="25"/>
  <c r="BI306" i="25"/>
  <c r="BJ306" i="25" s="1"/>
  <c r="BK306" i="25" s="1"/>
  <c r="BL298" i="25"/>
  <c r="BI298" i="25"/>
  <c r="BJ298" i="25" s="1"/>
  <c r="BK298" i="25" s="1"/>
  <c r="BL290" i="25"/>
  <c r="BI290" i="25"/>
  <c r="BJ290" i="25" s="1"/>
  <c r="BK290" i="25" s="1"/>
  <c r="BL282" i="25"/>
  <c r="BI282" i="25"/>
  <c r="BJ282" i="25" s="1"/>
  <c r="BK282" i="25" s="1"/>
  <c r="BL274" i="25"/>
  <c r="BI274" i="25"/>
  <c r="BJ274" i="25" s="1"/>
  <c r="BK274" i="25" s="1"/>
  <c r="BL267" i="25"/>
  <c r="BI267" i="25"/>
  <c r="BJ267" i="25" s="1"/>
  <c r="BK267" i="25" s="1"/>
  <c r="BL259" i="25"/>
  <c r="BI259" i="25"/>
  <c r="BJ259" i="25" s="1"/>
  <c r="BK259" i="25" s="1"/>
  <c r="BL251" i="25"/>
  <c r="BI251" i="25"/>
  <c r="BJ251" i="25" s="1"/>
  <c r="BK251" i="25" s="1"/>
  <c r="BL243" i="25"/>
  <c r="BI243" i="25"/>
  <c r="BJ243" i="25" s="1"/>
  <c r="BK243" i="25" s="1"/>
  <c r="BL241" i="25"/>
  <c r="BI241" i="25"/>
  <c r="BJ241" i="25" s="1"/>
  <c r="BK241" i="25" s="1"/>
  <c r="BL229" i="25"/>
  <c r="BI229" i="25"/>
  <c r="BJ229" i="25" s="1"/>
  <c r="BK229" i="25" s="1"/>
  <c r="BL377" i="25"/>
  <c r="BI377" i="25"/>
  <c r="BJ377" i="25" s="1"/>
  <c r="BK377" i="25" s="1"/>
  <c r="BL369" i="25"/>
  <c r="BI369" i="25"/>
  <c r="BJ369" i="25" s="1"/>
  <c r="BK369" i="25" s="1"/>
  <c r="BL361" i="25"/>
  <c r="BI361" i="25"/>
  <c r="BJ361" i="25" s="1"/>
  <c r="BK361" i="25" s="1"/>
  <c r="BL359" i="25"/>
  <c r="BI359" i="25"/>
  <c r="BJ359" i="25" s="1"/>
  <c r="BK359" i="25" s="1"/>
  <c r="BL351" i="25"/>
  <c r="BI351" i="25"/>
  <c r="BJ351" i="25" s="1"/>
  <c r="BK351" i="25" s="1"/>
  <c r="BL337" i="25"/>
  <c r="BI337" i="25"/>
  <c r="BJ337" i="25" s="1"/>
  <c r="BK337" i="25" s="1"/>
  <c r="BL329" i="25"/>
  <c r="BI329" i="25"/>
  <c r="BJ329" i="25" s="1"/>
  <c r="BK329" i="25" s="1"/>
  <c r="BL321" i="25"/>
  <c r="BI321" i="25"/>
  <c r="BJ321" i="25" s="1"/>
  <c r="BK321" i="25" s="1"/>
  <c r="BL313" i="25"/>
  <c r="BI313" i="25"/>
  <c r="BJ313" i="25" s="1"/>
  <c r="BK313" i="25" s="1"/>
  <c r="BL305" i="25"/>
  <c r="BI305" i="25"/>
  <c r="BJ305" i="25" s="1"/>
  <c r="BK305" i="25" s="1"/>
  <c r="BL297" i="25"/>
  <c r="BI297" i="25"/>
  <c r="BJ297" i="25" s="1"/>
  <c r="BK297" i="25" s="1"/>
  <c r="BL289" i="25"/>
  <c r="BI289" i="25"/>
  <c r="BJ289" i="25" s="1"/>
  <c r="BK289" i="25" s="1"/>
  <c r="BL281" i="25"/>
  <c r="BI281" i="25"/>
  <c r="BJ281" i="25" s="1"/>
  <c r="BK281" i="25" s="1"/>
  <c r="BL273" i="25"/>
  <c r="BI273" i="25"/>
  <c r="BJ273" i="25" s="1"/>
  <c r="BK273" i="25" s="1"/>
  <c r="BL266" i="25"/>
  <c r="BI266" i="25"/>
  <c r="BJ266" i="25" s="1"/>
  <c r="BK266" i="25" s="1"/>
  <c r="BL258" i="25"/>
  <c r="BI258" i="25"/>
  <c r="BJ258" i="25" s="1"/>
  <c r="BK258" i="25" s="1"/>
  <c r="BL250" i="25"/>
  <c r="BI250" i="25"/>
  <c r="BJ250" i="25" s="1"/>
  <c r="BK250" i="25" s="1"/>
  <c r="BL242" i="25"/>
  <c r="BI242" i="25"/>
  <c r="BJ242" i="25" s="1"/>
  <c r="BK242" i="25" s="1"/>
  <c r="BL235" i="25"/>
  <c r="BI235" i="25"/>
  <c r="BJ235" i="25" s="1"/>
  <c r="BK235" i="25" s="1"/>
  <c r="BL228" i="25"/>
  <c r="BI228" i="25"/>
  <c r="BJ228" i="25" s="1"/>
  <c r="BK228" i="25" s="1"/>
  <c r="BL225" i="25"/>
  <c r="BI225" i="25"/>
  <c r="BJ225" i="25" s="1"/>
  <c r="BK225" i="25" s="1"/>
  <c r="BL376" i="25"/>
  <c r="BI376" i="25"/>
  <c r="BJ376" i="25" s="1"/>
  <c r="BK376" i="25" s="1"/>
  <c r="BL368" i="25"/>
  <c r="BI368" i="25"/>
  <c r="BJ368" i="25" s="1"/>
  <c r="BK368" i="25" s="1"/>
  <c r="BL360" i="25"/>
  <c r="BI360" i="25"/>
  <c r="BJ360" i="25" s="1"/>
  <c r="BK360" i="25" s="1"/>
  <c r="BL350" i="25"/>
  <c r="BI350" i="25"/>
  <c r="BJ350" i="25" s="1"/>
  <c r="BK350" i="25" s="1"/>
  <c r="BL344" i="25"/>
  <c r="BI344" i="25"/>
  <c r="BJ344" i="25" s="1"/>
  <c r="BK344" i="25" s="1"/>
  <c r="BL336" i="25"/>
  <c r="BI336" i="25"/>
  <c r="BJ336" i="25" s="1"/>
  <c r="BK336" i="25" s="1"/>
  <c r="BL328" i="25"/>
  <c r="BI328" i="25"/>
  <c r="BJ328" i="25" s="1"/>
  <c r="BK328" i="25" s="1"/>
  <c r="BL320" i="25"/>
  <c r="BI320" i="25"/>
  <c r="BJ320" i="25" s="1"/>
  <c r="BK320" i="25" s="1"/>
  <c r="BL312" i="25"/>
  <c r="BI312" i="25"/>
  <c r="BJ312" i="25" s="1"/>
  <c r="BK312" i="25" s="1"/>
  <c r="BL304" i="25"/>
  <c r="BI304" i="25"/>
  <c r="BJ304" i="25" s="1"/>
  <c r="BK304" i="25" s="1"/>
  <c r="BL288" i="25"/>
  <c r="BI288" i="25"/>
  <c r="BJ288" i="25" s="1"/>
  <c r="BK288" i="25" s="1"/>
  <c r="BL280" i="25"/>
  <c r="BI280" i="25"/>
  <c r="BJ280" i="25" s="1"/>
  <c r="BK280" i="25" s="1"/>
  <c r="BL265" i="25"/>
  <c r="BI265" i="25"/>
  <c r="BJ265" i="25" s="1"/>
  <c r="BK265" i="25" s="1"/>
  <c r="BL257" i="25"/>
  <c r="BI257" i="25"/>
  <c r="BJ257" i="25" s="1"/>
  <c r="BK257" i="25" s="1"/>
  <c r="BL249" i="25"/>
  <c r="BI249" i="25"/>
  <c r="BJ249" i="25" s="1"/>
  <c r="BK249" i="25" s="1"/>
  <c r="BL240" i="25"/>
  <c r="BI240" i="25"/>
  <c r="BJ240" i="25" s="1"/>
  <c r="BK240" i="25" s="1"/>
  <c r="BL236" i="25"/>
  <c r="BI236" i="25"/>
  <c r="BJ236" i="25" s="1"/>
  <c r="BK236" i="25" s="1"/>
  <c r="BL227" i="25"/>
  <c r="BI227" i="25"/>
  <c r="BJ227" i="25" s="1"/>
  <c r="BK227" i="25" s="1"/>
  <c r="BL224" i="25"/>
  <c r="BI224" i="25"/>
  <c r="BJ224" i="25" s="1"/>
  <c r="BK224" i="25" s="1"/>
  <c r="BL374" i="25"/>
  <c r="BI374" i="25"/>
  <c r="BJ374" i="25" s="1"/>
  <c r="BK374" i="25" s="1"/>
  <c r="BL366" i="25"/>
  <c r="BI366" i="25"/>
  <c r="BJ366" i="25" s="1"/>
  <c r="BK366" i="25" s="1"/>
  <c r="BL356" i="25"/>
  <c r="BI356" i="25"/>
  <c r="BJ356" i="25" s="1"/>
  <c r="BK356" i="25" s="1"/>
  <c r="BL348" i="25"/>
  <c r="BI348" i="25"/>
  <c r="BJ348" i="25" s="1"/>
  <c r="BK348" i="25" s="1"/>
  <c r="BL342" i="25"/>
  <c r="BI342" i="25"/>
  <c r="BJ342" i="25" s="1"/>
  <c r="BK342" i="25" s="1"/>
  <c r="BL334" i="25"/>
  <c r="BI334" i="25"/>
  <c r="BJ334" i="25" s="1"/>
  <c r="BK334" i="25" s="1"/>
  <c r="BL326" i="25"/>
  <c r="BI326" i="25"/>
  <c r="BJ326" i="25" s="1"/>
  <c r="BK326" i="25" s="1"/>
  <c r="BL318" i="25"/>
  <c r="BI318" i="25"/>
  <c r="BJ318" i="25" s="1"/>
  <c r="BK318" i="25" s="1"/>
  <c r="BL310" i="25"/>
  <c r="BI310" i="25"/>
  <c r="BJ310" i="25" s="1"/>
  <c r="BK310" i="25" s="1"/>
  <c r="BL302" i="25"/>
  <c r="BI302" i="25"/>
  <c r="BJ302" i="25" s="1"/>
  <c r="BK302" i="25" s="1"/>
  <c r="BL294" i="25"/>
  <c r="BI294" i="25"/>
  <c r="BJ294" i="25" s="1"/>
  <c r="BK294" i="25" s="1"/>
  <c r="BL286" i="25"/>
  <c r="BI286" i="25"/>
  <c r="BJ286" i="25" s="1"/>
  <c r="BK286" i="25" s="1"/>
  <c r="BL278" i="25"/>
  <c r="BI278" i="25"/>
  <c r="BJ278" i="25" s="1"/>
  <c r="BK278" i="25" s="1"/>
  <c r="BL263" i="25"/>
  <c r="BI263" i="25"/>
  <c r="BJ263" i="25" s="1"/>
  <c r="BK263" i="25" s="1"/>
  <c r="BL255" i="25"/>
  <c r="BI255" i="25"/>
  <c r="BJ255" i="25" s="1"/>
  <c r="BK255" i="25" s="1"/>
  <c r="BL247" i="25"/>
  <c r="BI247" i="25"/>
  <c r="BJ247" i="25" s="1"/>
  <c r="BK247" i="25" s="1"/>
  <c r="BL233" i="25"/>
  <c r="BI233" i="25"/>
  <c r="BJ233" i="25" s="1"/>
  <c r="BK233" i="25" s="1"/>
  <c r="BL373" i="25"/>
  <c r="BI373" i="25"/>
  <c r="BJ373" i="25" s="1"/>
  <c r="BK373" i="25" s="1"/>
  <c r="BL365" i="25"/>
  <c r="BI365" i="25"/>
  <c r="BJ365" i="25" s="1"/>
  <c r="BK365" i="25" s="1"/>
  <c r="BL355" i="25"/>
  <c r="BI355" i="25"/>
  <c r="BJ355" i="25" s="1"/>
  <c r="BK355" i="25" s="1"/>
  <c r="BL347" i="25"/>
  <c r="BI347" i="25"/>
  <c r="BJ347" i="25" s="1"/>
  <c r="BK347" i="25" s="1"/>
  <c r="BL341" i="25"/>
  <c r="BI341" i="25"/>
  <c r="BJ341" i="25" s="1"/>
  <c r="BK341" i="25" s="1"/>
  <c r="BL333" i="25"/>
  <c r="BI333" i="25"/>
  <c r="BJ333" i="25" s="1"/>
  <c r="BK333" i="25" s="1"/>
  <c r="BL325" i="25"/>
  <c r="BI325" i="25"/>
  <c r="BJ325" i="25" s="1"/>
  <c r="BK325" i="25" s="1"/>
  <c r="BL317" i="25"/>
  <c r="BI317" i="25"/>
  <c r="BJ317" i="25" s="1"/>
  <c r="BK317" i="25" s="1"/>
  <c r="BL309" i="25"/>
  <c r="BI309" i="25"/>
  <c r="BJ309" i="25" s="1"/>
  <c r="BK309" i="25" s="1"/>
  <c r="BL301" i="25"/>
  <c r="BI301" i="25"/>
  <c r="BJ301" i="25" s="1"/>
  <c r="BK301" i="25" s="1"/>
  <c r="BL293" i="25"/>
  <c r="BI293" i="25"/>
  <c r="BJ293" i="25" s="1"/>
  <c r="BK293" i="25" s="1"/>
  <c r="BL285" i="25"/>
  <c r="BI285" i="25"/>
  <c r="BJ285" i="25" s="1"/>
  <c r="BK285" i="25" s="1"/>
  <c r="BL277" i="25"/>
  <c r="BI277" i="25"/>
  <c r="BJ277" i="25" s="1"/>
  <c r="BK277" i="25" s="1"/>
  <c r="BL270" i="25"/>
  <c r="BI270" i="25"/>
  <c r="BJ270" i="25" s="1"/>
  <c r="BK270" i="25" s="1"/>
  <c r="BL262" i="25"/>
  <c r="BI262" i="25"/>
  <c r="BJ262" i="25" s="1"/>
  <c r="BK262" i="25" s="1"/>
  <c r="BL254" i="25"/>
  <c r="BI254" i="25"/>
  <c r="BJ254" i="25" s="1"/>
  <c r="BK254" i="25" s="1"/>
  <c r="BL246" i="25"/>
  <c r="BI246" i="25"/>
  <c r="BJ246" i="25" s="1"/>
  <c r="BK246" i="25" s="1"/>
  <c r="BL232" i="25"/>
  <c r="BI232" i="25"/>
  <c r="BJ232" i="25" s="1"/>
  <c r="BK232" i="25" s="1"/>
  <c r="BL379" i="25"/>
  <c r="BI379" i="25"/>
  <c r="BJ379" i="25" s="1"/>
  <c r="BK379" i="25" s="1"/>
  <c r="BL372" i="25"/>
  <c r="BI372" i="25"/>
  <c r="BJ372" i="25" s="1"/>
  <c r="BK372" i="25" s="1"/>
  <c r="BL364" i="25"/>
  <c r="BI364" i="25"/>
  <c r="BJ364" i="25" s="1"/>
  <c r="BK364" i="25" s="1"/>
  <c r="BL354" i="25"/>
  <c r="BI354" i="25"/>
  <c r="BJ354" i="25" s="1"/>
  <c r="BK354" i="25" s="1"/>
  <c r="BL340" i="25"/>
  <c r="BI340" i="25"/>
  <c r="BJ340" i="25" s="1"/>
  <c r="BK340" i="25" s="1"/>
  <c r="BL332" i="25"/>
  <c r="BI332" i="25"/>
  <c r="BJ332" i="25" s="1"/>
  <c r="BK332" i="25" s="1"/>
  <c r="BL324" i="25"/>
  <c r="BI324" i="25"/>
  <c r="BJ324" i="25" s="1"/>
  <c r="BK324" i="25" s="1"/>
  <c r="BL308" i="25"/>
  <c r="BI308" i="25"/>
  <c r="BJ308" i="25" s="1"/>
  <c r="BK308" i="25" s="1"/>
  <c r="BL300" i="25"/>
  <c r="BI300" i="25"/>
  <c r="BJ300" i="25" s="1"/>
  <c r="BK300" i="25" s="1"/>
  <c r="BL292" i="25"/>
  <c r="BI292" i="25"/>
  <c r="BJ292" i="25" s="1"/>
  <c r="BK292" i="25" s="1"/>
  <c r="BL284" i="25"/>
  <c r="BI284" i="25"/>
  <c r="BJ284" i="25" s="1"/>
  <c r="BK284" i="25" s="1"/>
  <c r="BL269" i="25"/>
  <c r="BI269" i="25"/>
  <c r="BJ269" i="25" s="1"/>
  <c r="BK269" i="25" s="1"/>
  <c r="BL261" i="25"/>
  <c r="BI261" i="25"/>
  <c r="BJ261" i="25" s="1"/>
  <c r="BK261" i="25" s="1"/>
  <c r="BL245" i="25"/>
  <c r="BI245" i="25"/>
  <c r="BJ245" i="25" s="1"/>
  <c r="BK245" i="25" s="1"/>
  <c r="BL238" i="25"/>
  <c r="BI238" i="25"/>
  <c r="BJ238" i="25" s="1"/>
  <c r="BK238" i="25" s="1"/>
  <c r="BL231" i="25"/>
  <c r="BI231" i="25"/>
  <c r="BJ231" i="25" s="1"/>
  <c r="BK231" i="25" s="1"/>
  <c r="AU377" i="25"/>
  <c r="AV377" i="25" s="1"/>
  <c r="AY377" i="25" s="1"/>
  <c r="AT337" i="25"/>
  <c r="AW337" i="25" s="1"/>
  <c r="AX337" i="25" s="1"/>
  <c r="AT305" i="25"/>
  <c r="AW305" i="25" s="1"/>
  <c r="AX305" i="25" s="1"/>
  <c r="AT273" i="25"/>
  <c r="AW273" i="25" s="1"/>
  <c r="AX273" i="25" s="1"/>
  <c r="AT375" i="25"/>
  <c r="AW375" i="25" s="1"/>
  <c r="AX375" i="25" s="1"/>
  <c r="AT343" i="25"/>
  <c r="AW343" i="25" s="1"/>
  <c r="AX343" i="25" s="1"/>
  <c r="AT335" i="25"/>
  <c r="AW335" i="25" s="1"/>
  <c r="AX335" i="25" s="1"/>
  <c r="AT319" i="25"/>
  <c r="AW319" i="25" s="1"/>
  <c r="AX319" i="25" s="1"/>
  <c r="AT311" i="25"/>
  <c r="AW311" i="25" s="1"/>
  <c r="AX311" i="25" s="1"/>
  <c r="AT295" i="25"/>
  <c r="AW295" i="25" s="1"/>
  <c r="AX295" i="25" s="1"/>
  <c r="AT279" i="25"/>
  <c r="AW279" i="25" s="1"/>
  <c r="AX279" i="25" s="1"/>
  <c r="AT264" i="25"/>
  <c r="AW264" i="25" s="1"/>
  <c r="AX264" i="25" s="1"/>
  <c r="AT256" i="25"/>
  <c r="AW256" i="25" s="1"/>
  <c r="AX256" i="25" s="1"/>
  <c r="AT248" i="25"/>
  <c r="AW248" i="25" s="1"/>
  <c r="AX248" i="25" s="1"/>
  <c r="AT234" i="25"/>
  <c r="AW234" i="25" s="1"/>
  <c r="AX234" i="25" s="1"/>
  <c r="AT223" i="25"/>
  <c r="AW223" i="25" s="1"/>
  <c r="AX223" i="25" s="1"/>
  <c r="BB233" i="25"/>
  <c r="AT344" i="25"/>
  <c r="AW344" i="25" s="1"/>
  <c r="AX344" i="25" s="1"/>
  <c r="AT328" i="25"/>
  <c r="AW328" i="25" s="1"/>
  <c r="AX328" i="25" s="1"/>
  <c r="AT312" i="25"/>
  <c r="AW312" i="25" s="1"/>
  <c r="AX312" i="25" s="1"/>
  <c r="AT304" i="25"/>
  <c r="AW304" i="25" s="1"/>
  <c r="AX304" i="25" s="1"/>
  <c r="AT296" i="25"/>
  <c r="AW296" i="25" s="1"/>
  <c r="AX296" i="25" s="1"/>
  <c r="AT280" i="25"/>
  <c r="AW280" i="25" s="1"/>
  <c r="AX280" i="25" s="1"/>
  <c r="BB295" i="25"/>
  <c r="AU271" i="25"/>
  <c r="AV271" i="25" s="1"/>
  <c r="AY271" i="25" s="1"/>
  <c r="AU239" i="25"/>
  <c r="AV239" i="25" s="1"/>
  <c r="AY239" i="25" s="1"/>
  <c r="AU226" i="25"/>
  <c r="AV226" i="25" s="1"/>
  <c r="AY226" i="25" s="1"/>
  <c r="BF223" i="25"/>
  <c r="BF327" i="25"/>
  <c r="BF264" i="25"/>
  <c r="BF238" i="25"/>
  <c r="BF231" i="25"/>
  <c r="BF354" i="25"/>
  <c r="AU250" i="25"/>
  <c r="AV250" i="25" s="1"/>
  <c r="AY250" i="25" s="1"/>
  <c r="AU289" i="25"/>
  <c r="AV289" i="25" s="1"/>
  <c r="AY289" i="25" s="1"/>
  <c r="AT225" i="25"/>
  <c r="AW225" i="25" s="1"/>
  <c r="AX225" i="25" s="1"/>
  <c r="AT363" i="25"/>
  <c r="AW363" i="25" s="1"/>
  <c r="AX363" i="25" s="1"/>
  <c r="AT346" i="25"/>
  <c r="AW346" i="25" s="1"/>
  <c r="AX346" i="25" s="1"/>
  <c r="AT331" i="25"/>
  <c r="AW331" i="25" s="1"/>
  <c r="AX331" i="25" s="1"/>
  <c r="AT291" i="25"/>
  <c r="AW291" i="25" s="1"/>
  <c r="AX291" i="25" s="1"/>
  <c r="AT244" i="25"/>
  <c r="AW244" i="25" s="1"/>
  <c r="AX244" i="25" s="1"/>
  <c r="AU230" i="25"/>
  <c r="AV230" i="25" s="1"/>
  <c r="AY230" i="25" s="1"/>
  <c r="AT257" i="25"/>
  <c r="AW257" i="25" s="1"/>
  <c r="AX257" i="25" s="1"/>
  <c r="AT231" i="25"/>
  <c r="AW231" i="25" s="1"/>
  <c r="AX231" i="25" s="1"/>
  <c r="AT301" i="25"/>
  <c r="AW301" i="25" s="1"/>
  <c r="AX301" i="25" s="1"/>
  <c r="AU321" i="25"/>
  <c r="AV321" i="25" s="1"/>
  <c r="AY321" i="25" s="1"/>
  <c r="BF319" i="25"/>
  <c r="BF256" i="25"/>
  <c r="BB287" i="25"/>
  <c r="BB234" i="25"/>
  <c r="BF357" i="25"/>
  <c r="BF311" i="25"/>
  <c r="BF248" i="25"/>
  <c r="BB279" i="25"/>
  <c r="BF375" i="25"/>
  <c r="BF303" i="25"/>
  <c r="BF239" i="25"/>
  <c r="BB271" i="25"/>
  <c r="BB226" i="25"/>
  <c r="BF372" i="25"/>
  <c r="BF349" i="25"/>
  <c r="BF367" i="25"/>
  <c r="BF364" i="25"/>
  <c r="BF343" i="25"/>
  <c r="BF335" i="25"/>
  <c r="AU303" i="25"/>
  <c r="AV303" i="25" s="1"/>
  <c r="AY303" i="25" s="1"/>
  <c r="BF334" i="25"/>
  <c r="BF302" i="25"/>
  <c r="BF366" i="25"/>
  <c r="BB263" i="25"/>
  <c r="BF326" i="25"/>
  <c r="BF294" i="25"/>
  <c r="BF348" i="25"/>
  <c r="BF318" i="25"/>
  <c r="BF286" i="25"/>
  <c r="BF255" i="25"/>
  <c r="AU258" i="25"/>
  <c r="AV258" i="25" s="1"/>
  <c r="AY258" i="25" s="1"/>
  <c r="BF310" i="25"/>
  <c r="BF278" i="25"/>
  <c r="BF247" i="25"/>
  <c r="AU351" i="25"/>
  <c r="AV351" i="25" s="1"/>
  <c r="AY351" i="25" s="1"/>
  <c r="AU249" i="25"/>
  <c r="AV249" i="25" s="1"/>
  <c r="AY249" i="25" s="1"/>
  <c r="AT275" i="25"/>
  <c r="AW275" i="25" s="1"/>
  <c r="AX275" i="25" s="1"/>
  <c r="BF320" i="25"/>
  <c r="AU359" i="25"/>
  <c r="AV359" i="25" s="1"/>
  <c r="AY359" i="25" s="1"/>
  <c r="AU235" i="25"/>
  <c r="AV235" i="25" s="1"/>
  <c r="AY235" i="25" s="1"/>
  <c r="BF227" i="25"/>
  <c r="BF240" i="25"/>
  <c r="BB265" i="25"/>
  <c r="BL296" i="25"/>
  <c r="BL272" i="25"/>
  <c r="BF288" i="25"/>
  <c r="BB328" i="25"/>
  <c r="AU252" i="25"/>
  <c r="AV252" i="25" s="1"/>
  <c r="AY252" i="25" s="1"/>
  <c r="BF336" i="25"/>
  <c r="BF257" i="25"/>
  <c r="AU242" i="25"/>
  <c r="AV242" i="25" s="1"/>
  <c r="AY242" i="25" s="1"/>
  <c r="BF304" i="25"/>
  <c r="AU265" i="25"/>
  <c r="AV265" i="25" s="1"/>
  <c r="AY265" i="25" s="1"/>
  <c r="BF224" i="25"/>
  <c r="BF272" i="25"/>
  <c r="AU353" i="25"/>
  <c r="AV353" i="25" s="1"/>
  <c r="AY353" i="25" s="1"/>
  <c r="AU339" i="25"/>
  <c r="AV339" i="25" s="1"/>
  <c r="AY339" i="25" s="1"/>
  <c r="AU323" i="25"/>
  <c r="AV323" i="25" s="1"/>
  <c r="AY323" i="25" s="1"/>
  <c r="AU315" i="25"/>
  <c r="AV315" i="25" s="1"/>
  <c r="AY315" i="25" s="1"/>
  <c r="AU268" i="25"/>
  <c r="AV268" i="25" s="1"/>
  <c r="AY268" i="25" s="1"/>
  <c r="AU260" i="25"/>
  <c r="AV260" i="25" s="1"/>
  <c r="AY260" i="25" s="1"/>
  <c r="AT354" i="25"/>
  <c r="AW354" i="25" s="1"/>
  <c r="AX354" i="25" s="1"/>
  <c r="AT268" i="25"/>
  <c r="AW268" i="25" s="1"/>
  <c r="AX268" i="25" s="1"/>
  <c r="AT230" i="25"/>
  <c r="AW230" i="25" s="1"/>
  <c r="AX230" i="25" s="1"/>
  <c r="AS296" i="25"/>
  <c r="AU296" i="25" s="1"/>
  <c r="AV296" i="25" s="1"/>
  <c r="AY296" i="25" s="1"/>
  <c r="AT353" i="25"/>
  <c r="AW353" i="25" s="1"/>
  <c r="AX353" i="25" s="1"/>
  <c r="AT260" i="25"/>
  <c r="AW260" i="25" s="1"/>
  <c r="AX260" i="25" s="1"/>
  <c r="AT329" i="25"/>
  <c r="AW329" i="25" s="1"/>
  <c r="AX329" i="25" s="1"/>
  <c r="AS331" i="25"/>
  <c r="AU331" i="25" s="1"/>
  <c r="AV331" i="25" s="1"/>
  <c r="AY331" i="25" s="1"/>
  <c r="AS291" i="25"/>
  <c r="AU291" i="25" s="1"/>
  <c r="AV291" i="25" s="1"/>
  <c r="AY291" i="25" s="1"/>
  <c r="AS244" i="25"/>
  <c r="AU244" i="25" s="1"/>
  <c r="AV244" i="25" s="1"/>
  <c r="AY244" i="25" s="1"/>
  <c r="AU236" i="25"/>
  <c r="AV236" i="25" s="1"/>
  <c r="AY236" i="25" s="1"/>
  <c r="AT299" i="25"/>
  <c r="AW299" i="25" s="1"/>
  <c r="AX299" i="25" s="1"/>
  <c r="AT252" i="25"/>
  <c r="AW252" i="25" s="1"/>
  <c r="AX252" i="25" s="1"/>
  <c r="AT292" i="25"/>
  <c r="AW292" i="25" s="1"/>
  <c r="AX292" i="25" s="1"/>
  <c r="AS280" i="25"/>
  <c r="AU280" i="25" s="1"/>
  <c r="AV280" i="25" s="1"/>
  <c r="AY280" i="25" s="1"/>
  <c r="BF362" i="25"/>
  <c r="AT242" i="25"/>
  <c r="AW242" i="25" s="1"/>
  <c r="AX242" i="25" s="1"/>
  <c r="AT377" i="25"/>
  <c r="AW377" i="25" s="1"/>
  <c r="AX377" i="25" s="1"/>
  <c r="AT283" i="25"/>
  <c r="AW283" i="25" s="1"/>
  <c r="AX283" i="25" s="1"/>
  <c r="AT237" i="25"/>
  <c r="AW237" i="25" s="1"/>
  <c r="AX237" i="25" s="1"/>
  <c r="BF379" i="25"/>
  <c r="BF350" i="25"/>
  <c r="AS363" i="25"/>
  <c r="AU363" i="25" s="1"/>
  <c r="AV363" i="25" s="1"/>
  <c r="AY363" i="25" s="1"/>
  <c r="AU361" i="25"/>
  <c r="AV361" i="25" s="1"/>
  <c r="AY361" i="25" s="1"/>
  <c r="BF376" i="25"/>
  <c r="BF360" i="25"/>
  <c r="BF332" i="25"/>
  <c r="BF316" i="25"/>
  <c r="BF300" i="25"/>
  <c r="BF284" i="25"/>
  <c r="BF269" i="25"/>
  <c r="BF253" i="25"/>
  <c r="BB358" i="25"/>
  <c r="BB312" i="25"/>
  <c r="BB280" i="25"/>
  <c r="BB236" i="25"/>
  <c r="BF296" i="25"/>
  <c r="BF249" i="25"/>
  <c r="BF368" i="25"/>
  <c r="BF344" i="25"/>
  <c r="AT339" i="25"/>
  <c r="AW339" i="25" s="1"/>
  <c r="AX339" i="25" s="1"/>
  <c r="BF340" i="25"/>
  <c r="BF324" i="25"/>
  <c r="BF308" i="25"/>
  <c r="BF292" i="25"/>
  <c r="BF276" i="25"/>
  <c r="BF261" i="25"/>
  <c r="BF245" i="25"/>
  <c r="BF356" i="25"/>
  <c r="BF342" i="25"/>
  <c r="BF282" i="25"/>
  <c r="AT371" i="25"/>
  <c r="AW371" i="25" s="1"/>
  <c r="AX371" i="25" s="1"/>
  <c r="AT323" i="25"/>
  <c r="AW323" i="25" s="1"/>
  <c r="AX323" i="25" s="1"/>
  <c r="BF374" i="25"/>
  <c r="BB330" i="25"/>
  <c r="AT315" i="25"/>
  <c r="AW315" i="25" s="1"/>
  <c r="AX315" i="25" s="1"/>
  <c r="BF337" i="25"/>
  <c r="BF235" i="25"/>
  <c r="AU371" i="25"/>
  <c r="AV371" i="25" s="1"/>
  <c r="AY371" i="25" s="1"/>
  <c r="BL358" i="25"/>
  <c r="BF305" i="25"/>
  <c r="AT297" i="25"/>
  <c r="AW297" i="25" s="1"/>
  <c r="AX297" i="25" s="1"/>
  <c r="AS305" i="25"/>
  <c r="AU305" i="25" s="1"/>
  <c r="AV305" i="25" s="1"/>
  <c r="AY305" i="25" s="1"/>
  <c r="AU228" i="25"/>
  <c r="AV228" i="25" s="1"/>
  <c r="AY228" i="25" s="1"/>
  <c r="AU225" i="25"/>
  <c r="AV225" i="25" s="1"/>
  <c r="AY225" i="25" s="1"/>
  <c r="BF243" i="25"/>
  <c r="BB250" i="25"/>
  <c r="AS234" i="25"/>
  <c r="AU234" i="25" s="1"/>
  <c r="AV234" i="25" s="1"/>
  <c r="AY234" i="25" s="1"/>
  <c r="AU275" i="25"/>
  <c r="AV275" i="25" s="1"/>
  <c r="AY275" i="25" s="1"/>
  <c r="BB293" i="25"/>
  <c r="AT359" i="25"/>
  <c r="AW359" i="25" s="1"/>
  <c r="AX359" i="25" s="1"/>
  <c r="AT266" i="25"/>
  <c r="AW266" i="25" s="1"/>
  <c r="AX266" i="25" s="1"/>
  <c r="AU376" i="25"/>
  <c r="AV376" i="25" s="1"/>
  <c r="AY376" i="25" s="1"/>
  <c r="BF270" i="25"/>
  <c r="BF232" i="25"/>
  <c r="BB309" i="25"/>
  <c r="AT369" i="25"/>
  <c r="AW369" i="25" s="1"/>
  <c r="AX369" i="25" s="1"/>
  <c r="AT321" i="25"/>
  <c r="AW321" i="25" s="1"/>
  <c r="AX321" i="25" s="1"/>
  <c r="AT235" i="25"/>
  <c r="AW235" i="25" s="1"/>
  <c r="AX235" i="25" s="1"/>
  <c r="BB325" i="25"/>
  <c r="AT289" i="25"/>
  <c r="AW289" i="25" s="1"/>
  <c r="AX289" i="25" s="1"/>
  <c r="AT258" i="25"/>
  <c r="AW258" i="25" s="1"/>
  <c r="AX258" i="25" s="1"/>
  <c r="AT361" i="25"/>
  <c r="AW361" i="25" s="1"/>
  <c r="AX361" i="25" s="1"/>
  <c r="AT351" i="25"/>
  <c r="AW351" i="25" s="1"/>
  <c r="AX351" i="25" s="1"/>
  <c r="AT313" i="25"/>
  <c r="AW313" i="25" s="1"/>
  <c r="AX313" i="25" s="1"/>
  <c r="AS295" i="25"/>
  <c r="AU295" i="25" s="1"/>
  <c r="AV295" i="25" s="1"/>
  <c r="AY295" i="25" s="1"/>
  <c r="BF365" i="25"/>
  <c r="BB254" i="25"/>
  <c r="AT307" i="25"/>
  <c r="AW307" i="25" s="1"/>
  <c r="AX307" i="25" s="1"/>
  <c r="AT281" i="25"/>
  <c r="AW281" i="25" s="1"/>
  <c r="AX281" i="25" s="1"/>
  <c r="AT228" i="25"/>
  <c r="AW228" i="25" s="1"/>
  <c r="AX228" i="25" s="1"/>
  <c r="BF317" i="25"/>
  <c r="AT250" i="25"/>
  <c r="AW250" i="25" s="1"/>
  <c r="AX250" i="25" s="1"/>
  <c r="AS337" i="25"/>
  <c r="AU337" i="25" s="1"/>
  <c r="AV337" i="25" s="1"/>
  <c r="AY337" i="25" s="1"/>
  <c r="AS273" i="25"/>
  <c r="AU273" i="25" s="1"/>
  <c r="AV273" i="25" s="1"/>
  <c r="AY273" i="25" s="1"/>
  <c r="BF246" i="25"/>
  <c r="BB355" i="25"/>
  <c r="AS335" i="25"/>
  <c r="AU335" i="25" s="1"/>
  <c r="AV335" i="25" s="1"/>
  <c r="AY335" i="25" s="1"/>
  <c r="BF341" i="25"/>
  <c r="BB277" i="25"/>
  <c r="AT368" i="25"/>
  <c r="AW368" i="25" s="1"/>
  <c r="AX368" i="25" s="1"/>
  <c r="AT350" i="25"/>
  <c r="AW350" i="25" s="1"/>
  <c r="AX350" i="25" s="1"/>
  <c r="AT320" i="25"/>
  <c r="AW320" i="25" s="1"/>
  <c r="AX320" i="25" s="1"/>
  <c r="AT236" i="25"/>
  <c r="AW236" i="25" s="1"/>
  <c r="AX236" i="25" s="1"/>
  <c r="AS312" i="25"/>
  <c r="AU312" i="25" s="1"/>
  <c r="AV312" i="25" s="1"/>
  <c r="AY312" i="25" s="1"/>
  <c r="AU357" i="25"/>
  <c r="AV357" i="25" s="1"/>
  <c r="AY357" i="25" s="1"/>
  <c r="AU297" i="25"/>
  <c r="AV297" i="25" s="1"/>
  <c r="AY297" i="25" s="1"/>
  <c r="AT272" i="25"/>
  <c r="AW272" i="25" s="1"/>
  <c r="AX272" i="25" s="1"/>
  <c r="AS240" i="25"/>
  <c r="AU240" i="25" s="1"/>
  <c r="AV240" i="25" s="1"/>
  <c r="AY240" i="25" s="1"/>
  <c r="AS227" i="25"/>
  <c r="AU227" i="25" s="1"/>
  <c r="AV227" i="25" s="1"/>
  <c r="AY227" i="25" s="1"/>
  <c r="AU307" i="25"/>
  <c r="AV307" i="25" s="1"/>
  <c r="AY307" i="25" s="1"/>
  <c r="BF373" i="25"/>
  <c r="BB347" i="25"/>
  <c r="BB333" i="25"/>
  <c r="BB262" i="25"/>
  <c r="AT249" i="25"/>
  <c r="AW249" i="25" s="1"/>
  <c r="AX249" i="25" s="1"/>
  <c r="AT224" i="25"/>
  <c r="AW224" i="25" s="1"/>
  <c r="AX224" i="25" s="1"/>
  <c r="AS344" i="25"/>
  <c r="AU344" i="25" s="1"/>
  <c r="AV344" i="25" s="1"/>
  <c r="AY344" i="25" s="1"/>
  <c r="AS328" i="25"/>
  <c r="AU328" i="25" s="1"/>
  <c r="AV328" i="25" s="1"/>
  <c r="AY328" i="25" s="1"/>
  <c r="BF301" i="25"/>
  <c r="BB285" i="25"/>
  <c r="AT360" i="25"/>
  <c r="AW360" i="25" s="1"/>
  <c r="AX360" i="25" s="1"/>
  <c r="AT288" i="25"/>
  <c r="AW288" i="25" s="1"/>
  <c r="AX288" i="25" s="1"/>
  <c r="AT358" i="25"/>
  <c r="AW358" i="25" s="1"/>
  <c r="AX358" i="25" s="1"/>
  <c r="AT336" i="25"/>
  <c r="AW336" i="25" s="1"/>
  <c r="AX336" i="25" s="1"/>
  <c r="AT265" i="25"/>
  <c r="AW265" i="25" s="1"/>
  <c r="AX265" i="25" s="1"/>
  <c r="AS304" i="25"/>
  <c r="AU304" i="25" s="1"/>
  <c r="AV304" i="25" s="1"/>
  <c r="AY304" i="25" s="1"/>
  <c r="AT376" i="25"/>
  <c r="AW376" i="25" s="1"/>
  <c r="AX376" i="25" s="1"/>
  <c r="AS375" i="25"/>
  <c r="AU375" i="25" s="1"/>
  <c r="AV375" i="25" s="1"/>
  <c r="AY375" i="25" s="1"/>
  <c r="AU287" i="25"/>
  <c r="AV287" i="25" s="1"/>
  <c r="AY287" i="25" s="1"/>
  <c r="BF273" i="25"/>
  <c r="AS346" i="25"/>
  <c r="AU346" i="25" s="1"/>
  <c r="AV346" i="25" s="1"/>
  <c r="AY346" i="25" s="1"/>
  <c r="AS319" i="25"/>
  <c r="AU319" i="25" s="1"/>
  <c r="AV319" i="25" s="1"/>
  <c r="AY319" i="25" s="1"/>
  <c r="AS279" i="25"/>
  <c r="AU279" i="25" s="1"/>
  <c r="AV279" i="25" s="1"/>
  <c r="AY279" i="25" s="1"/>
  <c r="AS256" i="25"/>
  <c r="AU256" i="25" s="1"/>
  <c r="AV256" i="25" s="1"/>
  <c r="AY256" i="25" s="1"/>
  <c r="BF313" i="25"/>
  <c r="BF242" i="25"/>
  <c r="BB258" i="25"/>
  <c r="BB228" i="25"/>
  <c r="BB225" i="25"/>
  <c r="AT349" i="25"/>
  <c r="AW349" i="25" s="1"/>
  <c r="AX349" i="25" s="1"/>
  <c r="AT303" i="25"/>
  <c r="AW303" i="25" s="1"/>
  <c r="AX303" i="25" s="1"/>
  <c r="AS223" i="25"/>
  <c r="AU223" i="25" s="1"/>
  <c r="AV223" i="25" s="1"/>
  <c r="AY223" i="25" s="1"/>
  <c r="BF361" i="25"/>
  <c r="BF281" i="25"/>
  <c r="AT287" i="25"/>
  <c r="AW287" i="25" s="1"/>
  <c r="AX287" i="25" s="1"/>
  <c r="AT271" i="25"/>
  <c r="AW271" i="25" s="1"/>
  <c r="AX271" i="25" s="1"/>
  <c r="AT239" i="25"/>
  <c r="AW239" i="25" s="1"/>
  <c r="AX239" i="25" s="1"/>
  <c r="AS343" i="25"/>
  <c r="AU343" i="25" s="1"/>
  <c r="AV343" i="25" s="1"/>
  <c r="AY343" i="25" s="1"/>
  <c r="AS301" i="25"/>
  <c r="AU301" i="25" s="1"/>
  <c r="AV301" i="25" s="1"/>
  <c r="AY301" i="25" s="1"/>
  <c r="BF369" i="25"/>
  <c r="BF351" i="25"/>
  <c r="BF321" i="25"/>
  <c r="BF289" i="25"/>
  <c r="BB266" i="25"/>
  <c r="AT226" i="25"/>
  <c r="AW226" i="25" s="1"/>
  <c r="AX226" i="25" s="1"/>
  <c r="AS264" i="25"/>
  <c r="AU264" i="25" s="1"/>
  <c r="AV264" i="25" s="1"/>
  <c r="AY264" i="25" s="1"/>
  <c r="AT367" i="25"/>
  <c r="AW367" i="25" s="1"/>
  <c r="AX367" i="25" s="1"/>
  <c r="AT357" i="25"/>
  <c r="AW357" i="25" s="1"/>
  <c r="AX357" i="25" s="1"/>
  <c r="AS311" i="25"/>
  <c r="AU311" i="25" s="1"/>
  <c r="AV311" i="25" s="1"/>
  <c r="AY311" i="25" s="1"/>
  <c r="BF377" i="25"/>
  <c r="BF359" i="25"/>
  <c r="BF329" i="25"/>
  <c r="BF297" i="25"/>
  <c r="AT327" i="25"/>
  <c r="AW327" i="25" s="1"/>
  <c r="AX327" i="25" s="1"/>
  <c r="AS248" i="25"/>
  <c r="AU248" i="25" s="1"/>
  <c r="AV248" i="25" s="1"/>
  <c r="AY248" i="25" s="1"/>
  <c r="BJ291" i="25"/>
  <c r="BK291" i="25" s="1"/>
  <c r="AU336" i="25"/>
  <c r="AV336" i="25" s="1"/>
  <c r="AY336" i="25" s="1"/>
  <c r="AT379" i="25"/>
  <c r="AW379" i="25" s="1"/>
  <c r="AX379" i="25" s="1"/>
  <c r="AT364" i="25"/>
  <c r="AW364" i="25" s="1"/>
  <c r="AX364" i="25" s="1"/>
  <c r="AT324" i="25"/>
  <c r="AW324" i="25" s="1"/>
  <c r="AX324" i="25" s="1"/>
  <c r="AT308" i="25"/>
  <c r="AW308" i="25" s="1"/>
  <c r="AX308" i="25" s="1"/>
  <c r="AT300" i="25"/>
  <c r="AW300" i="25" s="1"/>
  <c r="AX300" i="25" s="1"/>
  <c r="AT261" i="25"/>
  <c r="AW261" i="25" s="1"/>
  <c r="AX261" i="25" s="1"/>
  <c r="AT245" i="25"/>
  <c r="AW245" i="25" s="1"/>
  <c r="AX245" i="25" s="1"/>
  <c r="AT238" i="25"/>
  <c r="AW238" i="25" s="1"/>
  <c r="AX238" i="25" s="1"/>
  <c r="BL316" i="25"/>
  <c r="BL253" i="25"/>
  <c r="AU272" i="25"/>
  <c r="AV272" i="25" s="1"/>
  <c r="AY272" i="25" s="1"/>
  <c r="BL276" i="25"/>
  <c r="AU245" i="25"/>
  <c r="AV245" i="25" s="1"/>
  <c r="AY245" i="25" s="1"/>
  <c r="AU313" i="25"/>
  <c r="AV313" i="25" s="1"/>
  <c r="AY313" i="25" s="1"/>
  <c r="AU367" i="25"/>
  <c r="AV367" i="25" s="1"/>
  <c r="AY367" i="25" s="1"/>
  <c r="AU299" i="25"/>
  <c r="AV299" i="25" s="1"/>
  <c r="AY299" i="25" s="1"/>
  <c r="AU237" i="25"/>
  <c r="AV237" i="25" s="1"/>
  <c r="AY237" i="25" s="1"/>
  <c r="BJ307" i="25"/>
  <c r="BK307" i="25" s="1"/>
  <c r="AU354" i="25"/>
  <c r="AV354" i="25" s="1"/>
  <c r="AY354" i="25" s="1"/>
  <c r="AU369" i="25"/>
  <c r="AV369" i="25" s="1"/>
  <c r="AY369" i="25" s="1"/>
  <c r="AU329" i="25"/>
  <c r="AV329" i="25" s="1"/>
  <c r="AY329" i="25" s="1"/>
  <c r="AU320" i="25"/>
  <c r="AV320" i="25" s="1"/>
  <c r="AY320" i="25" s="1"/>
  <c r="AU283" i="25"/>
  <c r="AV283" i="25" s="1"/>
  <c r="AY283" i="25" s="1"/>
  <c r="AU266" i="25"/>
  <c r="AV266" i="25" s="1"/>
  <c r="AY266" i="25" s="1"/>
  <c r="AU257" i="25"/>
  <c r="AV257" i="25" s="1"/>
  <c r="AY257" i="25" s="1"/>
  <c r="AU224" i="25"/>
  <c r="AV224" i="25" s="1"/>
  <c r="AY224" i="25" s="1"/>
  <c r="AT372" i="25"/>
  <c r="AW372" i="25" s="1"/>
  <c r="AX372" i="25" s="1"/>
  <c r="AT332" i="25"/>
  <c r="AW332" i="25" s="1"/>
  <c r="AX332" i="25" s="1"/>
  <c r="AT269" i="25"/>
  <c r="AW269" i="25" s="1"/>
  <c r="AX269" i="25" s="1"/>
  <c r="AU340" i="25"/>
  <c r="AV340" i="25" s="1"/>
  <c r="AY340" i="25" s="1"/>
  <c r="AU269" i="25"/>
  <c r="AV269" i="25" s="1"/>
  <c r="AY269" i="25" s="1"/>
  <c r="AU327" i="25"/>
  <c r="AV327" i="25" s="1"/>
  <c r="AY327" i="25" s="1"/>
  <c r="AQ300" i="25"/>
  <c r="AU300" i="25" s="1"/>
  <c r="AV300" i="25" s="1"/>
  <c r="AY300" i="25" s="1"/>
  <c r="AQ238" i="25"/>
  <c r="AU238" i="25" s="1"/>
  <c r="AV238" i="25" s="1"/>
  <c r="AY238" i="25" s="1"/>
  <c r="AT316" i="25"/>
  <c r="AW316" i="25" s="1"/>
  <c r="AX316" i="25" s="1"/>
  <c r="AT253" i="25"/>
  <c r="AW253" i="25" s="1"/>
  <c r="AX253" i="25" s="1"/>
  <c r="AU379" i="25"/>
  <c r="AV379" i="25" s="1"/>
  <c r="AY379" i="25" s="1"/>
  <c r="AU276" i="25"/>
  <c r="AV276" i="25" s="1"/>
  <c r="AY276" i="25" s="1"/>
  <c r="AQ364" i="25"/>
  <c r="AU364" i="25" s="1"/>
  <c r="AV364" i="25" s="1"/>
  <c r="AY364" i="25" s="1"/>
  <c r="BL291" i="25"/>
  <c r="AT340" i="25"/>
  <c r="AW340" i="25" s="1"/>
  <c r="AX340" i="25" s="1"/>
  <c r="AT276" i="25"/>
  <c r="AW276" i="25" s="1"/>
  <c r="AX276" i="25" s="1"/>
  <c r="AU308" i="25"/>
  <c r="AV308" i="25" s="1"/>
  <c r="AY308" i="25" s="1"/>
  <c r="AU253" i="25"/>
  <c r="AV253" i="25" s="1"/>
  <c r="AY253" i="25" s="1"/>
  <c r="AQ324" i="25"/>
  <c r="AU324" i="25" s="1"/>
  <c r="AV324" i="25" s="1"/>
  <c r="AY324" i="25" s="1"/>
  <c r="AQ261" i="25"/>
  <c r="AU261" i="25" s="1"/>
  <c r="AV261" i="25" s="1"/>
  <c r="AY261" i="25" s="1"/>
  <c r="BL371" i="25"/>
  <c r="AU332" i="25"/>
  <c r="AV332" i="25" s="1"/>
  <c r="AY332" i="25" s="1"/>
  <c r="AU284" i="25"/>
  <c r="AV284" i="25" s="1"/>
  <c r="AY284" i="25" s="1"/>
  <c r="AU368" i="25"/>
  <c r="AV368" i="25" s="1"/>
  <c r="AY368" i="25" s="1"/>
  <c r="AU358" i="25"/>
  <c r="AV358" i="25" s="1"/>
  <c r="AY358" i="25" s="1"/>
  <c r="AT284" i="25"/>
  <c r="AW284" i="25" s="1"/>
  <c r="AX284" i="25" s="1"/>
  <c r="AU316" i="25"/>
  <c r="AV316" i="25" s="1"/>
  <c r="AY316" i="25" s="1"/>
  <c r="AU281" i="25"/>
  <c r="AV281" i="25" s="1"/>
  <c r="AY281" i="25" s="1"/>
  <c r="AU360" i="25"/>
  <c r="AV360" i="25" s="1"/>
  <c r="AY360" i="25" s="1"/>
  <c r="AU349" i="25"/>
  <c r="AV349" i="25" s="1"/>
  <c r="AY349" i="25" s="1"/>
  <c r="BL299" i="25"/>
  <c r="BB378" i="25"/>
  <c r="BF378" i="25"/>
  <c r="BB338" i="25"/>
  <c r="BF338" i="25"/>
  <c r="BF322" i="25"/>
  <c r="BB322" i="25"/>
  <c r="BF314" i="25"/>
  <c r="BB314" i="25"/>
  <c r="BB298" i="25"/>
  <c r="BF298" i="25"/>
  <c r="BB274" i="25"/>
  <c r="BF274" i="25"/>
  <c r="BF259" i="25"/>
  <c r="BB259" i="25"/>
  <c r="BF251" i="25"/>
  <c r="BB251" i="25"/>
  <c r="BB241" i="25"/>
  <c r="BF241" i="25"/>
  <c r="AU292" i="25"/>
  <c r="AV292" i="25" s="1"/>
  <c r="AY292" i="25" s="1"/>
  <c r="BL307" i="25"/>
  <c r="BF290" i="25"/>
  <c r="BB370" i="25"/>
  <c r="BL252" i="25"/>
  <c r="AS373" i="25"/>
  <c r="AU373" i="25" s="1"/>
  <c r="AV373" i="25" s="1"/>
  <c r="AY373" i="25" s="1"/>
  <c r="AT373" i="25"/>
  <c r="AW373" i="25" s="1"/>
  <c r="AX373" i="25" s="1"/>
  <c r="AS365" i="25"/>
  <c r="AU365" i="25" s="1"/>
  <c r="AV365" i="25" s="1"/>
  <c r="AY365" i="25" s="1"/>
  <c r="AT365" i="25"/>
  <c r="AW365" i="25" s="1"/>
  <c r="AX365" i="25" s="1"/>
  <c r="AS355" i="25"/>
  <c r="AU355" i="25" s="1"/>
  <c r="AV355" i="25" s="1"/>
  <c r="AY355" i="25" s="1"/>
  <c r="AT355" i="25"/>
  <c r="AW355" i="25" s="1"/>
  <c r="AX355" i="25" s="1"/>
  <c r="AS347" i="25"/>
  <c r="AU347" i="25" s="1"/>
  <c r="AV347" i="25" s="1"/>
  <c r="AY347" i="25" s="1"/>
  <c r="AT347" i="25"/>
  <c r="AW347" i="25" s="1"/>
  <c r="AX347" i="25" s="1"/>
  <c r="AS341" i="25"/>
  <c r="AU341" i="25" s="1"/>
  <c r="AV341" i="25" s="1"/>
  <c r="AY341" i="25" s="1"/>
  <c r="AT341" i="25"/>
  <c r="AW341" i="25" s="1"/>
  <c r="AX341" i="25" s="1"/>
  <c r="AT333" i="25"/>
  <c r="AW333" i="25" s="1"/>
  <c r="AX333" i="25" s="1"/>
  <c r="AS333" i="25"/>
  <c r="AU333" i="25" s="1"/>
  <c r="AV333" i="25" s="1"/>
  <c r="AY333" i="25" s="1"/>
  <c r="AT325" i="25"/>
  <c r="AW325" i="25" s="1"/>
  <c r="AX325" i="25" s="1"/>
  <c r="AS325" i="25"/>
  <c r="AU325" i="25" s="1"/>
  <c r="AV325" i="25" s="1"/>
  <c r="AY325" i="25" s="1"/>
  <c r="AT317" i="25"/>
  <c r="AW317" i="25" s="1"/>
  <c r="AX317" i="25" s="1"/>
  <c r="AS317" i="25"/>
  <c r="AU317" i="25" s="1"/>
  <c r="AV317" i="25" s="1"/>
  <c r="AY317" i="25" s="1"/>
  <c r="AS309" i="25"/>
  <c r="AU309" i="25" s="1"/>
  <c r="AV309" i="25" s="1"/>
  <c r="AY309" i="25" s="1"/>
  <c r="AT309" i="25"/>
  <c r="AW309" i="25" s="1"/>
  <c r="AX309" i="25" s="1"/>
  <c r="AS293" i="25"/>
  <c r="AU293" i="25" s="1"/>
  <c r="AV293" i="25" s="1"/>
  <c r="AY293" i="25" s="1"/>
  <c r="AT293" i="25"/>
  <c r="AW293" i="25" s="1"/>
  <c r="AX293" i="25" s="1"/>
  <c r="AS285" i="25"/>
  <c r="AU285" i="25" s="1"/>
  <c r="AV285" i="25" s="1"/>
  <c r="AY285" i="25" s="1"/>
  <c r="AT285" i="25"/>
  <c r="AW285" i="25" s="1"/>
  <c r="AX285" i="25" s="1"/>
  <c r="AS277" i="25"/>
  <c r="AU277" i="25" s="1"/>
  <c r="AV277" i="25" s="1"/>
  <c r="AY277" i="25" s="1"/>
  <c r="AT277" i="25"/>
  <c r="AW277" i="25" s="1"/>
  <c r="AX277" i="25" s="1"/>
  <c r="AT270" i="25"/>
  <c r="AW270" i="25" s="1"/>
  <c r="AX270" i="25" s="1"/>
  <c r="AS270" i="25"/>
  <c r="AU270" i="25" s="1"/>
  <c r="AV270" i="25" s="1"/>
  <c r="AY270" i="25" s="1"/>
  <c r="AT262" i="25"/>
  <c r="AW262" i="25" s="1"/>
  <c r="AX262" i="25" s="1"/>
  <c r="AS262" i="25"/>
  <c r="AU262" i="25" s="1"/>
  <c r="AV262" i="25" s="1"/>
  <c r="AY262" i="25" s="1"/>
  <c r="AT254" i="25"/>
  <c r="AW254" i="25" s="1"/>
  <c r="AX254" i="25" s="1"/>
  <c r="AS254" i="25"/>
  <c r="AU254" i="25" s="1"/>
  <c r="AV254" i="25" s="1"/>
  <c r="AY254" i="25" s="1"/>
  <c r="AS246" i="25"/>
  <c r="AU246" i="25" s="1"/>
  <c r="AV246" i="25" s="1"/>
  <c r="AY246" i="25" s="1"/>
  <c r="AT246" i="25"/>
  <c r="AW246" i="25" s="1"/>
  <c r="AX246" i="25" s="1"/>
  <c r="AS232" i="25"/>
  <c r="AU232" i="25" s="1"/>
  <c r="AV232" i="25" s="1"/>
  <c r="AY232" i="25" s="1"/>
  <c r="AT232" i="25"/>
  <c r="AW232" i="25" s="1"/>
  <c r="AX232" i="25" s="1"/>
  <c r="BL323" i="25"/>
  <c r="BJ264" i="25"/>
  <c r="BK264" i="25" s="1"/>
  <c r="BJ248" i="25"/>
  <c r="BK248" i="25" s="1"/>
  <c r="BJ223" i="25"/>
  <c r="BK223" i="25" s="1"/>
  <c r="BL331" i="25"/>
  <c r="BL322" i="25"/>
  <c r="BF345" i="25"/>
  <c r="BF306" i="25"/>
  <c r="BL330" i="25"/>
  <c r="BF352" i="25"/>
  <c r="BF267" i="25"/>
  <c r="BF229" i="25"/>
  <c r="BL362" i="25"/>
  <c r="AU231" i="25"/>
  <c r="AV231" i="25" s="1"/>
  <c r="AY231" i="25" s="1"/>
  <c r="AU372" i="25"/>
  <c r="AV372" i="25" s="1"/>
  <c r="AY372" i="25" s="1"/>
  <c r="AU350" i="25"/>
  <c r="AV350" i="25" s="1"/>
  <c r="AY350" i="25" s="1"/>
  <c r="AU288" i="25"/>
  <c r="AV288" i="25" s="1"/>
  <c r="AY288" i="25" s="1"/>
  <c r="BB323" i="25"/>
  <c r="BF323" i="25"/>
  <c r="BB283" i="25"/>
  <c r="BF283" i="25"/>
  <c r="BB237" i="25"/>
  <c r="BF237" i="25"/>
  <c r="AQ374" i="25"/>
  <c r="AU374" i="25" s="1"/>
  <c r="AV374" i="25" s="1"/>
  <c r="AY374" i="25" s="1"/>
  <c r="AT374" i="25"/>
  <c r="AW374" i="25" s="1"/>
  <c r="AX374" i="25" s="1"/>
  <c r="AQ356" i="25"/>
  <c r="AU356" i="25" s="1"/>
  <c r="AV356" i="25" s="1"/>
  <c r="AY356" i="25" s="1"/>
  <c r="AT356" i="25"/>
  <c r="AW356" i="25" s="1"/>
  <c r="AX356" i="25" s="1"/>
  <c r="AQ342" i="25"/>
  <c r="AU342" i="25" s="1"/>
  <c r="AV342" i="25" s="1"/>
  <c r="AY342" i="25" s="1"/>
  <c r="AT342" i="25"/>
  <c r="AW342" i="25" s="1"/>
  <c r="AX342" i="25" s="1"/>
  <c r="AQ334" i="25"/>
  <c r="AU334" i="25" s="1"/>
  <c r="AV334" i="25" s="1"/>
  <c r="AY334" i="25" s="1"/>
  <c r="AT334" i="25"/>
  <c r="AW334" i="25" s="1"/>
  <c r="AX334" i="25" s="1"/>
  <c r="AQ318" i="25"/>
  <c r="AU318" i="25" s="1"/>
  <c r="AV318" i="25" s="1"/>
  <c r="AY318" i="25" s="1"/>
  <c r="AT318" i="25"/>
  <c r="AW318" i="25" s="1"/>
  <c r="AX318" i="25" s="1"/>
  <c r="AQ294" i="25"/>
  <c r="AU294" i="25" s="1"/>
  <c r="AV294" i="25" s="1"/>
  <c r="AY294" i="25" s="1"/>
  <c r="AT294" i="25"/>
  <c r="AW294" i="25" s="1"/>
  <c r="AX294" i="25" s="1"/>
  <c r="AQ278" i="25"/>
  <c r="AU278" i="25" s="1"/>
  <c r="AV278" i="25" s="1"/>
  <c r="AY278" i="25" s="1"/>
  <c r="AT278" i="25"/>
  <c r="AW278" i="25" s="1"/>
  <c r="AX278" i="25" s="1"/>
  <c r="AQ255" i="25"/>
  <c r="AU255" i="25" s="1"/>
  <c r="AV255" i="25" s="1"/>
  <c r="AY255" i="25" s="1"/>
  <c r="AT255" i="25"/>
  <c r="AW255" i="25" s="1"/>
  <c r="AX255" i="25" s="1"/>
  <c r="BB331" i="25"/>
  <c r="BF331" i="25"/>
  <c r="BB268" i="25"/>
  <c r="BF268" i="25"/>
  <c r="BB230" i="25"/>
  <c r="BF230" i="25"/>
  <c r="AQ366" i="25"/>
  <c r="AU366" i="25" s="1"/>
  <c r="AV366" i="25" s="1"/>
  <c r="AY366" i="25" s="1"/>
  <c r="AT366" i="25"/>
  <c r="AW366" i="25" s="1"/>
  <c r="AX366" i="25" s="1"/>
  <c r="AQ348" i="25"/>
  <c r="AU348" i="25" s="1"/>
  <c r="AV348" i="25" s="1"/>
  <c r="AY348" i="25" s="1"/>
  <c r="AT348" i="25"/>
  <c r="AW348" i="25" s="1"/>
  <c r="AX348" i="25" s="1"/>
  <c r="AQ326" i="25"/>
  <c r="AU326" i="25" s="1"/>
  <c r="AV326" i="25" s="1"/>
  <c r="AY326" i="25" s="1"/>
  <c r="AT326" i="25"/>
  <c r="AW326" i="25" s="1"/>
  <c r="AX326" i="25" s="1"/>
  <c r="AQ310" i="25"/>
  <c r="AU310" i="25" s="1"/>
  <c r="AV310" i="25" s="1"/>
  <c r="AY310" i="25" s="1"/>
  <c r="AT310" i="25"/>
  <c r="AW310" i="25" s="1"/>
  <c r="AX310" i="25" s="1"/>
  <c r="AQ302" i="25"/>
  <c r="AU302" i="25" s="1"/>
  <c r="AV302" i="25" s="1"/>
  <c r="AY302" i="25" s="1"/>
  <c r="AT302" i="25"/>
  <c r="AW302" i="25" s="1"/>
  <c r="AX302" i="25" s="1"/>
  <c r="AQ286" i="25"/>
  <c r="AU286" i="25" s="1"/>
  <c r="AV286" i="25" s="1"/>
  <c r="AY286" i="25" s="1"/>
  <c r="AT286" i="25"/>
  <c r="AW286" i="25" s="1"/>
  <c r="AX286" i="25" s="1"/>
  <c r="AQ263" i="25"/>
  <c r="AU263" i="25" s="1"/>
  <c r="AV263" i="25" s="1"/>
  <c r="AY263" i="25" s="1"/>
  <c r="AT263" i="25"/>
  <c r="AW263" i="25" s="1"/>
  <c r="AX263" i="25" s="1"/>
  <c r="AQ247" i="25"/>
  <c r="AU247" i="25" s="1"/>
  <c r="AV247" i="25" s="1"/>
  <c r="AY247" i="25" s="1"/>
  <c r="AT247" i="25"/>
  <c r="AW247" i="25" s="1"/>
  <c r="AX247" i="25" s="1"/>
  <c r="BL375" i="25"/>
  <c r="BL367" i="25"/>
  <c r="BL357" i="25"/>
  <c r="BL349" i="25"/>
  <c r="BL343" i="25"/>
  <c r="BL335" i="25"/>
  <c r="BL327" i="25"/>
  <c r="BL319" i="25"/>
  <c r="BL311" i="25"/>
  <c r="BL303" i="25"/>
  <c r="BL295" i="25"/>
  <c r="BL287" i="25"/>
  <c r="BL279" i="25"/>
  <c r="BL271" i="25"/>
  <c r="BL264" i="25"/>
  <c r="BL256" i="25"/>
  <c r="BL248" i="25"/>
  <c r="BL239" i="25"/>
  <c r="BL234" i="25"/>
  <c r="BL226" i="25"/>
  <c r="BL223" i="25"/>
  <c r="BB353" i="25"/>
  <c r="BF353" i="25"/>
  <c r="BB315" i="25"/>
  <c r="BF315" i="25"/>
  <c r="BB275" i="25"/>
  <c r="BF275" i="25"/>
  <c r="AQ233" i="25"/>
  <c r="AU233" i="25" s="1"/>
  <c r="AV233" i="25" s="1"/>
  <c r="AY233" i="25" s="1"/>
  <c r="AT233" i="25"/>
  <c r="AW233" i="25" s="1"/>
  <c r="AX233" i="25" s="1"/>
  <c r="BB363" i="25"/>
  <c r="BF363" i="25"/>
  <c r="BB339" i="25"/>
  <c r="BF339" i="25"/>
  <c r="BB291" i="25"/>
  <c r="BF291" i="25"/>
  <c r="BB244" i="25"/>
  <c r="BF244" i="25"/>
  <c r="BB307" i="25"/>
  <c r="BF307" i="25"/>
  <c r="BB260" i="25"/>
  <c r="BF260" i="25"/>
  <c r="BB371" i="25"/>
  <c r="BF371" i="25"/>
  <c r="BB346" i="25"/>
  <c r="BF346" i="25"/>
  <c r="BB299" i="25"/>
  <c r="BF299" i="25"/>
  <c r="BB252" i="25"/>
  <c r="BF252" i="25"/>
  <c r="AT378" i="25"/>
  <c r="AW378" i="25" s="1"/>
  <c r="AX378" i="25" s="1"/>
  <c r="AS378" i="25"/>
  <c r="AU378" i="25" s="1"/>
  <c r="AV378" i="25" s="1"/>
  <c r="AY378" i="25" s="1"/>
  <c r="AT370" i="25"/>
  <c r="AW370" i="25" s="1"/>
  <c r="AX370" i="25" s="1"/>
  <c r="AS370" i="25"/>
  <c r="AU370" i="25" s="1"/>
  <c r="AV370" i="25" s="1"/>
  <c r="AY370" i="25" s="1"/>
  <c r="AT362" i="25"/>
  <c r="AW362" i="25" s="1"/>
  <c r="AX362" i="25" s="1"/>
  <c r="AS362" i="25"/>
  <c r="AU362" i="25" s="1"/>
  <c r="AV362" i="25" s="1"/>
  <c r="AY362" i="25" s="1"/>
  <c r="AT352" i="25"/>
  <c r="AW352" i="25" s="1"/>
  <c r="AX352" i="25" s="1"/>
  <c r="AS352" i="25"/>
  <c r="AU352" i="25" s="1"/>
  <c r="AV352" i="25" s="1"/>
  <c r="AY352" i="25" s="1"/>
  <c r="AT345" i="25"/>
  <c r="AW345" i="25" s="1"/>
  <c r="AX345" i="25" s="1"/>
  <c r="AS345" i="25"/>
  <c r="AU345" i="25" s="1"/>
  <c r="AV345" i="25" s="1"/>
  <c r="AY345" i="25" s="1"/>
  <c r="AT338" i="25"/>
  <c r="AW338" i="25" s="1"/>
  <c r="AX338" i="25" s="1"/>
  <c r="AS338" i="25"/>
  <c r="AU338" i="25" s="1"/>
  <c r="AV338" i="25" s="1"/>
  <c r="AY338" i="25" s="1"/>
  <c r="AT330" i="25"/>
  <c r="AW330" i="25" s="1"/>
  <c r="AX330" i="25" s="1"/>
  <c r="AS330" i="25"/>
  <c r="AU330" i="25" s="1"/>
  <c r="AV330" i="25" s="1"/>
  <c r="AY330" i="25" s="1"/>
  <c r="AT322" i="25"/>
  <c r="AW322" i="25" s="1"/>
  <c r="AX322" i="25" s="1"/>
  <c r="AS322" i="25"/>
  <c r="AU322" i="25" s="1"/>
  <c r="AV322" i="25" s="1"/>
  <c r="AY322" i="25" s="1"/>
  <c r="AT314" i="25"/>
  <c r="AW314" i="25" s="1"/>
  <c r="AX314" i="25" s="1"/>
  <c r="AS314" i="25"/>
  <c r="AU314" i="25" s="1"/>
  <c r="AV314" i="25" s="1"/>
  <c r="AY314" i="25" s="1"/>
  <c r="AT306" i="25"/>
  <c r="AW306" i="25" s="1"/>
  <c r="AX306" i="25" s="1"/>
  <c r="AS306" i="25"/>
  <c r="AU306" i="25" s="1"/>
  <c r="AV306" i="25" s="1"/>
  <c r="AY306" i="25" s="1"/>
  <c r="AT298" i="25"/>
  <c r="AW298" i="25" s="1"/>
  <c r="AX298" i="25" s="1"/>
  <c r="AS298" i="25"/>
  <c r="AU298" i="25" s="1"/>
  <c r="AV298" i="25" s="1"/>
  <c r="AY298" i="25" s="1"/>
  <c r="AT290" i="25"/>
  <c r="AW290" i="25" s="1"/>
  <c r="AX290" i="25" s="1"/>
  <c r="AS290" i="25"/>
  <c r="AU290" i="25" s="1"/>
  <c r="AV290" i="25" s="1"/>
  <c r="AY290" i="25" s="1"/>
  <c r="AT282" i="25"/>
  <c r="AW282" i="25" s="1"/>
  <c r="AX282" i="25" s="1"/>
  <c r="AS282" i="25"/>
  <c r="AU282" i="25" s="1"/>
  <c r="AV282" i="25" s="1"/>
  <c r="AY282" i="25" s="1"/>
  <c r="AT274" i="25"/>
  <c r="AW274" i="25" s="1"/>
  <c r="AX274" i="25" s="1"/>
  <c r="AS274" i="25"/>
  <c r="AU274" i="25" s="1"/>
  <c r="AV274" i="25" s="1"/>
  <c r="AY274" i="25" s="1"/>
  <c r="AT267" i="25"/>
  <c r="AW267" i="25" s="1"/>
  <c r="AX267" i="25" s="1"/>
  <c r="AS267" i="25"/>
  <c r="AU267" i="25" s="1"/>
  <c r="AV267" i="25" s="1"/>
  <c r="AY267" i="25" s="1"/>
  <c r="AT259" i="25"/>
  <c r="AW259" i="25" s="1"/>
  <c r="AX259" i="25" s="1"/>
  <c r="AS259" i="25"/>
  <c r="AU259" i="25" s="1"/>
  <c r="AV259" i="25" s="1"/>
  <c r="AY259" i="25" s="1"/>
  <c r="AT251" i="25"/>
  <c r="AW251" i="25" s="1"/>
  <c r="AX251" i="25" s="1"/>
  <c r="AS251" i="25"/>
  <c r="AU251" i="25" s="1"/>
  <c r="AV251" i="25" s="1"/>
  <c r="AY251" i="25" s="1"/>
  <c r="AT243" i="25"/>
  <c r="AW243" i="25" s="1"/>
  <c r="AX243" i="25" s="1"/>
  <c r="AS243" i="25"/>
  <c r="AU243" i="25" s="1"/>
  <c r="AV243" i="25" s="1"/>
  <c r="AY243" i="25" s="1"/>
  <c r="AT241" i="25"/>
  <c r="AW241" i="25" s="1"/>
  <c r="AX241" i="25" s="1"/>
  <c r="AS241" i="25"/>
  <c r="AU241" i="25" s="1"/>
  <c r="AV241" i="25" s="1"/>
  <c r="AY241" i="25" s="1"/>
  <c r="AT229" i="25"/>
  <c r="AW229" i="25" s="1"/>
  <c r="AX229" i="25" s="1"/>
  <c r="AS229" i="25"/>
  <c r="AU229" i="25" s="1"/>
  <c r="AV229" i="25" s="1"/>
  <c r="AY229" i="25" s="1"/>
  <c r="BV157" i="25" l="1"/>
  <c r="BU157" i="25"/>
  <c r="BT157" i="25"/>
  <c r="I129" i="92"/>
  <c r="H129" i="92"/>
  <c r="F126" i="92"/>
  <c r="G129" i="92"/>
  <c r="F129" i="92"/>
  <c r="E126" i="92"/>
  <c r="E129" i="92" l="1"/>
  <c r="H36" i="113"/>
  <c r="H35" i="113"/>
  <c r="H33" i="113"/>
  <c r="H32" i="113"/>
  <c r="H29" i="113"/>
  <c r="H23" i="113"/>
  <c r="H21" i="113"/>
  <c r="L20" i="113"/>
  <c r="H19" i="113"/>
  <c r="L18" i="113"/>
  <c r="L15" i="113"/>
  <c r="H15" i="113"/>
  <c r="L13" i="113"/>
  <c r="H12" i="113"/>
  <c r="H9" i="113"/>
  <c r="L8" i="113"/>
  <c r="L6" i="113"/>
  <c r="H6" i="113"/>
  <c r="F81" i="89"/>
  <c r="F80" i="89"/>
  <c r="F79" i="89"/>
  <c r="P67" i="89"/>
  <c r="O67" i="89"/>
  <c r="N67" i="89"/>
  <c r="M67" i="89"/>
  <c r="L67" i="89"/>
  <c r="K67" i="89"/>
  <c r="H67" i="89"/>
  <c r="G67" i="89"/>
  <c r="F67" i="89"/>
  <c r="E67" i="89"/>
  <c r="D67" i="89"/>
  <c r="C67" i="89"/>
  <c r="P66" i="89"/>
  <c r="N66" i="89"/>
  <c r="L66" i="89"/>
  <c r="H66" i="89"/>
  <c r="F66" i="89"/>
  <c r="D66" i="89"/>
  <c r="P65" i="89"/>
  <c r="O65" i="89"/>
  <c r="N65" i="89"/>
  <c r="M65" i="89"/>
  <c r="L65" i="89"/>
  <c r="K65" i="89"/>
  <c r="H65" i="89"/>
  <c r="G65" i="89"/>
  <c r="F65" i="89"/>
  <c r="E65" i="89"/>
  <c r="D65" i="89"/>
  <c r="C65" i="89"/>
  <c r="F30" i="89"/>
  <c r="E30" i="89"/>
  <c r="F27" i="89"/>
  <c r="E27" i="89"/>
  <c r="F24" i="89"/>
  <c r="E24" i="89"/>
  <c r="F21" i="89"/>
  <c r="E21" i="89"/>
  <c r="E18" i="89"/>
  <c r="F16" i="89"/>
  <c r="F18" i="89" s="1"/>
  <c r="E16" i="89"/>
  <c r="BW222" i="25"/>
  <c r="BV222" i="25"/>
  <c r="BU222" i="25"/>
  <c r="BT222" i="25"/>
  <c r="BS222" i="25"/>
  <c r="BR222" i="25"/>
  <c r="BQ222" i="25"/>
  <c r="BP222" i="25"/>
  <c r="BH222" i="25"/>
  <c r="BG222" i="25"/>
  <c r="BD222" i="25"/>
  <c r="BE222" i="25" s="1"/>
  <c r="BC222" i="25"/>
  <c r="AZ222" i="25"/>
  <c r="AR222" i="25"/>
  <c r="AP222" i="25"/>
  <c r="AQ222" i="25" s="1"/>
  <c r="G222" i="25"/>
  <c r="BW221" i="25"/>
  <c r="BV221" i="25"/>
  <c r="BU221" i="25"/>
  <c r="BT221" i="25"/>
  <c r="BS221" i="25"/>
  <c r="BR221" i="25"/>
  <c r="BQ221" i="25"/>
  <c r="BP221" i="25"/>
  <c r="BH221" i="25"/>
  <c r="BG221" i="25"/>
  <c r="BD221" i="25"/>
  <c r="BE221" i="25" s="1"/>
  <c r="BC221" i="25"/>
  <c r="AZ221" i="25"/>
  <c r="AR221" i="25"/>
  <c r="AS221" i="25" s="1"/>
  <c r="AP221" i="25"/>
  <c r="AQ221" i="25" s="1"/>
  <c r="G221" i="25"/>
  <c r="BW220" i="25"/>
  <c r="BV220" i="25"/>
  <c r="BU220" i="25"/>
  <c r="BT220" i="25"/>
  <c r="BS220" i="25"/>
  <c r="BR220" i="25"/>
  <c r="BQ220" i="25"/>
  <c r="BP220" i="25"/>
  <c r="BH220" i="25"/>
  <c r="BG220" i="25"/>
  <c r="BD220" i="25"/>
  <c r="BE220" i="25" s="1"/>
  <c r="BC220" i="25"/>
  <c r="AZ220" i="25"/>
  <c r="AR220" i="25"/>
  <c r="AP220" i="25"/>
  <c r="AQ220" i="25" s="1"/>
  <c r="G220" i="25"/>
  <c r="BW219" i="25"/>
  <c r="BV219" i="25"/>
  <c r="BU219" i="25"/>
  <c r="BT219" i="25"/>
  <c r="BS219" i="25"/>
  <c r="BR219" i="25"/>
  <c r="BQ219" i="25"/>
  <c r="BP219" i="25"/>
  <c r="BH219" i="25"/>
  <c r="BG219" i="25"/>
  <c r="BD219" i="25"/>
  <c r="BE219" i="25" s="1"/>
  <c r="BC219" i="25"/>
  <c r="AZ219" i="25"/>
  <c r="AR219" i="25"/>
  <c r="AS219" i="25" s="1"/>
  <c r="AP219" i="25"/>
  <c r="AQ219" i="25" s="1"/>
  <c r="G219" i="25"/>
  <c r="BW218" i="25"/>
  <c r="BV218" i="25"/>
  <c r="BU218" i="25"/>
  <c r="BT218" i="25"/>
  <c r="BS218" i="25"/>
  <c r="BR218" i="25"/>
  <c r="BQ218" i="25"/>
  <c r="BP218" i="25"/>
  <c r="BH218" i="25"/>
  <c r="BG218" i="25"/>
  <c r="BD218" i="25"/>
  <c r="BE218" i="25" s="1"/>
  <c r="BC218" i="25"/>
  <c r="AZ218" i="25"/>
  <c r="AR218" i="25"/>
  <c r="AP218" i="25"/>
  <c r="AQ218" i="25" s="1"/>
  <c r="G218" i="25"/>
  <c r="BW217" i="25"/>
  <c r="BV217" i="25"/>
  <c r="BU217" i="25"/>
  <c r="BT217" i="25"/>
  <c r="BS217" i="25"/>
  <c r="BR217" i="25"/>
  <c r="BQ217" i="25"/>
  <c r="BP217" i="25"/>
  <c r="BH217" i="25"/>
  <c r="BG217" i="25"/>
  <c r="BD217" i="25"/>
  <c r="BE217" i="25" s="1"/>
  <c r="BC217" i="25"/>
  <c r="AZ217" i="25"/>
  <c r="AR217" i="25"/>
  <c r="AP217" i="25"/>
  <c r="AQ217" i="25" s="1"/>
  <c r="G217" i="25"/>
  <c r="BW216" i="25"/>
  <c r="BV216" i="25"/>
  <c r="BU216" i="25"/>
  <c r="BT216" i="25"/>
  <c r="BS216" i="25"/>
  <c r="BR216" i="25"/>
  <c r="BQ216" i="25"/>
  <c r="BP216" i="25"/>
  <c r="BH216" i="25"/>
  <c r="BG216" i="25"/>
  <c r="BD216" i="25"/>
  <c r="BE216" i="25" s="1"/>
  <c r="BC216" i="25"/>
  <c r="AZ216" i="25"/>
  <c r="AR216" i="25"/>
  <c r="AP216" i="25"/>
  <c r="AQ216" i="25" s="1"/>
  <c r="G216" i="25"/>
  <c r="BW215" i="25"/>
  <c r="BV215" i="25"/>
  <c r="BU215" i="25"/>
  <c r="BT215" i="25"/>
  <c r="BS215" i="25"/>
  <c r="BR215" i="25"/>
  <c r="BQ215" i="25"/>
  <c r="BP215" i="25"/>
  <c r="BH215" i="25"/>
  <c r="BG215" i="25"/>
  <c r="BD215" i="25"/>
  <c r="BE215" i="25" s="1"/>
  <c r="BC215" i="25"/>
  <c r="BF215" i="25"/>
  <c r="AZ215" i="25"/>
  <c r="AR215" i="25"/>
  <c r="AP215" i="25"/>
  <c r="AQ215" i="25" s="1"/>
  <c r="G215" i="25"/>
  <c r="BW214" i="25"/>
  <c r="BV214" i="25"/>
  <c r="BU214" i="25"/>
  <c r="BT214" i="25"/>
  <c r="BS214" i="25"/>
  <c r="BR214" i="25"/>
  <c r="BQ214" i="25"/>
  <c r="BP214" i="25"/>
  <c r="BH214" i="25"/>
  <c r="BG214" i="25"/>
  <c r="BD214" i="25"/>
  <c r="BE214" i="25" s="1"/>
  <c r="BC214" i="25"/>
  <c r="BF214" i="25"/>
  <c r="AZ214" i="25"/>
  <c r="AR214" i="25"/>
  <c r="AP214" i="25"/>
  <c r="AQ214" i="25" s="1"/>
  <c r="G214" i="25"/>
  <c r="BW213" i="25"/>
  <c r="BV213" i="25"/>
  <c r="BU213" i="25"/>
  <c r="BT213" i="25"/>
  <c r="BS213" i="25"/>
  <c r="BR213" i="25"/>
  <c r="BQ213" i="25"/>
  <c r="BP213" i="25"/>
  <c r="BH213" i="25"/>
  <c r="BG213" i="25"/>
  <c r="BD213" i="25"/>
  <c r="BE213" i="25" s="1"/>
  <c r="BC213" i="25"/>
  <c r="BF213" i="25"/>
  <c r="AZ213" i="25"/>
  <c r="AR213" i="25"/>
  <c r="AP213" i="25"/>
  <c r="AQ213" i="25" s="1"/>
  <c r="G213" i="25"/>
  <c r="BW212" i="25"/>
  <c r="BV212" i="25"/>
  <c r="BU212" i="25"/>
  <c r="BT212" i="25"/>
  <c r="BS212" i="25"/>
  <c r="BR212" i="25"/>
  <c r="BQ212" i="25"/>
  <c r="BP212" i="25"/>
  <c r="BH212" i="25"/>
  <c r="BG212" i="25"/>
  <c r="BD212" i="25"/>
  <c r="BE212" i="25" s="1"/>
  <c r="BC212" i="25"/>
  <c r="BF212" i="25"/>
  <c r="AZ212" i="25"/>
  <c r="AR212" i="25"/>
  <c r="AS212" i="25" s="1"/>
  <c r="AP212" i="25"/>
  <c r="AQ212" i="25" s="1"/>
  <c r="G212" i="25"/>
  <c r="BW211" i="25"/>
  <c r="BV211" i="25"/>
  <c r="BU211" i="25"/>
  <c r="BT211" i="25"/>
  <c r="BS211" i="25"/>
  <c r="BR211" i="25"/>
  <c r="BQ211" i="25"/>
  <c r="BP211" i="25"/>
  <c r="BH211" i="25"/>
  <c r="BG211" i="25"/>
  <c r="BD211" i="25"/>
  <c r="BE211" i="25" s="1"/>
  <c r="BC211" i="25"/>
  <c r="BF211" i="25"/>
  <c r="AZ211" i="25"/>
  <c r="AR211" i="25"/>
  <c r="AP211" i="25"/>
  <c r="AQ211" i="25" s="1"/>
  <c r="G211" i="25"/>
  <c r="BW210" i="25"/>
  <c r="BV210" i="25"/>
  <c r="BU210" i="25"/>
  <c r="BT210" i="25"/>
  <c r="BS210" i="25"/>
  <c r="BR210" i="25"/>
  <c r="BQ210" i="25"/>
  <c r="BP210" i="25"/>
  <c r="BH210" i="25"/>
  <c r="BG210" i="25"/>
  <c r="BD210" i="25"/>
  <c r="BE210" i="25" s="1"/>
  <c r="BC210" i="25"/>
  <c r="BF210" i="25"/>
  <c r="AZ210" i="25"/>
  <c r="AR210" i="25"/>
  <c r="AP210" i="25"/>
  <c r="AQ210" i="25" s="1"/>
  <c r="G210" i="25"/>
  <c r="BW209" i="25"/>
  <c r="BV209" i="25"/>
  <c r="BU209" i="25"/>
  <c r="BT209" i="25"/>
  <c r="BS209" i="25"/>
  <c r="BR209" i="25"/>
  <c r="BQ209" i="25"/>
  <c r="BP209" i="25"/>
  <c r="BH209" i="25"/>
  <c r="BG209" i="25"/>
  <c r="BD209" i="25"/>
  <c r="BE209" i="25" s="1"/>
  <c r="BC209" i="25"/>
  <c r="BF209" i="25"/>
  <c r="AZ209" i="25"/>
  <c r="AR209" i="25"/>
  <c r="AS209" i="25" s="1"/>
  <c r="AP209" i="25"/>
  <c r="AQ209" i="25" s="1"/>
  <c r="G209" i="25"/>
  <c r="BW208" i="25"/>
  <c r="BV208" i="25"/>
  <c r="BU208" i="25"/>
  <c r="BT208" i="25"/>
  <c r="BS208" i="25"/>
  <c r="BR208" i="25"/>
  <c r="BQ208" i="25"/>
  <c r="BP208" i="25"/>
  <c r="BH208" i="25"/>
  <c r="BG208" i="25"/>
  <c r="BD208" i="25"/>
  <c r="BE208" i="25" s="1"/>
  <c r="BC208" i="25"/>
  <c r="BF208" i="25"/>
  <c r="AZ208" i="25"/>
  <c r="AR208" i="25"/>
  <c r="AP208" i="25"/>
  <c r="AQ208" i="25" s="1"/>
  <c r="G208" i="25"/>
  <c r="BW207" i="25"/>
  <c r="BV207" i="25"/>
  <c r="BU207" i="25"/>
  <c r="BT207" i="25"/>
  <c r="BS207" i="25"/>
  <c r="BR207" i="25"/>
  <c r="BQ207" i="25"/>
  <c r="BP207" i="25"/>
  <c r="BH207" i="25"/>
  <c r="BG207" i="25"/>
  <c r="BD207" i="25"/>
  <c r="BE207" i="25" s="1"/>
  <c r="BC207" i="25"/>
  <c r="BF207" i="25"/>
  <c r="AZ207" i="25"/>
  <c r="AR207" i="25"/>
  <c r="AP207" i="25"/>
  <c r="AQ207" i="25" s="1"/>
  <c r="G207" i="25"/>
  <c r="BW206" i="25"/>
  <c r="BV206" i="25"/>
  <c r="BU206" i="25"/>
  <c r="BT206" i="25"/>
  <c r="BS206" i="25"/>
  <c r="BR206" i="25"/>
  <c r="BQ206" i="25"/>
  <c r="BP206" i="25"/>
  <c r="BH206" i="25"/>
  <c r="BG206" i="25"/>
  <c r="BD206" i="25"/>
  <c r="BE206" i="25" s="1"/>
  <c r="BC206" i="25"/>
  <c r="BF206" i="25"/>
  <c r="AZ206" i="25"/>
  <c r="AR206" i="25"/>
  <c r="AP206" i="25"/>
  <c r="AQ206" i="25" s="1"/>
  <c r="G206" i="25"/>
  <c r="BW205" i="25"/>
  <c r="BV205" i="25"/>
  <c r="BU205" i="25"/>
  <c r="BT205" i="25"/>
  <c r="BS205" i="25"/>
  <c r="BR205" i="25"/>
  <c r="BQ205" i="25"/>
  <c r="BP205" i="25"/>
  <c r="BH205" i="25"/>
  <c r="BG205" i="25"/>
  <c r="BD205" i="25"/>
  <c r="BE205" i="25" s="1"/>
  <c r="BC205" i="25"/>
  <c r="BF205" i="25"/>
  <c r="AZ205" i="25"/>
  <c r="AR205" i="25"/>
  <c r="AS205" i="25" s="1"/>
  <c r="AP205" i="25"/>
  <c r="AQ205" i="25" s="1"/>
  <c r="G205" i="25"/>
  <c r="BW204" i="25"/>
  <c r="BV204" i="25"/>
  <c r="BU204" i="25"/>
  <c r="BT204" i="25"/>
  <c r="BS204" i="25"/>
  <c r="BR204" i="25"/>
  <c r="BQ204" i="25"/>
  <c r="BP204" i="25"/>
  <c r="BH204" i="25"/>
  <c r="BG204" i="25"/>
  <c r="BD204" i="25"/>
  <c r="BE204" i="25" s="1"/>
  <c r="BC204" i="25"/>
  <c r="BB204" i="25"/>
  <c r="AZ204" i="25"/>
  <c r="AR204" i="25"/>
  <c r="AP204" i="25"/>
  <c r="AQ204" i="25" s="1"/>
  <c r="G204" i="25"/>
  <c r="BW203" i="25"/>
  <c r="BV203" i="25"/>
  <c r="BU203" i="25"/>
  <c r="BT203" i="25"/>
  <c r="BS203" i="25"/>
  <c r="BR203" i="25"/>
  <c r="BQ203" i="25"/>
  <c r="BP203" i="25"/>
  <c r="BH203" i="25"/>
  <c r="BG203" i="25"/>
  <c r="BD203" i="25"/>
  <c r="BE203" i="25" s="1"/>
  <c r="BC203" i="25"/>
  <c r="BF203" i="25"/>
  <c r="AZ203" i="25"/>
  <c r="AR203" i="25"/>
  <c r="AP203" i="25"/>
  <c r="AQ203" i="25" s="1"/>
  <c r="G203" i="25"/>
  <c r="BW202" i="25"/>
  <c r="BV202" i="25"/>
  <c r="BU202" i="25"/>
  <c r="BT202" i="25"/>
  <c r="BS202" i="25"/>
  <c r="BR202" i="25"/>
  <c r="BQ202" i="25"/>
  <c r="BP202" i="25"/>
  <c r="BH202" i="25"/>
  <c r="BG202" i="25"/>
  <c r="BD202" i="25"/>
  <c r="BE202" i="25" s="1"/>
  <c r="BC202" i="25"/>
  <c r="BF202" i="25"/>
  <c r="AZ202" i="25"/>
  <c r="AR202" i="25"/>
  <c r="AP202" i="25"/>
  <c r="AQ202" i="25" s="1"/>
  <c r="G202" i="25"/>
  <c r="BW201" i="25"/>
  <c r="BV201" i="25"/>
  <c r="BU201" i="25"/>
  <c r="BT201" i="25"/>
  <c r="BS201" i="25"/>
  <c r="BR201" i="25"/>
  <c r="BQ201" i="25"/>
  <c r="BP201" i="25"/>
  <c r="BH201" i="25"/>
  <c r="BG201" i="25"/>
  <c r="BD201" i="25"/>
  <c r="BE201" i="25" s="1"/>
  <c r="BC201" i="25"/>
  <c r="BF201" i="25"/>
  <c r="AZ201" i="25"/>
  <c r="AR201" i="25"/>
  <c r="AS201" i="25" s="1"/>
  <c r="AP201" i="25"/>
  <c r="AQ201" i="25" s="1"/>
  <c r="G201" i="25"/>
  <c r="BW200" i="25"/>
  <c r="BV200" i="25"/>
  <c r="BU200" i="25"/>
  <c r="BT200" i="25"/>
  <c r="BS200" i="25"/>
  <c r="BR200" i="25"/>
  <c r="BQ200" i="25"/>
  <c r="BP200" i="25"/>
  <c r="BH200" i="25"/>
  <c r="BG200" i="25"/>
  <c r="BD200" i="25"/>
  <c r="BE200" i="25" s="1"/>
  <c r="BC200" i="25"/>
  <c r="BB200" i="25"/>
  <c r="AZ200" i="25"/>
  <c r="AR200" i="25"/>
  <c r="AS200" i="25" s="1"/>
  <c r="AP200" i="25"/>
  <c r="AQ200" i="25" s="1"/>
  <c r="G200" i="25"/>
  <c r="BW199" i="25"/>
  <c r="BV199" i="25"/>
  <c r="BU199" i="25"/>
  <c r="BT199" i="25"/>
  <c r="BS199" i="25"/>
  <c r="BR199" i="25"/>
  <c r="BQ199" i="25"/>
  <c r="BP199" i="25"/>
  <c r="BH199" i="25"/>
  <c r="BG199" i="25"/>
  <c r="BD199" i="25"/>
  <c r="BE199" i="25" s="1"/>
  <c r="BC199" i="25"/>
  <c r="BF199" i="25"/>
  <c r="AZ199" i="25"/>
  <c r="AR199" i="25"/>
  <c r="AP199" i="25"/>
  <c r="AQ199" i="25" s="1"/>
  <c r="G199" i="25"/>
  <c r="BW198" i="25"/>
  <c r="BV198" i="25"/>
  <c r="BU198" i="25"/>
  <c r="BT198" i="25"/>
  <c r="BS198" i="25"/>
  <c r="BR198" i="25"/>
  <c r="BQ198" i="25"/>
  <c r="BP198" i="25"/>
  <c r="BH198" i="25"/>
  <c r="BG198" i="25"/>
  <c r="BD198" i="25"/>
  <c r="BE198" i="25" s="1"/>
  <c r="BC198" i="25"/>
  <c r="BF198" i="25"/>
  <c r="AZ198" i="25"/>
  <c r="AR198" i="25"/>
  <c r="AP198" i="25"/>
  <c r="AQ198" i="25" s="1"/>
  <c r="G198" i="25"/>
  <c r="BW197" i="25"/>
  <c r="BV197" i="25"/>
  <c r="BU197" i="25"/>
  <c r="BT197" i="25"/>
  <c r="BS197" i="25"/>
  <c r="BR197" i="25"/>
  <c r="BQ197" i="25"/>
  <c r="BP197" i="25"/>
  <c r="BH197" i="25"/>
  <c r="BG197" i="25"/>
  <c r="BD197" i="25"/>
  <c r="BE197" i="25" s="1"/>
  <c r="BC197" i="25"/>
  <c r="BB197" i="25"/>
  <c r="AZ197" i="25"/>
  <c r="AR197" i="25"/>
  <c r="AP197" i="25"/>
  <c r="AQ197" i="25" s="1"/>
  <c r="G197" i="25"/>
  <c r="BW196" i="25"/>
  <c r="BV196" i="25"/>
  <c r="BU196" i="25"/>
  <c r="BT196" i="25"/>
  <c r="BS196" i="25"/>
  <c r="BR196" i="25"/>
  <c r="BQ196" i="25"/>
  <c r="BP196" i="25"/>
  <c r="BH196" i="25"/>
  <c r="BG196" i="25"/>
  <c r="BD196" i="25"/>
  <c r="BE196" i="25" s="1"/>
  <c r="BC196" i="25"/>
  <c r="BB196" i="25"/>
  <c r="AZ196" i="25"/>
  <c r="AR196" i="25"/>
  <c r="AP196" i="25"/>
  <c r="AQ196" i="25" s="1"/>
  <c r="G196" i="25"/>
  <c r="BW195" i="25"/>
  <c r="BV195" i="25"/>
  <c r="BU195" i="25"/>
  <c r="BT195" i="25"/>
  <c r="BS195" i="25"/>
  <c r="BR195" i="25"/>
  <c r="BQ195" i="25"/>
  <c r="BP195" i="25"/>
  <c r="BH195" i="25"/>
  <c r="BG195" i="25"/>
  <c r="BD195" i="25"/>
  <c r="BE195" i="25" s="1"/>
  <c r="BC195" i="25"/>
  <c r="BF195" i="25"/>
  <c r="AZ195" i="25"/>
  <c r="AR195" i="25"/>
  <c r="AP195" i="25"/>
  <c r="AQ195" i="25" s="1"/>
  <c r="G195" i="25"/>
  <c r="BW194" i="25"/>
  <c r="BV194" i="25"/>
  <c r="BU194" i="25"/>
  <c r="BT194" i="25"/>
  <c r="BS194" i="25"/>
  <c r="BR194" i="25"/>
  <c r="BQ194" i="25"/>
  <c r="BP194" i="25"/>
  <c r="BH194" i="25"/>
  <c r="BG194" i="25"/>
  <c r="BD194" i="25"/>
  <c r="BE194" i="25" s="1"/>
  <c r="BC194" i="25"/>
  <c r="BF194" i="25"/>
  <c r="AZ194" i="25"/>
  <c r="AR194" i="25"/>
  <c r="AP194" i="25"/>
  <c r="AQ194" i="25" s="1"/>
  <c r="G194" i="25"/>
  <c r="BW193" i="25"/>
  <c r="BV193" i="25"/>
  <c r="BU193" i="25"/>
  <c r="BT193" i="25"/>
  <c r="BS193" i="25"/>
  <c r="BR193" i="25"/>
  <c r="BQ193" i="25"/>
  <c r="BP193" i="25"/>
  <c r="BH193" i="25"/>
  <c r="BG193" i="25"/>
  <c r="BD193" i="25"/>
  <c r="BE193" i="25" s="1"/>
  <c r="BC193" i="25"/>
  <c r="BB193" i="25"/>
  <c r="AZ193" i="25"/>
  <c r="AR193" i="25"/>
  <c r="AS193" i="25" s="1"/>
  <c r="AP193" i="25"/>
  <c r="AQ193" i="25" s="1"/>
  <c r="G193" i="25"/>
  <c r="BW192" i="25"/>
  <c r="BV192" i="25"/>
  <c r="BU192" i="25"/>
  <c r="BT192" i="25"/>
  <c r="BS192" i="25"/>
  <c r="BR192" i="25"/>
  <c r="BQ192" i="25"/>
  <c r="BP192" i="25"/>
  <c r="BH192" i="25"/>
  <c r="BG192" i="25"/>
  <c r="BD192" i="25"/>
  <c r="BE192" i="25" s="1"/>
  <c r="BC192" i="25"/>
  <c r="BB192" i="25"/>
  <c r="AZ192" i="25"/>
  <c r="AR192" i="25"/>
  <c r="AS192" i="25" s="1"/>
  <c r="AP192" i="25"/>
  <c r="AQ192" i="25" s="1"/>
  <c r="G192" i="25"/>
  <c r="BW191" i="25"/>
  <c r="BV191" i="25"/>
  <c r="BU191" i="25"/>
  <c r="BT191" i="25"/>
  <c r="BS191" i="25"/>
  <c r="BR191" i="25"/>
  <c r="BQ191" i="25"/>
  <c r="BP191" i="25"/>
  <c r="BH191" i="25"/>
  <c r="BG191" i="25"/>
  <c r="BD191" i="25"/>
  <c r="BE191" i="25" s="1"/>
  <c r="BC191" i="25"/>
  <c r="BF191" i="25"/>
  <c r="AZ191" i="25"/>
  <c r="AR191" i="25"/>
  <c r="AP191" i="25"/>
  <c r="AQ191" i="25" s="1"/>
  <c r="G191" i="25"/>
  <c r="BW190" i="25"/>
  <c r="BV190" i="25"/>
  <c r="BU190" i="25"/>
  <c r="BT190" i="25"/>
  <c r="BS190" i="25"/>
  <c r="BR190" i="25"/>
  <c r="BQ190" i="25"/>
  <c r="BP190" i="25"/>
  <c r="BH190" i="25"/>
  <c r="BG190" i="25"/>
  <c r="BD190" i="25"/>
  <c r="BE190" i="25" s="1"/>
  <c r="BC190" i="25"/>
  <c r="BF190" i="25"/>
  <c r="AZ190" i="25"/>
  <c r="AR190" i="25"/>
  <c r="AP190" i="25"/>
  <c r="AQ190" i="25" s="1"/>
  <c r="G190" i="25"/>
  <c r="BW189" i="25"/>
  <c r="BV189" i="25"/>
  <c r="BU189" i="25"/>
  <c r="BT189" i="25"/>
  <c r="BS189" i="25"/>
  <c r="BR189" i="25"/>
  <c r="BQ189" i="25"/>
  <c r="BP189" i="25"/>
  <c r="BH189" i="25"/>
  <c r="BG189" i="25"/>
  <c r="BD189" i="25"/>
  <c r="BE189" i="25" s="1"/>
  <c r="BC189" i="25"/>
  <c r="BB189" i="25"/>
  <c r="AZ189" i="25"/>
  <c r="AR189" i="25"/>
  <c r="AP189" i="25"/>
  <c r="AQ189" i="25" s="1"/>
  <c r="G189" i="25"/>
  <c r="BW188" i="25"/>
  <c r="BV188" i="25"/>
  <c r="BU188" i="25"/>
  <c r="BT188" i="25"/>
  <c r="BS188" i="25"/>
  <c r="BR188" i="25"/>
  <c r="BQ188" i="25"/>
  <c r="BP188" i="25"/>
  <c r="BH188" i="25"/>
  <c r="BG188" i="25"/>
  <c r="BD188" i="25"/>
  <c r="BE188" i="25" s="1"/>
  <c r="BC188" i="25"/>
  <c r="BB188" i="25"/>
  <c r="AZ188" i="25"/>
  <c r="AR188" i="25"/>
  <c r="AP188" i="25"/>
  <c r="AQ188" i="25" s="1"/>
  <c r="G188" i="25"/>
  <c r="BW187" i="25"/>
  <c r="BV187" i="25"/>
  <c r="BU187" i="25"/>
  <c r="BT187" i="25"/>
  <c r="BS187" i="25"/>
  <c r="BR187" i="25"/>
  <c r="BQ187" i="25"/>
  <c r="BP187" i="25"/>
  <c r="BH187" i="25"/>
  <c r="BG187" i="25"/>
  <c r="BD187" i="25"/>
  <c r="BE187" i="25" s="1"/>
  <c r="BC187" i="25"/>
  <c r="AZ187" i="25"/>
  <c r="AR187" i="25"/>
  <c r="AP187" i="25"/>
  <c r="AQ187" i="25" s="1"/>
  <c r="G187" i="25"/>
  <c r="BW186" i="25"/>
  <c r="BV186" i="25"/>
  <c r="BU186" i="25"/>
  <c r="BT186" i="25"/>
  <c r="BS186" i="25"/>
  <c r="BR186" i="25"/>
  <c r="BQ186" i="25"/>
  <c r="BP186" i="25"/>
  <c r="BH186" i="25"/>
  <c r="BG186" i="25"/>
  <c r="BI186" i="25" s="1"/>
  <c r="BD186" i="25"/>
  <c r="BE186" i="25" s="1"/>
  <c r="BC186" i="25"/>
  <c r="BF186" i="25"/>
  <c r="AZ186" i="25"/>
  <c r="AR186" i="25"/>
  <c r="AP186" i="25"/>
  <c r="AQ186" i="25" s="1"/>
  <c r="G186" i="25"/>
  <c r="BW185" i="25"/>
  <c r="BV185" i="25"/>
  <c r="BU185" i="25"/>
  <c r="BT185" i="25"/>
  <c r="BS185" i="25"/>
  <c r="BR185" i="25"/>
  <c r="BQ185" i="25"/>
  <c r="BP185" i="25"/>
  <c r="BH185" i="25"/>
  <c r="BG185" i="25"/>
  <c r="BD185" i="25"/>
  <c r="BE185" i="25" s="1"/>
  <c r="BC185" i="25"/>
  <c r="BF185" i="25"/>
  <c r="AZ185" i="25"/>
  <c r="AR185" i="25"/>
  <c r="AP185" i="25"/>
  <c r="AQ185" i="25" s="1"/>
  <c r="G185" i="25"/>
  <c r="BW184" i="25"/>
  <c r="BV184" i="25"/>
  <c r="BU184" i="25"/>
  <c r="BT184" i="25"/>
  <c r="BS184" i="25"/>
  <c r="BR184" i="25"/>
  <c r="BQ184" i="25"/>
  <c r="BP184" i="25"/>
  <c r="BH184" i="25"/>
  <c r="BG184" i="25"/>
  <c r="BD184" i="25"/>
  <c r="BE184" i="25" s="1"/>
  <c r="BC184" i="25"/>
  <c r="BF184" i="25"/>
  <c r="AZ184" i="25"/>
  <c r="AR184" i="25"/>
  <c r="AS184" i="25" s="1"/>
  <c r="AP184" i="25"/>
  <c r="G184" i="25"/>
  <c r="BW183" i="25"/>
  <c r="BV183" i="25"/>
  <c r="BU183" i="25"/>
  <c r="BT183" i="25"/>
  <c r="BS183" i="25"/>
  <c r="BR183" i="25"/>
  <c r="BQ183" i="25"/>
  <c r="BP183" i="25"/>
  <c r="BH183" i="25"/>
  <c r="BG183" i="25"/>
  <c r="BD183" i="25"/>
  <c r="BE183" i="25" s="1"/>
  <c r="BC183" i="25"/>
  <c r="AZ183" i="25"/>
  <c r="AR183" i="25"/>
  <c r="AP183" i="25"/>
  <c r="AQ183" i="25" s="1"/>
  <c r="G183" i="25"/>
  <c r="BW182" i="25"/>
  <c r="BV182" i="25"/>
  <c r="BU182" i="25"/>
  <c r="BT182" i="25"/>
  <c r="BS182" i="25"/>
  <c r="BR182" i="25"/>
  <c r="BQ182" i="25"/>
  <c r="BP182" i="25"/>
  <c r="BH182" i="25"/>
  <c r="BG182" i="25"/>
  <c r="BI182" i="25" s="1"/>
  <c r="BD182" i="25"/>
  <c r="BE182" i="25" s="1"/>
  <c r="BC182" i="25"/>
  <c r="BF182" i="25"/>
  <c r="AZ182" i="25"/>
  <c r="AR182" i="25"/>
  <c r="AP182" i="25"/>
  <c r="AQ182" i="25" s="1"/>
  <c r="G182" i="25"/>
  <c r="BW181" i="25"/>
  <c r="BV181" i="25"/>
  <c r="BU181" i="25"/>
  <c r="BT181" i="25"/>
  <c r="BS181" i="25"/>
  <c r="BR181" i="25"/>
  <c r="BQ181" i="25"/>
  <c r="BP181" i="25"/>
  <c r="BH181" i="25"/>
  <c r="BG181" i="25"/>
  <c r="BD181" i="25"/>
  <c r="BE181" i="25" s="1"/>
  <c r="BC181" i="25"/>
  <c r="BB181" i="25"/>
  <c r="AZ181" i="25"/>
  <c r="AR181" i="25"/>
  <c r="AS181" i="25" s="1"/>
  <c r="AP181" i="25"/>
  <c r="AQ181" i="25" s="1"/>
  <c r="G181" i="25"/>
  <c r="BW180" i="25"/>
  <c r="BV180" i="25"/>
  <c r="BU180" i="25"/>
  <c r="BT180" i="25"/>
  <c r="BS180" i="25"/>
  <c r="BR180" i="25"/>
  <c r="BQ180" i="25"/>
  <c r="BP180" i="25"/>
  <c r="BH180" i="25"/>
  <c r="BG180" i="25"/>
  <c r="BD180" i="25"/>
  <c r="BE180" i="25" s="1"/>
  <c r="BC180" i="25"/>
  <c r="BB180" i="25"/>
  <c r="AZ180" i="25"/>
  <c r="AR180" i="25"/>
  <c r="AS180" i="25" s="1"/>
  <c r="AP180" i="25"/>
  <c r="G180" i="25"/>
  <c r="BW179" i="25"/>
  <c r="BV179" i="25"/>
  <c r="BU179" i="25"/>
  <c r="BT179" i="25"/>
  <c r="BS179" i="25"/>
  <c r="BR179" i="25"/>
  <c r="BQ179" i="25"/>
  <c r="BP179" i="25"/>
  <c r="BH179" i="25"/>
  <c r="BG179" i="25"/>
  <c r="BI179" i="25" s="1"/>
  <c r="BD179" i="25"/>
  <c r="BE179" i="25" s="1"/>
  <c r="BC179" i="25"/>
  <c r="BB179" i="25"/>
  <c r="AZ179" i="25"/>
  <c r="AR179" i="25"/>
  <c r="AS179" i="25" s="1"/>
  <c r="AP179" i="25"/>
  <c r="G179" i="25"/>
  <c r="BW178" i="25"/>
  <c r="BV178" i="25"/>
  <c r="BU178" i="25"/>
  <c r="BT178" i="25"/>
  <c r="BS178" i="25"/>
  <c r="BR178" i="25"/>
  <c r="BQ178" i="25"/>
  <c r="BP178" i="25"/>
  <c r="BH178" i="25"/>
  <c r="BG178" i="25"/>
  <c r="BI178" i="25" s="1"/>
  <c r="BD178" i="25"/>
  <c r="BE178" i="25" s="1"/>
  <c r="BC178" i="25"/>
  <c r="BF178" i="25"/>
  <c r="AZ178" i="25"/>
  <c r="AR178" i="25"/>
  <c r="AS178" i="25" s="1"/>
  <c r="AP178" i="25"/>
  <c r="AQ178" i="25" s="1"/>
  <c r="G178" i="25"/>
  <c r="BW177" i="25"/>
  <c r="BV177" i="25"/>
  <c r="BU177" i="25"/>
  <c r="BT177" i="25"/>
  <c r="BS177" i="25"/>
  <c r="BR177" i="25"/>
  <c r="BQ177" i="25"/>
  <c r="BP177" i="25"/>
  <c r="BH177" i="25"/>
  <c r="BG177" i="25"/>
  <c r="BI177" i="25" s="1"/>
  <c r="BD177" i="25"/>
  <c r="BE177" i="25" s="1"/>
  <c r="BC177" i="25"/>
  <c r="BF177" i="25"/>
  <c r="AZ177" i="25"/>
  <c r="AR177" i="25"/>
  <c r="AS177" i="25" s="1"/>
  <c r="AP177" i="25"/>
  <c r="G177" i="25"/>
  <c r="BW176" i="25"/>
  <c r="BV176" i="25"/>
  <c r="BU176" i="25"/>
  <c r="BT176" i="25"/>
  <c r="BS176" i="25"/>
  <c r="BR176" i="25"/>
  <c r="BQ176" i="25"/>
  <c r="BP176" i="25"/>
  <c r="BH176" i="25"/>
  <c r="BG176" i="25"/>
  <c r="BI176" i="25" s="1"/>
  <c r="BD176" i="25"/>
  <c r="BE176" i="25" s="1"/>
  <c r="BC176" i="25"/>
  <c r="BB176" i="25"/>
  <c r="AZ176" i="25"/>
  <c r="AR176" i="25"/>
  <c r="AS176" i="25" s="1"/>
  <c r="AP176" i="25"/>
  <c r="AQ176" i="25" s="1"/>
  <c r="G176" i="25"/>
  <c r="BW175" i="25"/>
  <c r="BV175" i="25"/>
  <c r="BU175" i="25"/>
  <c r="BT175" i="25"/>
  <c r="BS175" i="25"/>
  <c r="BR175" i="25"/>
  <c r="BQ175" i="25"/>
  <c r="BP175" i="25"/>
  <c r="BH175" i="25"/>
  <c r="BG175" i="25"/>
  <c r="BI175" i="25" s="1"/>
  <c r="BD175" i="25"/>
  <c r="BE175" i="25" s="1"/>
  <c r="BC175" i="25"/>
  <c r="BF175" i="25"/>
  <c r="AZ175" i="25"/>
  <c r="AR175" i="25"/>
  <c r="AS175" i="25" s="1"/>
  <c r="AP175" i="25"/>
  <c r="G175" i="25"/>
  <c r="BW174" i="25"/>
  <c r="BV174" i="25"/>
  <c r="BU174" i="25"/>
  <c r="BT174" i="25"/>
  <c r="BS174" i="25"/>
  <c r="BR174" i="25"/>
  <c r="BQ174" i="25"/>
  <c r="BP174" i="25"/>
  <c r="BH174" i="25"/>
  <c r="BG174" i="25"/>
  <c r="BI174" i="25" s="1"/>
  <c r="BD174" i="25"/>
  <c r="BE174" i="25" s="1"/>
  <c r="BC174" i="25"/>
  <c r="BB174" i="25"/>
  <c r="AZ174" i="25"/>
  <c r="AR174" i="25"/>
  <c r="AS174" i="25" s="1"/>
  <c r="AP174" i="25"/>
  <c r="G174" i="25"/>
  <c r="BW173" i="25"/>
  <c r="BV173" i="25"/>
  <c r="BU173" i="25"/>
  <c r="BT173" i="25"/>
  <c r="BS173" i="25"/>
  <c r="BR173" i="25"/>
  <c r="BQ173" i="25"/>
  <c r="BP173" i="25"/>
  <c r="BH173" i="25"/>
  <c r="BG173" i="25"/>
  <c r="BD173" i="25"/>
  <c r="BE173" i="25" s="1"/>
  <c r="BC173" i="25"/>
  <c r="AZ173" i="25"/>
  <c r="AR173" i="25"/>
  <c r="AP173" i="25"/>
  <c r="AQ173" i="25" s="1"/>
  <c r="G173" i="25"/>
  <c r="BW172" i="25"/>
  <c r="BV172" i="25"/>
  <c r="BU172" i="25"/>
  <c r="BT172" i="25"/>
  <c r="BS172" i="25"/>
  <c r="BR172" i="25"/>
  <c r="BQ172" i="25"/>
  <c r="BP172" i="25"/>
  <c r="BH172" i="25"/>
  <c r="BG172" i="25"/>
  <c r="BI172" i="25" s="1"/>
  <c r="BD172" i="25"/>
  <c r="BE172" i="25" s="1"/>
  <c r="BC172" i="25"/>
  <c r="BF172" i="25"/>
  <c r="AZ172" i="25"/>
  <c r="AR172" i="25"/>
  <c r="AS172" i="25" s="1"/>
  <c r="AP172" i="25"/>
  <c r="G172" i="25"/>
  <c r="BW171" i="25"/>
  <c r="BV171" i="25"/>
  <c r="BU171" i="25"/>
  <c r="BT171" i="25"/>
  <c r="BS171" i="25"/>
  <c r="BR171" i="25"/>
  <c r="BQ171" i="25"/>
  <c r="BP171" i="25"/>
  <c r="BH171" i="25"/>
  <c r="BG171" i="25"/>
  <c r="BD171" i="25"/>
  <c r="BE171" i="25" s="1"/>
  <c r="BC171" i="25"/>
  <c r="BB171" i="25"/>
  <c r="AZ171" i="25"/>
  <c r="AR171" i="25"/>
  <c r="AS171" i="25" s="1"/>
  <c r="AP171" i="25"/>
  <c r="AQ171" i="25" s="1"/>
  <c r="G171" i="25"/>
  <c r="BW170" i="25"/>
  <c r="BV170" i="25"/>
  <c r="BU170" i="25"/>
  <c r="BT170" i="25"/>
  <c r="BS170" i="25"/>
  <c r="BR170" i="25"/>
  <c r="BQ170" i="25"/>
  <c r="BP170" i="25"/>
  <c r="BH170" i="25"/>
  <c r="BG170" i="25"/>
  <c r="BD170" i="25"/>
  <c r="BE170" i="25" s="1"/>
  <c r="BC170" i="25"/>
  <c r="BF170" i="25"/>
  <c r="AZ170" i="25"/>
  <c r="AR170" i="25"/>
  <c r="AS170" i="25" s="1"/>
  <c r="AP170" i="25"/>
  <c r="AQ170" i="25" s="1"/>
  <c r="G170" i="25"/>
  <c r="BW169" i="25"/>
  <c r="BV169" i="25"/>
  <c r="BU169" i="25"/>
  <c r="BT169" i="25"/>
  <c r="BS169" i="25"/>
  <c r="BR169" i="25"/>
  <c r="BQ169" i="25"/>
  <c r="BP169" i="25"/>
  <c r="BH169" i="25"/>
  <c r="BG169" i="25"/>
  <c r="BD169" i="25"/>
  <c r="BE169" i="25" s="1"/>
  <c r="BC169" i="25"/>
  <c r="AZ169" i="25"/>
  <c r="AR169" i="25"/>
  <c r="AP169" i="25"/>
  <c r="AQ169" i="25" s="1"/>
  <c r="G169" i="25"/>
  <c r="BW168" i="25"/>
  <c r="BV168" i="25"/>
  <c r="BU168" i="25"/>
  <c r="BT168" i="25"/>
  <c r="BS168" i="25"/>
  <c r="BR168" i="25"/>
  <c r="BQ168" i="25"/>
  <c r="BP168" i="25"/>
  <c r="BH168" i="25"/>
  <c r="BG168" i="25"/>
  <c r="BI168" i="25" s="1"/>
  <c r="BD168" i="25"/>
  <c r="BE168" i="25" s="1"/>
  <c r="BC168" i="25"/>
  <c r="BF168" i="25"/>
  <c r="AZ168" i="25"/>
  <c r="AR168" i="25"/>
  <c r="AS168" i="25" s="1"/>
  <c r="AP168" i="25"/>
  <c r="G168" i="25"/>
  <c r="BW167" i="25"/>
  <c r="BV167" i="25"/>
  <c r="BU167" i="25"/>
  <c r="BT167" i="25"/>
  <c r="BS167" i="25"/>
  <c r="BR167" i="25"/>
  <c r="BQ167" i="25"/>
  <c r="BP167" i="25"/>
  <c r="BH167" i="25"/>
  <c r="BG167" i="25"/>
  <c r="BD167" i="25"/>
  <c r="BE167" i="25" s="1"/>
  <c r="BC167" i="25"/>
  <c r="BF167" i="25"/>
  <c r="AZ167" i="25"/>
  <c r="AR167" i="25"/>
  <c r="AP167" i="25"/>
  <c r="AQ167" i="25" s="1"/>
  <c r="G167" i="25"/>
  <c r="BW166" i="25"/>
  <c r="BV166" i="25"/>
  <c r="BU166" i="25"/>
  <c r="BT166" i="25"/>
  <c r="BS166" i="25"/>
  <c r="BR166" i="25"/>
  <c r="BQ166" i="25"/>
  <c r="BP166" i="25"/>
  <c r="BH166" i="25"/>
  <c r="BG166" i="25"/>
  <c r="BD166" i="25"/>
  <c r="BE166" i="25" s="1"/>
  <c r="BC166" i="25"/>
  <c r="BF166" i="25"/>
  <c r="AZ166" i="25"/>
  <c r="AR166" i="25"/>
  <c r="AS166" i="25" s="1"/>
  <c r="AP166" i="25"/>
  <c r="G166" i="25"/>
  <c r="BW165" i="25"/>
  <c r="BV165" i="25"/>
  <c r="BU165" i="25"/>
  <c r="BT165" i="25"/>
  <c r="BS165" i="25"/>
  <c r="BR165" i="25"/>
  <c r="BQ165" i="25"/>
  <c r="BP165" i="25"/>
  <c r="BH165" i="25"/>
  <c r="BG165" i="25"/>
  <c r="BD165" i="25"/>
  <c r="BE165" i="25" s="1"/>
  <c r="BC165" i="25"/>
  <c r="AZ165" i="25"/>
  <c r="AR165" i="25"/>
  <c r="AP165" i="25"/>
  <c r="AQ165" i="25" s="1"/>
  <c r="G165" i="25"/>
  <c r="BW164" i="25"/>
  <c r="BV164" i="25"/>
  <c r="BU164" i="25"/>
  <c r="BT164" i="25"/>
  <c r="BS164" i="25"/>
  <c r="BR164" i="25"/>
  <c r="BQ164" i="25"/>
  <c r="BP164" i="25"/>
  <c r="BH164" i="25"/>
  <c r="BG164" i="25"/>
  <c r="BI164" i="25" s="1"/>
  <c r="BD164" i="25"/>
  <c r="BE164" i="25" s="1"/>
  <c r="BC164" i="25"/>
  <c r="BB164" i="25"/>
  <c r="AZ164" i="25"/>
  <c r="AR164" i="25"/>
  <c r="AS164" i="25" s="1"/>
  <c r="AP164" i="25"/>
  <c r="G164" i="25"/>
  <c r="BW163" i="25"/>
  <c r="BV163" i="25"/>
  <c r="BU163" i="25"/>
  <c r="BT163" i="25"/>
  <c r="BS163" i="25"/>
  <c r="BR163" i="25"/>
  <c r="BQ163" i="25"/>
  <c r="BP163" i="25"/>
  <c r="BH163" i="25"/>
  <c r="BG163" i="25"/>
  <c r="BD163" i="25"/>
  <c r="BE163" i="25" s="1"/>
  <c r="BC163" i="25"/>
  <c r="BF163" i="25"/>
  <c r="AZ163" i="25"/>
  <c r="AR163" i="25"/>
  <c r="AP163" i="25"/>
  <c r="AQ163" i="25" s="1"/>
  <c r="G163" i="25"/>
  <c r="BW162" i="25"/>
  <c r="BV162" i="25"/>
  <c r="BU162" i="25"/>
  <c r="BT162" i="25"/>
  <c r="BS162" i="25"/>
  <c r="BR162" i="25"/>
  <c r="BQ162" i="25"/>
  <c r="BP162" i="25"/>
  <c r="BH162" i="25"/>
  <c r="BG162" i="25"/>
  <c r="BD162" i="25"/>
  <c r="BE162" i="25" s="1"/>
  <c r="BC162" i="25"/>
  <c r="BF162" i="25"/>
  <c r="AZ162" i="25"/>
  <c r="AR162" i="25"/>
  <c r="AS162" i="25" s="1"/>
  <c r="AP162" i="25"/>
  <c r="AQ162" i="25" s="1"/>
  <c r="G162" i="25"/>
  <c r="BW161" i="25"/>
  <c r="BV161" i="25"/>
  <c r="BU161" i="25"/>
  <c r="BT161" i="25"/>
  <c r="BS161" i="25"/>
  <c r="BR161" i="25"/>
  <c r="BQ161" i="25"/>
  <c r="BP161" i="25"/>
  <c r="BH161" i="25"/>
  <c r="BG161" i="25"/>
  <c r="BD161" i="25"/>
  <c r="BE161" i="25" s="1"/>
  <c r="BC161" i="25"/>
  <c r="AZ161" i="25"/>
  <c r="AR161" i="25"/>
  <c r="AP161" i="25"/>
  <c r="AQ161" i="25" s="1"/>
  <c r="G161" i="25"/>
  <c r="BW160" i="25"/>
  <c r="BV160" i="25"/>
  <c r="BU160" i="25"/>
  <c r="BT160" i="25"/>
  <c r="BS160" i="25"/>
  <c r="BR160" i="25"/>
  <c r="BQ160" i="25"/>
  <c r="BP160" i="25"/>
  <c r="BH160" i="25"/>
  <c r="BG160" i="25"/>
  <c r="BI160" i="25" s="1"/>
  <c r="BD160" i="25"/>
  <c r="BE160" i="25" s="1"/>
  <c r="BC160" i="25"/>
  <c r="BF160" i="25"/>
  <c r="AZ160" i="25"/>
  <c r="AR160" i="25"/>
  <c r="AP160" i="25"/>
  <c r="AQ160" i="25" s="1"/>
  <c r="G160" i="25"/>
  <c r="BW159" i="25"/>
  <c r="BV159" i="25"/>
  <c r="BU159" i="25"/>
  <c r="BT159" i="25"/>
  <c r="BS159" i="25"/>
  <c r="BR159" i="25"/>
  <c r="BQ159" i="25"/>
  <c r="BP159" i="25"/>
  <c r="BH159" i="25"/>
  <c r="BG159" i="25"/>
  <c r="BI159" i="25" s="1"/>
  <c r="BD159" i="25"/>
  <c r="BE159" i="25" s="1"/>
  <c r="BC159" i="25"/>
  <c r="BF159" i="25"/>
  <c r="AZ159" i="25"/>
  <c r="AR159" i="25"/>
  <c r="AP159" i="25"/>
  <c r="AQ159" i="25" s="1"/>
  <c r="G159" i="25"/>
  <c r="BW158" i="25"/>
  <c r="BV158" i="25"/>
  <c r="BU158" i="25"/>
  <c r="BT158" i="25"/>
  <c r="BS158" i="25"/>
  <c r="BR158" i="25"/>
  <c r="BQ158" i="25"/>
  <c r="BP158" i="25"/>
  <c r="BH158" i="25"/>
  <c r="BG158" i="25"/>
  <c r="BI158" i="25" s="1"/>
  <c r="BD158" i="25"/>
  <c r="BE158" i="25" s="1"/>
  <c r="BC158" i="25"/>
  <c r="BB158" i="25"/>
  <c r="AZ158" i="25"/>
  <c r="AR158" i="25"/>
  <c r="AP158" i="25"/>
  <c r="AQ158" i="25" s="1"/>
  <c r="G158" i="25"/>
  <c r="BW157" i="25"/>
  <c r="BS157" i="25"/>
  <c r="BR157" i="25"/>
  <c r="BQ157" i="25"/>
  <c r="BP157" i="25"/>
  <c r="BH157" i="25"/>
  <c r="BG157" i="25"/>
  <c r="BI157" i="25" s="1"/>
  <c r="BD157" i="25"/>
  <c r="BE157" i="25" s="1"/>
  <c r="BC157" i="25"/>
  <c r="BF157" i="25"/>
  <c r="AZ157" i="25"/>
  <c r="AR157" i="25"/>
  <c r="AP157" i="25"/>
  <c r="AQ157" i="25" s="1"/>
  <c r="G157" i="25"/>
  <c r="BW156" i="25"/>
  <c r="BV156" i="25"/>
  <c r="BU156" i="25"/>
  <c r="BT156" i="25"/>
  <c r="BS156" i="25"/>
  <c r="BR156" i="25"/>
  <c r="BQ156" i="25"/>
  <c r="BP156" i="25"/>
  <c r="BH156" i="25"/>
  <c r="BG156" i="25"/>
  <c r="BI156" i="25" s="1"/>
  <c r="BD156" i="25"/>
  <c r="BE156" i="25" s="1"/>
  <c r="BC156" i="25"/>
  <c r="BB156" i="25"/>
  <c r="AZ156" i="25"/>
  <c r="AR156" i="25"/>
  <c r="AP156" i="25"/>
  <c r="AQ156" i="25" s="1"/>
  <c r="G156" i="25"/>
  <c r="BW155" i="25"/>
  <c r="BV155" i="25"/>
  <c r="BU155" i="25"/>
  <c r="BT155" i="25"/>
  <c r="BS155" i="25"/>
  <c r="BR155" i="25"/>
  <c r="BQ155" i="25"/>
  <c r="BP155" i="25"/>
  <c r="BH155" i="25"/>
  <c r="BG155" i="25"/>
  <c r="BI155" i="25" s="1"/>
  <c r="BD155" i="25"/>
  <c r="BE155" i="25" s="1"/>
  <c r="BC155" i="25"/>
  <c r="BF155" i="25"/>
  <c r="AZ155" i="25"/>
  <c r="AR155" i="25"/>
  <c r="AP155" i="25"/>
  <c r="AQ155" i="25" s="1"/>
  <c r="G155" i="25"/>
  <c r="BW154" i="25"/>
  <c r="BV154" i="25"/>
  <c r="BU154" i="25"/>
  <c r="BT154" i="25"/>
  <c r="BS154" i="25"/>
  <c r="BR154" i="25"/>
  <c r="BQ154" i="25"/>
  <c r="BP154" i="25"/>
  <c r="BH154" i="25"/>
  <c r="BG154" i="25"/>
  <c r="BI154" i="25" s="1"/>
  <c r="BD154" i="25"/>
  <c r="BE154" i="25" s="1"/>
  <c r="BC154" i="25"/>
  <c r="BB154" i="25"/>
  <c r="AZ154" i="25"/>
  <c r="AR154" i="25"/>
  <c r="AP154" i="25"/>
  <c r="AQ154" i="25" s="1"/>
  <c r="G154" i="25"/>
  <c r="BW153" i="25"/>
  <c r="BV153" i="25"/>
  <c r="BU153" i="25"/>
  <c r="BT153" i="25"/>
  <c r="BS153" i="25"/>
  <c r="BR153" i="25"/>
  <c r="BQ153" i="25"/>
  <c r="BP153" i="25"/>
  <c r="BH153" i="25"/>
  <c r="BG153" i="25"/>
  <c r="BI153" i="25" s="1"/>
  <c r="BD153" i="25"/>
  <c r="BE153" i="25" s="1"/>
  <c r="BC153" i="25"/>
  <c r="BF153" i="25"/>
  <c r="AZ153" i="25"/>
  <c r="AR153" i="25"/>
  <c r="AP153" i="25"/>
  <c r="AQ153" i="25" s="1"/>
  <c r="G153" i="25"/>
  <c r="BW152" i="25"/>
  <c r="BV152" i="25"/>
  <c r="BU152" i="25"/>
  <c r="BT152" i="25"/>
  <c r="BS152" i="25"/>
  <c r="BR152" i="25"/>
  <c r="BQ152" i="25"/>
  <c r="BP152" i="25"/>
  <c r="BH152" i="25"/>
  <c r="BG152" i="25"/>
  <c r="BI152" i="25" s="1"/>
  <c r="BD152" i="25"/>
  <c r="BE152" i="25" s="1"/>
  <c r="BC152" i="25"/>
  <c r="BF152" i="25"/>
  <c r="AZ152" i="25"/>
  <c r="AR152" i="25"/>
  <c r="AP152" i="25"/>
  <c r="AQ152" i="25" s="1"/>
  <c r="G152" i="25"/>
  <c r="BW151" i="25"/>
  <c r="BV151" i="25"/>
  <c r="BU151" i="25"/>
  <c r="BT151" i="25"/>
  <c r="BS151" i="25"/>
  <c r="BR151" i="25"/>
  <c r="BQ151" i="25"/>
  <c r="BP151" i="25"/>
  <c r="BH151" i="25"/>
  <c r="BG151" i="25"/>
  <c r="BI151" i="25" s="1"/>
  <c r="BD151" i="25"/>
  <c r="BE151" i="25" s="1"/>
  <c r="BC151" i="25"/>
  <c r="BB151" i="25"/>
  <c r="AZ151" i="25"/>
  <c r="AR151" i="25"/>
  <c r="AP151" i="25"/>
  <c r="AQ151" i="25" s="1"/>
  <c r="G151" i="25"/>
  <c r="BW150" i="25"/>
  <c r="BV150" i="25"/>
  <c r="BU150" i="25"/>
  <c r="BT150" i="25"/>
  <c r="BS150" i="25"/>
  <c r="BR150" i="25"/>
  <c r="BQ150" i="25"/>
  <c r="BP150" i="25"/>
  <c r="BH150" i="25"/>
  <c r="BG150" i="25"/>
  <c r="BI150" i="25" s="1"/>
  <c r="BD150" i="25"/>
  <c r="BE150" i="25" s="1"/>
  <c r="BC150" i="25"/>
  <c r="BB150" i="25"/>
  <c r="AZ150" i="25"/>
  <c r="AR150" i="25"/>
  <c r="AP150" i="25"/>
  <c r="AQ150" i="25" s="1"/>
  <c r="G150" i="25"/>
  <c r="BW149" i="25"/>
  <c r="BV149" i="25"/>
  <c r="BU149" i="25"/>
  <c r="BT149" i="25"/>
  <c r="BS149" i="25"/>
  <c r="BR149" i="25"/>
  <c r="BQ149" i="25"/>
  <c r="BP149" i="25"/>
  <c r="BH149" i="25"/>
  <c r="BG149" i="25"/>
  <c r="BI149" i="25" s="1"/>
  <c r="BD149" i="25"/>
  <c r="BE149" i="25" s="1"/>
  <c r="BC149" i="25"/>
  <c r="BF149" i="25"/>
  <c r="AZ149" i="25"/>
  <c r="AR149" i="25"/>
  <c r="AP149" i="25"/>
  <c r="AQ149" i="25" s="1"/>
  <c r="G149" i="25"/>
  <c r="BW148" i="25"/>
  <c r="BV148" i="25"/>
  <c r="BU148" i="25"/>
  <c r="BT148" i="25"/>
  <c r="BS148" i="25"/>
  <c r="BR148" i="25"/>
  <c r="BQ148" i="25"/>
  <c r="BP148" i="25"/>
  <c r="BH148" i="25"/>
  <c r="BG148" i="25"/>
  <c r="BI148" i="25" s="1"/>
  <c r="BD148" i="25"/>
  <c r="BE148" i="25" s="1"/>
  <c r="BC148" i="25"/>
  <c r="BF148" i="25"/>
  <c r="AZ148" i="25"/>
  <c r="AR148" i="25"/>
  <c r="AP148" i="25"/>
  <c r="AQ148" i="25" s="1"/>
  <c r="G148" i="25"/>
  <c r="BW147" i="25"/>
  <c r="BV147" i="25"/>
  <c r="BU147" i="25"/>
  <c r="BT147" i="25"/>
  <c r="BS147" i="25"/>
  <c r="BR147" i="25"/>
  <c r="BQ147" i="25"/>
  <c r="BP147" i="25"/>
  <c r="BH147" i="25"/>
  <c r="BG147" i="25"/>
  <c r="BI147" i="25" s="1"/>
  <c r="BD147" i="25"/>
  <c r="BE147" i="25" s="1"/>
  <c r="BC147" i="25"/>
  <c r="BF147" i="25"/>
  <c r="AZ147" i="25"/>
  <c r="AR147" i="25"/>
  <c r="AS147" i="25" s="1"/>
  <c r="AP147" i="25"/>
  <c r="AQ147" i="25" s="1"/>
  <c r="G147" i="25"/>
  <c r="BW146" i="25"/>
  <c r="BV146" i="25"/>
  <c r="BU146" i="25"/>
  <c r="BT146" i="25"/>
  <c r="BS146" i="25"/>
  <c r="BR146" i="25"/>
  <c r="BQ146" i="25"/>
  <c r="BP146" i="25"/>
  <c r="BH146" i="25"/>
  <c r="BG146" i="25"/>
  <c r="BI146" i="25" s="1"/>
  <c r="BD146" i="25"/>
  <c r="BE146" i="25" s="1"/>
  <c r="BC146" i="25"/>
  <c r="BF146" i="25"/>
  <c r="AZ146" i="25"/>
  <c r="AR146" i="25"/>
  <c r="AS146" i="25" s="1"/>
  <c r="AP146" i="25"/>
  <c r="AQ146" i="25" s="1"/>
  <c r="G146" i="25"/>
  <c r="BW145" i="25"/>
  <c r="BV145" i="25"/>
  <c r="BU145" i="25"/>
  <c r="BT145" i="25"/>
  <c r="BS145" i="25"/>
  <c r="BR145" i="25"/>
  <c r="BQ145" i="25"/>
  <c r="BP145" i="25"/>
  <c r="BH145" i="25"/>
  <c r="BG145" i="25"/>
  <c r="BI145" i="25" s="1"/>
  <c r="BD145" i="25"/>
  <c r="BE145" i="25" s="1"/>
  <c r="BC145" i="25"/>
  <c r="BF145" i="25"/>
  <c r="AZ145" i="25"/>
  <c r="AR145" i="25"/>
  <c r="AS145" i="25" s="1"/>
  <c r="AP145" i="25"/>
  <c r="AQ145" i="25" s="1"/>
  <c r="G145" i="25"/>
  <c r="BW144" i="25"/>
  <c r="BV144" i="25"/>
  <c r="BU144" i="25"/>
  <c r="BT144" i="25"/>
  <c r="BS144" i="25"/>
  <c r="BR144" i="25"/>
  <c r="BQ144" i="25"/>
  <c r="BP144" i="25"/>
  <c r="BH144" i="25"/>
  <c r="BG144" i="25"/>
  <c r="BI144" i="25" s="1"/>
  <c r="BD144" i="25"/>
  <c r="BE144" i="25" s="1"/>
  <c r="BC144" i="25"/>
  <c r="BF144" i="25"/>
  <c r="AZ144" i="25"/>
  <c r="AR144" i="25"/>
  <c r="AS144" i="25" s="1"/>
  <c r="AP144" i="25"/>
  <c r="G144" i="25"/>
  <c r="BW143" i="25"/>
  <c r="BV143" i="25"/>
  <c r="BU143" i="25"/>
  <c r="BT143" i="25"/>
  <c r="BS143" i="25"/>
  <c r="BR143" i="25"/>
  <c r="BQ143" i="25"/>
  <c r="BP143" i="25"/>
  <c r="BH143" i="25"/>
  <c r="BG143" i="25"/>
  <c r="BI143" i="25" s="1"/>
  <c r="BD143" i="25"/>
  <c r="BE143" i="25" s="1"/>
  <c r="BC143" i="25"/>
  <c r="BF143" i="25"/>
  <c r="AZ143" i="25"/>
  <c r="AR143" i="25"/>
  <c r="AS143" i="25" s="1"/>
  <c r="AP143" i="25"/>
  <c r="G143" i="25"/>
  <c r="BW142" i="25"/>
  <c r="BV142" i="25"/>
  <c r="BU142" i="25"/>
  <c r="BT142" i="25"/>
  <c r="BS142" i="25"/>
  <c r="BR142" i="25"/>
  <c r="BQ142" i="25"/>
  <c r="BP142" i="25"/>
  <c r="BH142" i="25"/>
  <c r="BG142" i="25"/>
  <c r="BI142" i="25" s="1"/>
  <c r="BD142" i="25"/>
  <c r="BE142" i="25" s="1"/>
  <c r="BC142" i="25"/>
  <c r="BB142" i="25"/>
  <c r="AZ142" i="25"/>
  <c r="AR142" i="25"/>
  <c r="AS142" i="25" s="1"/>
  <c r="AP142" i="25"/>
  <c r="AQ142" i="25" s="1"/>
  <c r="G142" i="25"/>
  <c r="BW141" i="25"/>
  <c r="BV141" i="25"/>
  <c r="BU141" i="25"/>
  <c r="BT141" i="25"/>
  <c r="BS141" i="25"/>
  <c r="BR141" i="25"/>
  <c r="BQ141" i="25"/>
  <c r="BP141" i="25"/>
  <c r="BH141" i="25"/>
  <c r="BG141" i="25"/>
  <c r="BI141" i="25" s="1"/>
  <c r="BD141" i="25"/>
  <c r="BE141" i="25" s="1"/>
  <c r="BC141" i="25"/>
  <c r="BF141" i="25"/>
  <c r="AZ141" i="25"/>
  <c r="AR141" i="25"/>
  <c r="AS141" i="25" s="1"/>
  <c r="AP141" i="25"/>
  <c r="G141" i="25"/>
  <c r="BW140" i="25"/>
  <c r="BV140" i="25"/>
  <c r="BU140" i="25"/>
  <c r="BT140" i="25"/>
  <c r="BS140" i="25"/>
  <c r="BR140" i="25"/>
  <c r="BQ140" i="25"/>
  <c r="BP140" i="25"/>
  <c r="BH140" i="25"/>
  <c r="BG140" i="25"/>
  <c r="BD140" i="25"/>
  <c r="BE140" i="25" s="1"/>
  <c r="BC140" i="25"/>
  <c r="BF140" i="25"/>
  <c r="AZ140" i="25"/>
  <c r="AR140" i="25"/>
  <c r="AP140" i="25"/>
  <c r="AQ140" i="25" s="1"/>
  <c r="G140" i="25"/>
  <c r="BW139" i="25"/>
  <c r="BV139" i="25"/>
  <c r="BU139" i="25"/>
  <c r="BT139" i="25"/>
  <c r="BS139" i="25"/>
  <c r="BR139" i="25"/>
  <c r="BQ139" i="25"/>
  <c r="BP139" i="25"/>
  <c r="BH139" i="25"/>
  <c r="BG139" i="25"/>
  <c r="BD139" i="25"/>
  <c r="BE139" i="25" s="1"/>
  <c r="BC139" i="25"/>
  <c r="BB139" i="25"/>
  <c r="AZ139" i="25"/>
  <c r="AR139" i="25"/>
  <c r="AS139" i="25" s="1"/>
  <c r="AP139" i="25"/>
  <c r="G139" i="25"/>
  <c r="BW138" i="25"/>
  <c r="BV138" i="25"/>
  <c r="BU138" i="25"/>
  <c r="BT138" i="25"/>
  <c r="BS138" i="25"/>
  <c r="BR138" i="25"/>
  <c r="BQ138" i="25"/>
  <c r="BP138" i="25"/>
  <c r="BH138" i="25"/>
  <c r="BG138" i="25"/>
  <c r="BD138" i="25"/>
  <c r="BE138" i="25" s="1"/>
  <c r="BC138" i="25"/>
  <c r="BB138" i="25"/>
  <c r="AZ138" i="25"/>
  <c r="AR138" i="25"/>
  <c r="AP138" i="25"/>
  <c r="AQ138" i="25" s="1"/>
  <c r="G138" i="25"/>
  <c r="BW137" i="25"/>
  <c r="BV137" i="25"/>
  <c r="BU137" i="25"/>
  <c r="BT137" i="25"/>
  <c r="BS137" i="25"/>
  <c r="BR137" i="25"/>
  <c r="BQ137" i="25"/>
  <c r="BP137" i="25"/>
  <c r="BH137" i="25"/>
  <c r="BG137" i="25"/>
  <c r="BD137" i="25"/>
  <c r="BE137" i="25" s="1"/>
  <c r="BC137" i="25"/>
  <c r="BF137" i="25"/>
  <c r="AZ137" i="25"/>
  <c r="AR137" i="25"/>
  <c r="AS137" i="25" s="1"/>
  <c r="AP137" i="25"/>
  <c r="G137" i="25"/>
  <c r="BW136" i="25"/>
  <c r="BV136" i="25"/>
  <c r="BU136" i="25"/>
  <c r="BT136" i="25"/>
  <c r="BS136" i="25"/>
  <c r="BR136" i="25"/>
  <c r="BQ136" i="25"/>
  <c r="BP136" i="25"/>
  <c r="BH136" i="25"/>
  <c r="BG136" i="25"/>
  <c r="BD136" i="25"/>
  <c r="BE136" i="25" s="1"/>
  <c r="BC136" i="25"/>
  <c r="BF136" i="25"/>
  <c r="AZ136" i="25"/>
  <c r="AR136" i="25"/>
  <c r="AS136" i="25" s="1"/>
  <c r="AP136" i="25"/>
  <c r="AQ136" i="25" s="1"/>
  <c r="G136" i="25"/>
  <c r="BW135" i="25"/>
  <c r="BV135" i="25"/>
  <c r="BU135" i="25"/>
  <c r="BT135" i="25"/>
  <c r="BS135" i="25"/>
  <c r="BR135" i="25"/>
  <c r="BQ135" i="25"/>
  <c r="BP135" i="25"/>
  <c r="BH135" i="25"/>
  <c r="BG135" i="25"/>
  <c r="BD135" i="25"/>
  <c r="BE135" i="25" s="1"/>
  <c r="BC135" i="25"/>
  <c r="BB135" i="25"/>
  <c r="AZ135" i="25"/>
  <c r="AR135" i="25"/>
  <c r="AP135" i="25"/>
  <c r="AQ135" i="25" s="1"/>
  <c r="G135" i="25"/>
  <c r="BW134" i="25"/>
  <c r="BV134" i="25"/>
  <c r="BU134" i="25"/>
  <c r="BT134" i="25"/>
  <c r="BS134" i="25"/>
  <c r="BR134" i="25"/>
  <c r="BQ134" i="25"/>
  <c r="BP134" i="25"/>
  <c r="BH134" i="25"/>
  <c r="BG134" i="25"/>
  <c r="BD134" i="25"/>
  <c r="BE134" i="25" s="1"/>
  <c r="BC134" i="25"/>
  <c r="BF134" i="25"/>
  <c r="AZ134" i="25"/>
  <c r="AR134" i="25"/>
  <c r="AP134" i="25"/>
  <c r="AQ134" i="25" s="1"/>
  <c r="G134" i="25"/>
  <c r="BW133" i="25"/>
  <c r="BV133" i="25"/>
  <c r="BU133" i="25"/>
  <c r="BT133" i="25"/>
  <c r="BS133" i="25"/>
  <c r="BR133" i="25"/>
  <c r="BQ133" i="25"/>
  <c r="BP133" i="25"/>
  <c r="BH133" i="25"/>
  <c r="BG133" i="25"/>
  <c r="BD133" i="25"/>
  <c r="BE133" i="25" s="1"/>
  <c r="BC133" i="25"/>
  <c r="BB133" i="25"/>
  <c r="AZ133" i="25"/>
  <c r="AR133" i="25"/>
  <c r="AS133" i="25" s="1"/>
  <c r="AP133" i="25"/>
  <c r="G133" i="25"/>
  <c r="BW132" i="25"/>
  <c r="BV132" i="25"/>
  <c r="BU132" i="25"/>
  <c r="BT132" i="25"/>
  <c r="BS132" i="25"/>
  <c r="BR132" i="25"/>
  <c r="BQ132" i="25"/>
  <c r="BP132" i="25"/>
  <c r="BH132" i="25"/>
  <c r="BG132" i="25"/>
  <c r="BD132" i="25"/>
  <c r="BE132" i="25" s="1"/>
  <c r="BC132" i="25"/>
  <c r="BF132" i="25"/>
  <c r="AZ132" i="25"/>
  <c r="AR132" i="25"/>
  <c r="AS132" i="25" s="1"/>
  <c r="AP132" i="25"/>
  <c r="AQ132" i="25" s="1"/>
  <c r="G132" i="25"/>
  <c r="BW131" i="25"/>
  <c r="BV131" i="25"/>
  <c r="BU131" i="25"/>
  <c r="BT131" i="25"/>
  <c r="BS131" i="25"/>
  <c r="BR131" i="25"/>
  <c r="BQ131" i="25"/>
  <c r="BP131" i="25"/>
  <c r="BH131" i="25"/>
  <c r="BG131" i="25"/>
  <c r="BD131" i="25"/>
  <c r="BE131" i="25" s="1"/>
  <c r="BC131" i="25"/>
  <c r="BF131" i="25"/>
  <c r="AZ131" i="25"/>
  <c r="AR131" i="25"/>
  <c r="AS131" i="25" s="1"/>
  <c r="AP131" i="25"/>
  <c r="AQ131" i="25" s="1"/>
  <c r="G131" i="25"/>
  <c r="BW130" i="25"/>
  <c r="BV130" i="25"/>
  <c r="BU130" i="25"/>
  <c r="BT130" i="25"/>
  <c r="BS130" i="25"/>
  <c r="BR130" i="25"/>
  <c r="BQ130" i="25"/>
  <c r="BP130" i="25"/>
  <c r="BH130" i="25"/>
  <c r="BG130" i="25"/>
  <c r="BD130" i="25"/>
  <c r="BE130" i="25" s="1"/>
  <c r="BC130" i="25"/>
  <c r="BF130" i="25"/>
  <c r="AZ130" i="25"/>
  <c r="AR130" i="25"/>
  <c r="AP130" i="25"/>
  <c r="AQ130" i="25" s="1"/>
  <c r="G130" i="25"/>
  <c r="BW129" i="25"/>
  <c r="BV129" i="25"/>
  <c r="BU129" i="25"/>
  <c r="BT129" i="25"/>
  <c r="BS129" i="25"/>
  <c r="BR129" i="25"/>
  <c r="BQ129" i="25"/>
  <c r="BP129" i="25"/>
  <c r="BH129" i="25"/>
  <c r="BG129" i="25"/>
  <c r="BD129" i="25"/>
  <c r="BE129" i="25" s="1"/>
  <c r="BC129" i="25"/>
  <c r="BB129" i="25"/>
  <c r="AZ129" i="25"/>
  <c r="AR129" i="25"/>
  <c r="AS129" i="25" s="1"/>
  <c r="AP129" i="25"/>
  <c r="G129" i="25"/>
  <c r="BW128" i="25"/>
  <c r="BV128" i="25"/>
  <c r="BU128" i="25"/>
  <c r="BT128" i="25"/>
  <c r="BS128" i="25"/>
  <c r="BR128" i="25"/>
  <c r="BQ128" i="25"/>
  <c r="BP128" i="25"/>
  <c r="BH128" i="25"/>
  <c r="BG128" i="25"/>
  <c r="BD128" i="25"/>
  <c r="BE128" i="25" s="1"/>
  <c r="BC128" i="25"/>
  <c r="BF128" i="25"/>
  <c r="AZ128" i="25"/>
  <c r="AR128" i="25"/>
  <c r="AS128" i="25" s="1"/>
  <c r="AP128" i="25"/>
  <c r="AQ128" i="25" s="1"/>
  <c r="G128" i="25"/>
  <c r="BW127" i="25"/>
  <c r="BV127" i="25"/>
  <c r="BU127" i="25"/>
  <c r="BT127" i="25"/>
  <c r="BS127" i="25"/>
  <c r="BR127" i="25"/>
  <c r="BQ127" i="25"/>
  <c r="BP127" i="25"/>
  <c r="BH127" i="25"/>
  <c r="BG127" i="25"/>
  <c r="BD127" i="25"/>
  <c r="BE127" i="25" s="1"/>
  <c r="BC127" i="25"/>
  <c r="BF127" i="25"/>
  <c r="AZ127" i="25"/>
  <c r="AR127" i="25"/>
  <c r="AP127" i="25"/>
  <c r="AQ127" i="25" s="1"/>
  <c r="G127" i="25"/>
  <c r="BW126" i="25"/>
  <c r="BV126" i="25"/>
  <c r="BU126" i="25"/>
  <c r="BT126" i="25"/>
  <c r="BS126" i="25"/>
  <c r="BR126" i="25"/>
  <c r="BQ126" i="25"/>
  <c r="BP126" i="25"/>
  <c r="BH126" i="25"/>
  <c r="BG126" i="25"/>
  <c r="BD126" i="25"/>
  <c r="BE126" i="25" s="1"/>
  <c r="BC126" i="25"/>
  <c r="BF126" i="25"/>
  <c r="AZ126" i="25"/>
  <c r="AR126" i="25"/>
  <c r="AP126" i="25"/>
  <c r="AQ126" i="25" s="1"/>
  <c r="G126" i="25"/>
  <c r="BW125" i="25"/>
  <c r="BV125" i="25"/>
  <c r="BU125" i="25"/>
  <c r="BT125" i="25"/>
  <c r="BS125" i="25"/>
  <c r="BR125" i="25"/>
  <c r="BQ125" i="25"/>
  <c r="BP125" i="25"/>
  <c r="BH125" i="25"/>
  <c r="BG125" i="25"/>
  <c r="BD125" i="25"/>
  <c r="BE125" i="25" s="1"/>
  <c r="BC125" i="25"/>
  <c r="BF125" i="25"/>
  <c r="AZ125" i="25"/>
  <c r="AR125" i="25"/>
  <c r="AP125" i="25"/>
  <c r="AQ125" i="25" s="1"/>
  <c r="G125" i="25"/>
  <c r="BW124" i="25"/>
  <c r="BV124" i="25"/>
  <c r="BU124" i="25"/>
  <c r="BT124" i="25"/>
  <c r="BS124" i="25"/>
  <c r="BR124" i="25"/>
  <c r="BQ124" i="25"/>
  <c r="BP124" i="25"/>
  <c r="BH124" i="25"/>
  <c r="BG124" i="25"/>
  <c r="BD124" i="25"/>
  <c r="BE124" i="25" s="1"/>
  <c r="BC124" i="25"/>
  <c r="BF124" i="25"/>
  <c r="AZ124" i="25"/>
  <c r="AR124" i="25"/>
  <c r="AS124" i="25" s="1"/>
  <c r="AP124" i="25"/>
  <c r="AQ124" i="25" s="1"/>
  <c r="G124" i="25"/>
  <c r="BW123" i="25"/>
  <c r="BV123" i="25"/>
  <c r="BU123" i="25"/>
  <c r="BT123" i="25"/>
  <c r="BS123" i="25"/>
  <c r="BR123" i="25"/>
  <c r="BQ123" i="25"/>
  <c r="BP123" i="25"/>
  <c r="BH123" i="25"/>
  <c r="BG123" i="25"/>
  <c r="BD123" i="25"/>
  <c r="BE123" i="25" s="1"/>
  <c r="BC123" i="25"/>
  <c r="BF123" i="25"/>
  <c r="AZ123" i="25"/>
  <c r="AR123" i="25"/>
  <c r="AP123" i="25"/>
  <c r="AQ123" i="25" s="1"/>
  <c r="G123" i="25"/>
  <c r="BW122" i="25"/>
  <c r="BV122" i="25"/>
  <c r="BU122" i="25"/>
  <c r="BT122" i="25"/>
  <c r="BS122" i="25"/>
  <c r="BR122" i="25"/>
  <c r="BQ122" i="25"/>
  <c r="BP122" i="25"/>
  <c r="BH122" i="25"/>
  <c r="BG122" i="25"/>
  <c r="BD122" i="25"/>
  <c r="BE122" i="25" s="1"/>
  <c r="BC122" i="25"/>
  <c r="AZ122" i="25"/>
  <c r="AR122" i="25"/>
  <c r="AS122" i="25" s="1"/>
  <c r="AP122" i="25"/>
  <c r="AQ122" i="25" s="1"/>
  <c r="G122" i="25"/>
  <c r="BW121" i="25"/>
  <c r="BV121" i="25"/>
  <c r="BU121" i="25"/>
  <c r="BT121" i="25"/>
  <c r="BS121" i="25"/>
  <c r="BR121" i="25"/>
  <c r="BQ121" i="25"/>
  <c r="BP121" i="25"/>
  <c r="BH121" i="25"/>
  <c r="BG121" i="25"/>
  <c r="BD121" i="25"/>
  <c r="BE121" i="25" s="1"/>
  <c r="BC121" i="25"/>
  <c r="AZ121" i="25"/>
  <c r="AR121" i="25"/>
  <c r="AP121" i="25"/>
  <c r="AQ121" i="25" s="1"/>
  <c r="G121" i="25"/>
  <c r="BW120" i="25"/>
  <c r="BV120" i="25"/>
  <c r="BU120" i="25"/>
  <c r="BT120" i="25"/>
  <c r="BS120" i="25"/>
  <c r="BR120" i="25"/>
  <c r="BQ120" i="25"/>
  <c r="BP120" i="25"/>
  <c r="BH120" i="25"/>
  <c r="BG120" i="25"/>
  <c r="BD120" i="25"/>
  <c r="BE120" i="25" s="1"/>
  <c r="BC120" i="25"/>
  <c r="AZ120" i="25"/>
  <c r="AR120" i="25"/>
  <c r="AP120" i="25"/>
  <c r="AQ120" i="25" s="1"/>
  <c r="G120" i="25"/>
  <c r="BW119" i="25"/>
  <c r="BV119" i="25"/>
  <c r="BU119" i="25"/>
  <c r="BT119" i="25"/>
  <c r="BS119" i="25"/>
  <c r="BR119" i="25"/>
  <c r="BQ119" i="25"/>
  <c r="BP119" i="25"/>
  <c r="BH119" i="25"/>
  <c r="BG119" i="25"/>
  <c r="BD119" i="25"/>
  <c r="BE119" i="25" s="1"/>
  <c r="BC119" i="25"/>
  <c r="AZ119" i="25"/>
  <c r="AR119" i="25"/>
  <c r="AP119" i="25"/>
  <c r="AQ119" i="25" s="1"/>
  <c r="G119" i="25"/>
  <c r="BW118" i="25"/>
  <c r="BV118" i="25"/>
  <c r="BU118" i="25"/>
  <c r="BT118" i="25"/>
  <c r="BS118" i="25"/>
  <c r="BR118" i="25"/>
  <c r="BQ118" i="25"/>
  <c r="BP118" i="25"/>
  <c r="BH118" i="25"/>
  <c r="BG118" i="25"/>
  <c r="BD118" i="25"/>
  <c r="BE118" i="25" s="1"/>
  <c r="BC118" i="25"/>
  <c r="AZ118" i="25"/>
  <c r="AR118" i="25"/>
  <c r="AP118" i="25"/>
  <c r="AQ118" i="25" s="1"/>
  <c r="G118" i="25"/>
  <c r="BW117" i="25"/>
  <c r="BV117" i="25"/>
  <c r="BU117" i="25"/>
  <c r="BT117" i="25"/>
  <c r="BS117" i="25"/>
  <c r="BR117" i="25"/>
  <c r="BQ117" i="25"/>
  <c r="BP117" i="25"/>
  <c r="BH117" i="25"/>
  <c r="BG117" i="25"/>
  <c r="BD117" i="25"/>
  <c r="BE117" i="25" s="1"/>
  <c r="BC117" i="25"/>
  <c r="AZ117" i="25"/>
  <c r="AR117" i="25"/>
  <c r="AS117" i="25" s="1"/>
  <c r="AP117" i="25"/>
  <c r="AQ117" i="25" s="1"/>
  <c r="G117" i="25"/>
  <c r="BW116" i="25"/>
  <c r="BV116" i="25"/>
  <c r="BU116" i="25"/>
  <c r="BT116" i="25"/>
  <c r="BS116" i="25"/>
  <c r="BR116" i="25"/>
  <c r="BQ116" i="25"/>
  <c r="BP116" i="25"/>
  <c r="BH116" i="25"/>
  <c r="BG116" i="25"/>
  <c r="BD116" i="25"/>
  <c r="BE116" i="25" s="1"/>
  <c r="BC116" i="25"/>
  <c r="AZ116" i="25"/>
  <c r="AR116" i="25"/>
  <c r="AP116" i="25"/>
  <c r="AQ116" i="25" s="1"/>
  <c r="G116" i="25"/>
  <c r="BW115" i="25"/>
  <c r="BV115" i="25"/>
  <c r="BU115" i="25"/>
  <c r="BT115" i="25"/>
  <c r="BS115" i="25"/>
  <c r="BR115" i="25"/>
  <c r="BQ115" i="25"/>
  <c r="BP115" i="25"/>
  <c r="BH115" i="25"/>
  <c r="BG115" i="25"/>
  <c r="BD115" i="25"/>
  <c r="BE115" i="25" s="1"/>
  <c r="BC115" i="25"/>
  <c r="AZ115" i="25"/>
  <c r="AR115" i="25"/>
  <c r="AS115" i="25" s="1"/>
  <c r="AP115" i="25"/>
  <c r="AQ115" i="25" s="1"/>
  <c r="G115" i="25"/>
  <c r="BW114" i="25"/>
  <c r="BV114" i="25"/>
  <c r="BU114" i="25"/>
  <c r="BT114" i="25"/>
  <c r="BS114" i="25"/>
  <c r="BR114" i="25"/>
  <c r="BQ114" i="25"/>
  <c r="BP114" i="25"/>
  <c r="BH114" i="25"/>
  <c r="BG114" i="25"/>
  <c r="BD114" i="25"/>
  <c r="BE114" i="25" s="1"/>
  <c r="BC114" i="25"/>
  <c r="AZ114" i="25"/>
  <c r="AR114" i="25"/>
  <c r="AP114" i="25"/>
  <c r="AQ114" i="25" s="1"/>
  <c r="G114" i="25"/>
  <c r="BW113" i="25"/>
  <c r="BV113" i="25"/>
  <c r="BU113" i="25"/>
  <c r="BT113" i="25"/>
  <c r="BS113" i="25"/>
  <c r="BR113" i="25"/>
  <c r="BQ113" i="25"/>
  <c r="BP113" i="25"/>
  <c r="BH113" i="25"/>
  <c r="BG113" i="25"/>
  <c r="BD113" i="25"/>
  <c r="BE113" i="25" s="1"/>
  <c r="BC113" i="25"/>
  <c r="BB113" i="25"/>
  <c r="AZ113" i="25"/>
  <c r="AR113" i="25"/>
  <c r="AP113" i="25"/>
  <c r="AQ113" i="25" s="1"/>
  <c r="G113" i="25"/>
  <c r="BW112" i="25"/>
  <c r="BV112" i="25"/>
  <c r="BU112" i="25"/>
  <c r="BT112" i="25"/>
  <c r="BS112" i="25"/>
  <c r="BR112" i="25"/>
  <c r="BQ112" i="25"/>
  <c r="BP112" i="25"/>
  <c r="BH112" i="25"/>
  <c r="BG112" i="25"/>
  <c r="BD112" i="25"/>
  <c r="BE112" i="25" s="1"/>
  <c r="BC112" i="25"/>
  <c r="BB112" i="25"/>
  <c r="AZ112" i="25"/>
  <c r="AR112" i="25"/>
  <c r="AP112" i="25"/>
  <c r="AQ112" i="25" s="1"/>
  <c r="G112" i="25"/>
  <c r="BW111" i="25"/>
  <c r="BV111" i="25"/>
  <c r="BU111" i="25"/>
  <c r="BT111" i="25"/>
  <c r="BS111" i="25"/>
  <c r="BR111" i="25"/>
  <c r="BQ111" i="25"/>
  <c r="BP111" i="25"/>
  <c r="BH111" i="25"/>
  <c r="BG111" i="25"/>
  <c r="BD111" i="25"/>
  <c r="BE111" i="25" s="1"/>
  <c r="BC111" i="25"/>
  <c r="BB111" i="25"/>
  <c r="AZ111" i="25"/>
  <c r="AR111" i="25"/>
  <c r="AS111" i="25" s="1"/>
  <c r="AP111" i="25"/>
  <c r="AQ111" i="25" s="1"/>
  <c r="G111" i="25"/>
  <c r="BW110" i="25"/>
  <c r="BV110" i="25"/>
  <c r="BU110" i="25"/>
  <c r="BT110" i="25"/>
  <c r="BS110" i="25"/>
  <c r="BR110" i="25"/>
  <c r="BQ110" i="25"/>
  <c r="BP110" i="25"/>
  <c r="BH110" i="25"/>
  <c r="BG110" i="25"/>
  <c r="BD110" i="25"/>
  <c r="BE110" i="25" s="1"/>
  <c r="BC110" i="25"/>
  <c r="BB110" i="25"/>
  <c r="AZ110" i="25"/>
  <c r="AR110" i="25"/>
  <c r="AP110" i="25"/>
  <c r="AQ110" i="25" s="1"/>
  <c r="G110" i="25"/>
  <c r="BW109" i="25"/>
  <c r="BV109" i="25"/>
  <c r="BU109" i="25"/>
  <c r="BT109" i="25"/>
  <c r="BS109" i="25"/>
  <c r="BR109" i="25"/>
  <c r="BQ109" i="25"/>
  <c r="BP109" i="25"/>
  <c r="BH109" i="25"/>
  <c r="BG109" i="25"/>
  <c r="BD109" i="25"/>
  <c r="BE109" i="25" s="1"/>
  <c r="BC109" i="25"/>
  <c r="BF109" i="25"/>
  <c r="AZ109" i="25"/>
  <c r="AR109" i="25"/>
  <c r="AP109" i="25"/>
  <c r="AQ109" i="25" s="1"/>
  <c r="G109" i="25"/>
  <c r="BW108" i="25"/>
  <c r="BV108" i="25"/>
  <c r="BU108" i="25"/>
  <c r="BT108" i="25"/>
  <c r="BS108" i="25"/>
  <c r="BR108" i="25"/>
  <c r="BQ108" i="25"/>
  <c r="BP108" i="25"/>
  <c r="BH108" i="25"/>
  <c r="BG108" i="25"/>
  <c r="BD108" i="25"/>
  <c r="BE108" i="25" s="1"/>
  <c r="BC108" i="25"/>
  <c r="BB108" i="25"/>
  <c r="AZ108" i="25"/>
  <c r="AR108" i="25"/>
  <c r="AP108" i="25"/>
  <c r="AQ108" i="25" s="1"/>
  <c r="G108" i="25"/>
  <c r="BW107" i="25"/>
  <c r="BV107" i="25"/>
  <c r="BU107" i="25"/>
  <c r="BT107" i="25"/>
  <c r="BS107" i="25"/>
  <c r="BR107" i="25"/>
  <c r="BQ107" i="25"/>
  <c r="BP107" i="25"/>
  <c r="BH107" i="25"/>
  <c r="BG107" i="25"/>
  <c r="BD107" i="25"/>
  <c r="BE107" i="25" s="1"/>
  <c r="BC107" i="25"/>
  <c r="BB107" i="25"/>
  <c r="AZ107" i="25"/>
  <c r="AR107" i="25"/>
  <c r="AS107" i="25" s="1"/>
  <c r="AP107" i="25"/>
  <c r="G107" i="25"/>
  <c r="BW106" i="25"/>
  <c r="BV106" i="25"/>
  <c r="BU106" i="25"/>
  <c r="BT106" i="25"/>
  <c r="BS106" i="25"/>
  <c r="BR106" i="25"/>
  <c r="BQ106" i="25"/>
  <c r="BP106" i="25"/>
  <c r="BH106" i="25"/>
  <c r="BG106" i="25"/>
  <c r="BI106" i="25" s="1"/>
  <c r="BD106" i="25"/>
  <c r="BE106" i="25" s="1"/>
  <c r="BC106" i="25"/>
  <c r="BB106" i="25"/>
  <c r="AZ106" i="25"/>
  <c r="AR106" i="25"/>
  <c r="AP106" i="25"/>
  <c r="AQ106" i="25" s="1"/>
  <c r="G106" i="25"/>
  <c r="BW105" i="25"/>
  <c r="BV105" i="25"/>
  <c r="BU105" i="25"/>
  <c r="BT105" i="25"/>
  <c r="BS105" i="25"/>
  <c r="BR105" i="25"/>
  <c r="BQ105" i="25"/>
  <c r="BP105" i="25"/>
  <c r="BH105" i="25"/>
  <c r="BG105" i="25"/>
  <c r="BD105" i="25"/>
  <c r="BE105" i="25" s="1"/>
  <c r="BC105" i="25"/>
  <c r="BF105" i="25"/>
  <c r="AZ105" i="25"/>
  <c r="AR105" i="25"/>
  <c r="AP105" i="25"/>
  <c r="AQ105" i="25" s="1"/>
  <c r="G105" i="25"/>
  <c r="BW104" i="25"/>
  <c r="BV104" i="25"/>
  <c r="BU104" i="25"/>
  <c r="BT104" i="25"/>
  <c r="BS104" i="25"/>
  <c r="BR104" i="25"/>
  <c r="BQ104" i="25"/>
  <c r="BP104" i="25"/>
  <c r="BH104" i="25"/>
  <c r="BG104" i="25"/>
  <c r="BD104" i="25"/>
  <c r="BE104" i="25" s="1"/>
  <c r="BC104" i="25"/>
  <c r="BF104" i="25"/>
  <c r="AZ104" i="25"/>
  <c r="AR104" i="25"/>
  <c r="AP104" i="25"/>
  <c r="AQ104" i="25" s="1"/>
  <c r="G104" i="25"/>
  <c r="BW103" i="25"/>
  <c r="BV103" i="25"/>
  <c r="BU103" i="25"/>
  <c r="BT103" i="25"/>
  <c r="BS103" i="25"/>
  <c r="BR103" i="25"/>
  <c r="BQ103" i="25"/>
  <c r="BP103" i="25"/>
  <c r="BH103" i="25"/>
  <c r="BG103" i="25"/>
  <c r="BD103" i="25"/>
  <c r="BE103" i="25" s="1"/>
  <c r="BC103" i="25"/>
  <c r="BB103" i="25"/>
  <c r="AZ103" i="25"/>
  <c r="AR103" i="25"/>
  <c r="AS103" i="25" s="1"/>
  <c r="AP103" i="25"/>
  <c r="G103" i="25"/>
  <c r="BW102" i="25"/>
  <c r="BV102" i="25"/>
  <c r="BU102" i="25"/>
  <c r="BT102" i="25"/>
  <c r="BS102" i="25"/>
  <c r="BR102" i="25"/>
  <c r="BQ102" i="25"/>
  <c r="BP102" i="25"/>
  <c r="BH102" i="25"/>
  <c r="BG102" i="25"/>
  <c r="BD102" i="25"/>
  <c r="BE102" i="25" s="1"/>
  <c r="BC102" i="25"/>
  <c r="BB102" i="25"/>
  <c r="AZ102" i="25"/>
  <c r="AR102" i="25"/>
  <c r="AP102" i="25"/>
  <c r="AQ102" i="25" s="1"/>
  <c r="G102" i="25"/>
  <c r="BW101" i="25"/>
  <c r="BV101" i="25"/>
  <c r="BU101" i="25"/>
  <c r="BT101" i="25"/>
  <c r="BS101" i="25"/>
  <c r="BR101" i="25"/>
  <c r="BQ101" i="25"/>
  <c r="BP101" i="25"/>
  <c r="BH101" i="25"/>
  <c r="BG101" i="25"/>
  <c r="BI101" i="25" s="1"/>
  <c r="BD101" i="25"/>
  <c r="BE101" i="25" s="1"/>
  <c r="BC101" i="25"/>
  <c r="AZ101" i="25"/>
  <c r="AR101" i="25"/>
  <c r="AS101" i="25" s="1"/>
  <c r="AP101" i="25"/>
  <c r="AQ101" i="25" s="1"/>
  <c r="G101" i="25"/>
  <c r="BW100" i="25"/>
  <c r="BV100" i="25"/>
  <c r="BU100" i="25"/>
  <c r="BT100" i="25"/>
  <c r="BS100" i="25"/>
  <c r="BR100" i="25"/>
  <c r="BQ100" i="25"/>
  <c r="BP100" i="25"/>
  <c r="BH100" i="25"/>
  <c r="BG100" i="25"/>
  <c r="BD100" i="25"/>
  <c r="BE100" i="25" s="1"/>
  <c r="BC100" i="25"/>
  <c r="AZ100" i="25"/>
  <c r="AR100" i="25"/>
  <c r="AP100" i="25"/>
  <c r="AQ100" i="25" s="1"/>
  <c r="G100" i="25"/>
  <c r="BW99" i="25"/>
  <c r="BV99" i="25"/>
  <c r="BU99" i="25"/>
  <c r="BT99" i="25"/>
  <c r="BS99" i="25"/>
  <c r="BR99" i="25"/>
  <c r="BQ99" i="25"/>
  <c r="BP99" i="25"/>
  <c r="BH99" i="25"/>
  <c r="BG99" i="25"/>
  <c r="BD99" i="25"/>
  <c r="BE99" i="25" s="1"/>
  <c r="BC99" i="25"/>
  <c r="AZ99" i="25"/>
  <c r="AR99" i="25"/>
  <c r="AS99" i="25" s="1"/>
  <c r="AP99" i="25"/>
  <c r="AQ99" i="25" s="1"/>
  <c r="G99" i="25"/>
  <c r="BW98" i="25"/>
  <c r="BV98" i="25"/>
  <c r="BU98" i="25"/>
  <c r="BT98" i="25"/>
  <c r="BS98" i="25"/>
  <c r="BR98" i="25"/>
  <c r="BQ98" i="25"/>
  <c r="BP98" i="25"/>
  <c r="BH98" i="25"/>
  <c r="BG98" i="25"/>
  <c r="BD98" i="25"/>
  <c r="BE98" i="25" s="1"/>
  <c r="BC98" i="25"/>
  <c r="BF98" i="25"/>
  <c r="AZ98" i="25"/>
  <c r="AR98" i="25"/>
  <c r="AS98" i="25" s="1"/>
  <c r="AP98" i="25"/>
  <c r="G98" i="25"/>
  <c r="BW97" i="25"/>
  <c r="BV97" i="25"/>
  <c r="BU97" i="25"/>
  <c r="BT97" i="25"/>
  <c r="BS97" i="25"/>
  <c r="BR97" i="25"/>
  <c r="BQ97" i="25"/>
  <c r="BP97" i="25"/>
  <c r="BH97" i="25"/>
  <c r="BG97" i="25"/>
  <c r="BD97" i="25"/>
  <c r="BE97" i="25" s="1"/>
  <c r="BC97" i="25"/>
  <c r="AZ97" i="25"/>
  <c r="AR97" i="25"/>
  <c r="AP97" i="25"/>
  <c r="AQ97" i="25" s="1"/>
  <c r="G97" i="25"/>
  <c r="BW96" i="25"/>
  <c r="BV96" i="25"/>
  <c r="BU96" i="25"/>
  <c r="BT96" i="25"/>
  <c r="BS96" i="25"/>
  <c r="BR96" i="25"/>
  <c r="BQ96" i="25"/>
  <c r="BP96" i="25"/>
  <c r="BH96" i="25"/>
  <c r="BG96" i="25"/>
  <c r="BD96" i="25"/>
  <c r="BE96" i="25" s="1"/>
  <c r="BC96" i="25"/>
  <c r="BB96" i="25"/>
  <c r="AZ96" i="25"/>
  <c r="AR96" i="25"/>
  <c r="AP96" i="25"/>
  <c r="AQ96" i="25" s="1"/>
  <c r="G96" i="25"/>
  <c r="BW95" i="25"/>
  <c r="BV95" i="25"/>
  <c r="BU95" i="25"/>
  <c r="BT95" i="25"/>
  <c r="BS95" i="25"/>
  <c r="BR95" i="25"/>
  <c r="BQ95" i="25"/>
  <c r="BP95" i="25"/>
  <c r="BH95" i="25"/>
  <c r="BG95" i="25"/>
  <c r="BD95" i="25"/>
  <c r="BE95" i="25" s="1"/>
  <c r="BC95" i="25"/>
  <c r="AZ95" i="25"/>
  <c r="AR95" i="25"/>
  <c r="AS95" i="25" s="1"/>
  <c r="AP95" i="25"/>
  <c r="G95" i="25"/>
  <c r="BW94" i="25"/>
  <c r="BV94" i="25"/>
  <c r="BU94" i="25"/>
  <c r="BT94" i="25"/>
  <c r="BS94" i="25"/>
  <c r="BR94" i="25"/>
  <c r="BQ94" i="25"/>
  <c r="BP94" i="25"/>
  <c r="BH94" i="25"/>
  <c r="BG94" i="25"/>
  <c r="BD94" i="25"/>
  <c r="BE94" i="25" s="1"/>
  <c r="BC94" i="25"/>
  <c r="BB94" i="25"/>
  <c r="AZ94" i="25"/>
  <c r="AR94" i="25"/>
  <c r="AP94" i="25"/>
  <c r="AQ94" i="25" s="1"/>
  <c r="G94" i="25"/>
  <c r="BW93" i="25"/>
  <c r="BV93" i="25"/>
  <c r="BU93" i="25"/>
  <c r="BT93" i="25"/>
  <c r="BS93" i="25"/>
  <c r="BR93" i="25"/>
  <c r="BQ93" i="25"/>
  <c r="BP93" i="25"/>
  <c r="BH93" i="25"/>
  <c r="BG93" i="25"/>
  <c r="BD93" i="25"/>
  <c r="BE93" i="25" s="1"/>
  <c r="BC93" i="25"/>
  <c r="AZ93" i="25"/>
  <c r="AR93" i="25"/>
  <c r="AS93" i="25" s="1"/>
  <c r="AP93" i="25"/>
  <c r="AQ93" i="25" s="1"/>
  <c r="G93" i="25"/>
  <c r="BW92" i="25"/>
  <c r="BV92" i="25"/>
  <c r="BU92" i="25"/>
  <c r="BT92" i="25"/>
  <c r="BS92" i="25"/>
  <c r="BR92" i="25"/>
  <c r="BQ92" i="25"/>
  <c r="BP92" i="25"/>
  <c r="BH92" i="25"/>
  <c r="BG92" i="25"/>
  <c r="BD92" i="25"/>
  <c r="BE92" i="25" s="1"/>
  <c r="BC92" i="25"/>
  <c r="BB92" i="25"/>
  <c r="AZ92" i="25"/>
  <c r="AR92" i="25"/>
  <c r="AS92" i="25" s="1"/>
  <c r="AP92" i="25"/>
  <c r="AQ92" i="25" s="1"/>
  <c r="G92" i="25"/>
  <c r="BW91" i="25"/>
  <c r="BV91" i="25"/>
  <c r="BU91" i="25"/>
  <c r="BT91" i="25"/>
  <c r="BS91" i="25"/>
  <c r="BR91" i="25"/>
  <c r="BQ91" i="25"/>
  <c r="BP91" i="25"/>
  <c r="BH91" i="25"/>
  <c r="BG91" i="25"/>
  <c r="BD91" i="25"/>
  <c r="BE91" i="25" s="1"/>
  <c r="BC91" i="25"/>
  <c r="AZ91" i="25"/>
  <c r="AR91" i="25"/>
  <c r="AS91" i="25" s="1"/>
  <c r="AP91" i="25"/>
  <c r="G91" i="25"/>
  <c r="BW90" i="25"/>
  <c r="BV90" i="25"/>
  <c r="BU90" i="25"/>
  <c r="BT90" i="25"/>
  <c r="BS90" i="25"/>
  <c r="BR90" i="25"/>
  <c r="BQ90" i="25"/>
  <c r="BP90" i="25"/>
  <c r="BH90" i="25"/>
  <c r="BG90" i="25"/>
  <c r="BD90" i="25"/>
  <c r="BE90" i="25" s="1"/>
  <c r="BC90" i="25"/>
  <c r="BF90" i="25"/>
  <c r="AZ90" i="25"/>
  <c r="AR90" i="25"/>
  <c r="AS90" i="25" s="1"/>
  <c r="AP90" i="25"/>
  <c r="G90" i="25"/>
  <c r="BW89" i="25"/>
  <c r="BV89" i="25"/>
  <c r="BU89" i="25"/>
  <c r="BT89" i="25"/>
  <c r="BS89" i="25"/>
  <c r="BR89" i="25"/>
  <c r="BQ89" i="25"/>
  <c r="BP89" i="25"/>
  <c r="BH89" i="25"/>
  <c r="BG89" i="25"/>
  <c r="BD89" i="25"/>
  <c r="BE89" i="25" s="1"/>
  <c r="BC89" i="25"/>
  <c r="BF89" i="25"/>
  <c r="AZ89" i="25"/>
  <c r="AR89" i="25"/>
  <c r="AP89" i="25"/>
  <c r="AQ89" i="25" s="1"/>
  <c r="G89" i="25"/>
  <c r="BW88" i="25"/>
  <c r="BV88" i="25"/>
  <c r="BU88" i="25"/>
  <c r="BT88" i="25"/>
  <c r="BS88" i="25"/>
  <c r="BR88" i="25"/>
  <c r="BQ88" i="25"/>
  <c r="BP88" i="25"/>
  <c r="BH88" i="25"/>
  <c r="BG88" i="25"/>
  <c r="BD88" i="25"/>
  <c r="BE88" i="25" s="1"/>
  <c r="BC88" i="25"/>
  <c r="BB88" i="25"/>
  <c r="AZ88" i="25"/>
  <c r="AR88" i="25"/>
  <c r="AS88" i="25" s="1"/>
  <c r="AP88" i="25"/>
  <c r="AQ88" i="25" s="1"/>
  <c r="G88" i="25"/>
  <c r="BW87" i="25"/>
  <c r="BV87" i="25"/>
  <c r="BU87" i="25"/>
  <c r="BT87" i="25"/>
  <c r="BS87" i="25"/>
  <c r="BR87" i="25"/>
  <c r="BQ87" i="25"/>
  <c r="BP87" i="25"/>
  <c r="BH87" i="25"/>
  <c r="BG87" i="25"/>
  <c r="BD87" i="25"/>
  <c r="BE87" i="25" s="1"/>
  <c r="BC87" i="25"/>
  <c r="BF87" i="25"/>
  <c r="AZ87" i="25"/>
  <c r="AR87" i="25"/>
  <c r="AS87" i="25" s="1"/>
  <c r="AP87" i="25"/>
  <c r="G87" i="25"/>
  <c r="BW86" i="25"/>
  <c r="BV86" i="25"/>
  <c r="BU86" i="25"/>
  <c r="BT86" i="25"/>
  <c r="BS86" i="25"/>
  <c r="BR86" i="25"/>
  <c r="BQ86" i="25"/>
  <c r="BP86" i="25"/>
  <c r="BH86" i="25"/>
  <c r="BG86" i="25"/>
  <c r="BD86" i="25"/>
  <c r="BE86" i="25" s="1"/>
  <c r="BC86" i="25"/>
  <c r="BB86" i="25"/>
  <c r="AZ86" i="25"/>
  <c r="AR86" i="25"/>
  <c r="AP86" i="25"/>
  <c r="AQ86" i="25" s="1"/>
  <c r="G86" i="25"/>
  <c r="BW85" i="25"/>
  <c r="BV85" i="25"/>
  <c r="BU85" i="25"/>
  <c r="BT85" i="25"/>
  <c r="BS85" i="25"/>
  <c r="BR85" i="25"/>
  <c r="BQ85" i="25"/>
  <c r="BP85" i="25"/>
  <c r="BH85" i="25"/>
  <c r="BG85" i="25"/>
  <c r="BD85" i="25"/>
  <c r="BE85" i="25" s="1"/>
  <c r="BC85" i="25"/>
  <c r="BF85" i="25"/>
  <c r="AZ85" i="25"/>
  <c r="AR85" i="25"/>
  <c r="AP85" i="25"/>
  <c r="AQ85" i="25" s="1"/>
  <c r="G85" i="25"/>
  <c r="BW84" i="25"/>
  <c r="BV84" i="25"/>
  <c r="BU84" i="25"/>
  <c r="BT84" i="25"/>
  <c r="BS84" i="25"/>
  <c r="BR84" i="25"/>
  <c r="BQ84" i="25"/>
  <c r="BP84" i="25"/>
  <c r="BH84" i="25"/>
  <c r="BG84" i="25"/>
  <c r="BD84" i="25"/>
  <c r="BE84" i="25" s="1"/>
  <c r="BC84" i="25"/>
  <c r="BB84" i="25"/>
  <c r="AZ84" i="25"/>
  <c r="AR84" i="25"/>
  <c r="AP84" i="25"/>
  <c r="AQ84" i="25" s="1"/>
  <c r="G84" i="25"/>
  <c r="BW83" i="25"/>
  <c r="BV83" i="25"/>
  <c r="BU83" i="25"/>
  <c r="BT83" i="25"/>
  <c r="BS83" i="25"/>
  <c r="BR83" i="25"/>
  <c r="BQ83" i="25"/>
  <c r="BP83" i="25"/>
  <c r="BH83" i="25"/>
  <c r="BG83" i="25"/>
  <c r="BD83" i="25"/>
  <c r="BE83" i="25" s="1"/>
  <c r="BC83" i="25"/>
  <c r="BF83" i="25"/>
  <c r="AZ83" i="25"/>
  <c r="AR83" i="25"/>
  <c r="AS83" i="25" s="1"/>
  <c r="AP83" i="25"/>
  <c r="G83" i="25"/>
  <c r="BW82" i="25"/>
  <c r="BV82" i="25"/>
  <c r="BU82" i="25"/>
  <c r="BT82" i="25"/>
  <c r="BS82" i="25"/>
  <c r="BR82" i="25"/>
  <c r="BQ82" i="25"/>
  <c r="BP82" i="25"/>
  <c r="BH82" i="25"/>
  <c r="BG82" i="25"/>
  <c r="BD82" i="25"/>
  <c r="BE82" i="25" s="1"/>
  <c r="BC82" i="25"/>
  <c r="BB82" i="25"/>
  <c r="AZ82" i="25"/>
  <c r="AR82" i="25"/>
  <c r="AP82" i="25"/>
  <c r="AQ82" i="25" s="1"/>
  <c r="G82" i="25"/>
  <c r="BW81" i="25"/>
  <c r="BV81" i="25"/>
  <c r="BU81" i="25"/>
  <c r="BT81" i="25"/>
  <c r="BS81" i="25"/>
  <c r="BR81" i="25"/>
  <c r="BQ81" i="25"/>
  <c r="BP81" i="25"/>
  <c r="BH81" i="25"/>
  <c r="BG81" i="25"/>
  <c r="BD81" i="25"/>
  <c r="BE81" i="25" s="1"/>
  <c r="BC81" i="25"/>
  <c r="BB81" i="25"/>
  <c r="AZ81" i="25"/>
  <c r="AR81" i="25"/>
  <c r="AS81" i="25" s="1"/>
  <c r="AP81" i="25"/>
  <c r="AQ81" i="25" s="1"/>
  <c r="G81" i="25"/>
  <c r="BW80" i="25"/>
  <c r="BV80" i="25"/>
  <c r="BU80" i="25"/>
  <c r="BT80" i="25"/>
  <c r="BS80" i="25"/>
  <c r="BR80" i="25"/>
  <c r="BQ80" i="25"/>
  <c r="BP80" i="25"/>
  <c r="BH80" i="25"/>
  <c r="BG80" i="25"/>
  <c r="BD80" i="25"/>
  <c r="BE80" i="25" s="1"/>
  <c r="BC80" i="25"/>
  <c r="BF80" i="25"/>
  <c r="AZ80" i="25"/>
  <c r="AR80" i="25"/>
  <c r="AP80" i="25"/>
  <c r="AQ80" i="25" s="1"/>
  <c r="G80" i="25"/>
  <c r="BW79" i="25"/>
  <c r="BV79" i="25"/>
  <c r="BU79" i="25"/>
  <c r="BT79" i="25"/>
  <c r="BS79" i="25"/>
  <c r="BR79" i="25"/>
  <c r="BQ79" i="25"/>
  <c r="BP79" i="25"/>
  <c r="BH79" i="25"/>
  <c r="BG79" i="25"/>
  <c r="BD79" i="25"/>
  <c r="BE79" i="25" s="1"/>
  <c r="BC79" i="25"/>
  <c r="BF79" i="25"/>
  <c r="AZ79" i="25"/>
  <c r="AR79" i="25"/>
  <c r="AS79" i="25" s="1"/>
  <c r="AP79" i="25"/>
  <c r="AQ79" i="25" s="1"/>
  <c r="G79" i="25"/>
  <c r="BW78" i="25"/>
  <c r="BV78" i="25"/>
  <c r="BU78" i="25"/>
  <c r="BT78" i="25"/>
  <c r="BS78" i="25"/>
  <c r="BR78" i="25"/>
  <c r="BQ78" i="25"/>
  <c r="BP78" i="25"/>
  <c r="BH78" i="25"/>
  <c r="BG78" i="25"/>
  <c r="BD78" i="25"/>
  <c r="BE78" i="25" s="1"/>
  <c r="BC78" i="25"/>
  <c r="BB78" i="25"/>
  <c r="AZ78" i="25"/>
  <c r="AR78" i="25"/>
  <c r="AS78" i="25" s="1"/>
  <c r="AP78" i="25"/>
  <c r="AQ78" i="25" s="1"/>
  <c r="G78" i="25"/>
  <c r="BW77" i="25"/>
  <c r="BV77" i="25"/>
  <c r="BU77" i="25"/>
  <c r="BT77" i="25"/>
  <c r="BS77" i="25"/>
  <c r="BR77" i="25"/>
  <c r="BQ77" i="25"/>
  <c r="BP77" i="25"/>
  <c r="BH77" i="25"/>
  <c r="BG77" i="25"/>
  <c r="BD77" i="25"/>
  <c r="BE77" i="25" s="1"/>
  <c r="BC77" i="25"/>
  <c r="BF77" i="25"/>
  <c r="AZ77" i="25"/>
  <c r="AR77" i="25"/>
  <c r="AS77" i="25" s="1"/>
  <c r="AP77" i="25"/>
  <c r="AQ77" i="25" s="1"/>
  <c r="G77" i="25"/>
  <c r="BW76" i="25"/>
  <c r="BV76" i="25"/>
  <c r="BU76" i="25"/>
  <c r="BT76" i="25"/>
  <c r="BS76" i="25"/>
  <c r="BR76" i="25"/>
  <c r="BQ76" i="25"/>
  <c r="BP76" i="25"/>
  <c r="BH76" i="25"/>
  <c r="BG76" i="25"/>
  <c r="BD76" i="25"/>
  <c r="BE76" i="25" s="1"/>
  <c r="BC76" i="25"/>
  <c r="BF76" i="25"/>
  <c r="AZ76" i="25"/>
  <c r="AR76" i="25"/>
  <c r="AS76" i="25" s="1"/>
  <c r="AP76" i="25"/>
  <c r="AQ76" i="25" s="1"/>
  <c r="G76" i="25"/>
  <c r="BW75" i="25"/>
  <c r="BV75" i="25"/>
  <c r="BU75" i="25"/>
  <c r="BT75" i="25"/>
  <c r="BS75" i="25"/>
  <c r="BR75" i="25"/>
  <c r="BQ75" i="25"/>
  <c r="BP75" i="25"/>
  <c r="BH75" i="25"/>
  <c r="BG75" i="25"/>
  <c r="BD75" i="25"/>
  <c r="BE75" i="25" s="1"/>
  <c r="BC75" i="25"/>
  <c r="BB75" i="25"/>
  <c r="AZ75" i="25"/>
  <c r="AR75" i="25"/>
  <c r="AS75" i="25" s="1"/>
  <c r="AP75" i="25"/>
  <c r="AQ75" i="25" s="1"/>
  <c r="G75" i="25"/>
  <c r="BW74" i="25"/>
  <c r="BV74" i="25"/>
  <c r="BU74" i="25"/>
  <c r="BT74" i="25"/>
  <c r="BS74" i="25"/>
  <c r="BR74" i="25"/>
  <c r="BQ74" i="25"/>
  <c r="BP74" i="25"/>
  <c r="BH74" i="25"/>
  <c r="BG74" i="25"/>
  <c r="BD74" i="25"/>
  <c r="BE74" i="25" s="1"/>
  <c r="BC74" i="25"/>
  <c r="BF74" i="25"/>
  <c r="AZ74" i="25"/>
  <c r="AR74" i="25"/>
  <c r="AP74" i="25"/>
  <c r="AQ74" i="25" s="1"/>
  <c r="G74" i="25"/>
  <c r="BW73" i="25"/>
  <c r="BV73" i="25"/>
  <c r="BU73" i="25"/>
  <c r="BT73" i="25"/>
  <c r="BS73" i="25"/>
  <c r="BR73" i="25"/>
  <c r="BQ73" i="25"/>
  <c r="BP73" i="25"/>
  <c r="BH73" i="25"/>
  <c r="BG73" i="25"/>
  <c r="BD73" i="25"/>
  <c r="BE73" i="25" s="1"/>
  <c r="BC73" i="25"/>
  <c r="BF73" i="25"/>
  <c r="AZ73" i="25"/>
  <c r="AR73" i="25"/>
  <c r="AP73" i="25"/>
  <c r="AQ73" i="25" s="1"/>
  <c r="G73" i="25"/>
  <c r="BW72" i="25"/>
  <c r="BV72" i="25"/>
  <c r="BU72" i="25"/>
  <c r="BT72" i="25"/>
  <c r="BS72" i="25"/>
  <c r="BR72" i="25"/>
  <c r="BQ72" i="25"/>
  <c r="BP72" i="25"/>
  <c r="BH72" i="25"/>
  <c r="BG72" i="25"/>
  <c r="BD72" i="25"/>
  <c r="BE72" i="25" s="1"/>
  <c r="BC72" i="25"/>
  <c r="AZ72" i="25"/>
  <c r="AR72" i="25"/>
  <c r="AP72" i="25"/>
  <c r="AQ72" i="25" s="1"/>
  <c r="G72" i="25"/>
  <c r="BW71" i="25"/>
  <c r="BV71" i="25"/>
  <c r="BU71" i="25"/>
  <c r="BT71" i="25"/>
  <c r="BS71" i="25"/>
  <c r="BR71" i="25"/>
  <c r="BQ71" i="25"/>
  <c r="BP71" i="25"/>
  <c r="BH71" i="25"/>
  <c r="BG71" i="25"/>
  <c r="BD71" i="25"/>
  <c r="BE71" i="25" s="1"/>
  <c r="BC71" i="25"/>
  <c r="AZ71" i="25"/>
  <c r="AR71" i="25"/>
  <c r="AP71" i="25"/>
  <c r="AQ71" i="25" s="1"/>
  <c r="G71" i="25"/>
  <c r="BW70" i="25"/>
  <c r="BV70" i="25"/>
  <c r="BU70" i="25"/>
  <c r="BT70" i="25"/>
  <c r="BS70" i="25"/>
  <c r="BR70" i="25"/>
  <c r="BQ70" i="25"/>
  <c r="BP70" i="25"/>
  <c r="BH70" i="25"/>
  <c r="BG70" i="25"/>
  <c r="BD70" i="25"/>
  <c r="BE70" i="25" s="1"/>
  <c r="BC70" i="25"/>
  <c r="AZ70" i="25"/>
  <c r="AR70" i="25"/>
  <c r="AS70" i="25" s="1"/>
  <c r="AP70" i="25"/>
  <c r="G70" i="25"/>
  <c r="BW69" i="25"/>
  <c r="BV69" i="25"/>
  <c r="BU69" i="25"/>
  <c r="BT69" i="25"/>
  <c r="BS69" i="25"/>
  <c r="BR69" i="25"/>
  <c r="BQ69" i="25"/>
  <c r="BP69" i="25"/>
  <c r="BH69" i="25"/>
  <c r="BG69" i="25"/>
  <c r="BD69" i="25"/>
  <c r="BE69" i="25" s="1"/>
  <c r="BC69" i="25"/>
  <c r="AZ69" i="25"/>
  <c r="AR69" i="25"/>
  <c r="AS69" i="25" s="1"/>
  <c r="AP69" i="25"/>
  <c r="G69" i="25"/>
  <c r="BW68" i="25"/>
  <c r="BV68" i="25"/>
  <c r="BU68" i="25"/>
  <c r="BT68" i="25"/>
  <c r="BS68" i="25"/>
  <c r="BR68" i="25"/>
  <c r="BQ68" i="25"/>
  <c r="BP68" i="25"/>
  <c r="BH68" i="25"/>
  <c r="BG68" i="25"/>
  <c r="BD68" i="25"/>
  <c r="BE68" i="25" s="1"/>
  <c r="BC68" i="25"/>
  <c r="AZ68" i="25"/>
  <c r="AR68" i="25"/>
  <c r="AS68" i="25" s="1"/>
  <c r="AP68" i="25"/>
  <c r="AQ68" i="25" s="1"/>
  <c r="G68" i="25"/>
  <c r="BW67" i="25"/>
  <c r="BV67" i="25"/>
  <c r="BU67" i="25"/>
  <c r="BT67" i="25"/>
  <c r="BS67" i="25"/>
  <c r="BR67" i="25"/>
  <c r="BQ67" i="25"/>
  <c r="BP67" i="25"/>
  <c r="BH67" i="25"/>
  <c r="BG67" i="25"/>
  <c r="BD67" i="25"/>
  <c r="BE67" i="25" s="1"/>
  <c r="BC67" i="25"/>
  <c r="AZ67" i="25"/>
  <c r="AR67" i="25"/>
  <c r="AP67" i="25"/>
  <c r="AQ67" i="25" s="1"/>
  <c r="G67" i="25"/>
  <c r="BW66" i="25"/>
  <c r="BV66" i="25"/>
  <c r="BU66" i="25"/>
  <c r="BT66" i="25"/>
  <c r="BS66" i="25"/>
  <c r="BR66" i="25"/>
  <c r="BQ66" i="25"/>
  <c r="BP66" i="25"/>
  <c r="BH66" i="25"/>
  <c r="BG66" i="25"/>
  <c r="BD66" i="25"/>
  <c r="BE66" i="25" s="1"/>
  <c r="BC66" i="25"/>
  <c r="AZ66" i="25"/>
  <c r="AR66" i="25"/>
  <c r="AS66" i="25" s="1"/>
  <c r="AP66" i="25"/>
  <c r="AQ66" i="25" s="1"/>
  <c r="G66" i="25"/>
  <c r="BW65" i="25"/>
  <c r="BV65" i="25"/>
  <c r="BU65" i="25"/>
  <c r="BT65" i="25"/>
  <c r="BS65" i="25"/>
  <c r="BR65" i="25"/>
  <c r="BQ65" i="25"/>
  <c r="BP65" i="25"/>
  <c r="BH65" i="25"/>
  <c r="BG65" i="25"/>
  <c r="BD65" i="25"/>
  <c r="BE65" i="25" s="1"/>
  <c r="BC65" i="25"/>
  <c r="AZ65" i="25"/>
  <c r="AR65" i="25"/>
  <c r="AP65" i="25"/>
  <c r="AQ65" i="25" s="1"/>
  <c r="G65" i="25"/>
  <c r="BW64" i="25"/>
  <c r="BV64" i="25"/>
  <c r="BU64" i="25"/>
  <c r="BT64" i="25"/>
  <c r="BS64" i="25"/>
  <c r="BR64" i="25"/>
  <c r="BQ64" i="25"/>
  <c r="BP64" i="25"/>
  <c r="BH64" i="25"/>
  <c r="BG64" i="25"/>
  <c r="BD64" i="25"/>
  <c r="BE64" i="25" s="1"/>
  <c r="BC64" i="25"/>
  <c r="AZ64" i="25"/>
  <c r="AR64" i="25"/>
  <c r="AS64" i="25" s="1"/>
  <c r="AP64" i="25"/>
  <c r="AQ64" i="25" s="1"/>
  <c r="G64" i="25"/>
  <c r="BW63" i="25"/>
  <c r="BV63" i="25"/>
  <c r="BU63" i="25"/>
  <c r="BT63" i="25"/>
  <c r="BS63" i="25"/>
  <c r="BR63" i="25"/>
  <c r="BQ63" i="25"/>
  <c r="BP63" i="25"/>
  <c r="BH63" i="25"/>
  <c r="BG63" i="25"/>
  <c r="BD63" i="25"/>
  <c r="BE63" i="25" s="1"/>
  <c r="BC63" i="25"/>
  <c r="AZ63" i="25"/>
  <c r="AR63" i="25"/>
  <c r="AP63" i="25"/>
  <c r="AQ63" i="25" s="1"/>
  <c r="G63" i="25"/>
  <c r="BW62" i="25"/>
  <c r="BV62" i="25"/>
  <c r="BU62" i="25"/>
  <c r="BT62" i="25"/>
  <c r="BS62" i="25"/>
  <c r="BR62" i="25"/>
  <c r="BQ62" i="25"/>
  <c r="BP62" i="25"/>
  <c r="BH62" i="25"/>
  <c r="BG62" i="25"/>
  <c r="BD62" i="25"/>
  <c r="BE62" i="25" s="1"/>
  <c r="BC62" i="25"/>
  <c r="AZ62" i="25"/>
  <c r="AR62" i="25"/>
  <c r="AS62" i="25" s="1"/>
  <c r="AP62" i="25"/>
  <c r="AQ62" i="25" s="1"/>
  <c r="G62" i="25"/>
  <c r="BW61" i="25"/>
  <c r="BV61" i="25"/>
  <c r="BU61" i="25"/>
  <c r="BT61" i="25"/>
  <c r="BS61" i="25"/>
  <c r="BR61" i="25"/>
  <c r="BQ61" i="25"/>
  <c r="BP61" i="25"/>
  <c r="BH61" i="25"/>
  <c r="BG61" i="25"/>
  <c r="BD61" i="25"/>
  <c r="BE61" i="25" s="1"/>
  <c r="BC61" i="25"/>
  <c r="AZ61" i="25"/>
  <c r="AR61" i="25"/>
  <c r="AP61" i="25"/>
  <c r="AQ61" i="25" s="1"/>
  <c r="G61" i="25"/>
  <c r="BW60" i="25"/>
  <c r="BV60" i="25"/>
  <c r="BU60" i="25"/>
  <c r="BT60" i="25"/>
  <c r="BS60" i="25"/>
  <c r="BR60" i="25"/>
  <c r="BQ60" i="25"/>
  <c r="BP60" i="25"/>
  <c r="BH60" i="25"/>
  <c r="BG60" i="25"/>
  <c r="BD60" i="25"/>
  <c r="BE60" i="25" s="1"/>
  <c r="BC60" i="25"/>
  <c r="AZ60" i="25"/>
  <c r="AR60" i="25"/>
  <c r="AP60" i="25"/>
  <c r="AQ60" i="25" s="1"/>
  <c r="G60" i="25"/>
  <c r="BW59" i="25"/>
  <c r="BV59" i="25"/>
  <c r="BU59" i="25"/>
  <c r="BT59" i="25"/>
  <c r="BS59" i="25"/>
  <c r="BR59" i="25"/>
  <c r="BQ59" i="25"/>
  <c r="BP59" i="25"/>
  <c r="BH59" i="25"/>
  <c r="BG59" i="25"/>
  <c r="BD59" i="25"/>
  <c r="BE59" i="25" s="1"/>
  <c r="BC59" i="25"/>
  <c r="AZ59" i="25"/>
  <c r="AR59" i="25"/>
  <c r="AP59" i="25"/>
  <c r="AQ59" i="25" s="1"/>
  <c r="G59" i="25"/>
  <c r="BW58" i="25"/>
  <c r="BV58" i="25"/>
  <c r="BU58" i="25"/>
  <c r="BT58" i="25"/>
  <c r="BS58" i="25"/>
  <c r="BR58" i="25"/>
  <c r="BQ58" i="25"/>
  <c r="BP58" i="25"/>
  <c r="BH58" i="25"/>
  <c r="BG58" i="25"/>
  <c r="BD58" i="25"/>
  <c r="BE58" i="25" s="1"/>
  <c r="BC58" i="25"/>
  <c r="AZ58" i="25"/>
  <c r="AR58" i="25"/>
  <c r="AS58" i="25" s="1"/>
  <c r="AP58" i="25"/>
  <c r="AQ58" i="25" s="1"/>
  <c r="G58" i="25"/>
  <c r="BW57" i="25"/>
  <c r="BV57" i="25"/>
  <c r="BU57" i="25"/>
  <c r="BT57" i="25"/>
  <c r="BS57" i="25"/>
  <c r="BR57" i="25"/>
  <c r="BQ57" i="25"/>
  <c r="BP57" i="25"/>
  <c r="BH57" i="25"/>
  <c r="BG57" i="25"/>
  <c r="BD57" i="25"/>
  <c r="BE57" i="25" s="1"/>
  <c r="BC57" i="25"/>
  <c r="AZ57" i="25"/>
  <c r="AR57" i="25"/>
  <c r="AP57" i="25"/>
  <c r="AQ57" i="25" s="1"/>
  <c r="G57" i="25"/>
  <c r="BW56" i="25"/>
  <c r="BV56" i="25"/>
  <c r="BU56" i="25"/>
  <c r="BT56" i="25"/>
  <c r="BS56" i="25"/>
  <c r="BR56" i="25"/>
  <c r="BQ56" i="25"/>
  <c r="BP56" i="25"/>
  <c r="BH56" i="25"/>
  <c r="BG56" i="25"/>
  <c r="BD56" i="25"/>
  <c r="BE56" i="25" s="1"/>
  <c r="BC56" i="25"/>
  <c r="BF56" i="25"/>
  <c r="AZ56" i="25"/>
  <c r="AR56" i="25"/>
  <c r="AP56" i="25"/>
  <c r="AQ56" i="25" s="1"/>
  <c r="G56" i="25"/>
  <c r="BW55" i="25"/>
  <c r="BV55" i="25"/>
  <c r="BU55" i="25"/>
  <c r="BT55" i="25"/>
  <c r="BS55" i="25"/>
  <c r="BR55" i="25"/>
  <c r="BQ55" i="25"/>
  <c r="BP55" i="25"/>
  <c r="BH55" i="25"/>
  <c r="BG55" i="25"/>
  <c r="BD55" i="25"/>
  <c r="BE55" i="25" s="1"/>
  <c r="BC55" i="25"/>
  <c r="BF55" i="25"/>
  <c r="AZ55" i="25"/>
  <c r="AR55" i="25"/>
  <c r="AS55" i="25" s="1"/>
  <c r="AP55" i="25"/>
  <c r="AQ55" i="25" s="1"/>
  <c r="G55" i="25"/>
  <c r="BW54" i="25"/>
  <c r="BV54" i="25"/>
  <c r="BU54" i="25"/>
  <c r="BT54" i="25"/>
  <c r="BS54" i="25"/>
  <c r="BR54" i="25"/>
  <c r="BQ54" i="25"/>
  <c r="BP54" i="25"/>
  <c r="BH54" i="25"/>
  <c r="BG54" i="25"/>
  <c r="BD54" i="25"/>
  <c r="BE54" i="25" s="1"/>
  <c r="BC54" i="25"/>
  <c r="BB54" i="25"/>
  <c r="AZ54" i="25"/>
  <c r="AR54" i="25"/>
  <c r="AP54" i="25"/>
  <c r="AQ54" i="25" s="1"/>
  <c r="G54" i="25"/>
  <c r="BW53" i="25"/>
  <c r="BV53" i="25"/>
  <c r="BU53" i="25"/>
  <c r="BT53" i="25"/>
  <c r="BS53" i="25"/>
  <c r="BR53" i="25"/>
  <c r="BQ53" i="25"/>
  <c r="BP53" i="25"/>
  <c r="BH53" i="25"/>
  <c r="BG53" i="25"/>
  <c r="BD53" i="25"/>
  <c r="BE53" i="25" s="1"/>
  <c r="BC53" i="25"/>
  <c r="BF53" i="25"/>
  <c r="AZ53" i="25"/>
  <c r="AR53" i="25"/>
  <c r="AP53" i="25"/>
  <c r="AQ53" i="25" s="1"/>
  <c r="G53" i="25"/>
  <c r="BW52" i="25"/>
  <c r="BV52" i="25"/>
  <c r="BU52" i="25"/>
  <c r="BT52" i="25"/>
  <c r="BS52" i="25"/>
  <c r="BR52" i="25"/>
  <c r="BQ52" i="25"/>
  <c r="BP52" i="25"/>
  <c r="BH52" i="25"/>
  <c r="BG52" i="25"/>
  <c r="BD52" i="25"/>
  <c r="BE52" i="25" s="1"/>
  <c r="BC52" i="25"/>
  <c r="BB52" i="25"/>
  <c r="AZ52" i="25"/>
  <c r="AR52" i="25"/>
  <c r="AP52" i="25"/>
  <c r="AQ52" i="25" s="1"/>
  <c r="G52" i="25"/>
  <c r="BW51" i="25"/>
  <c r="BV51" i="25"/>
  <c r="BU51" i="25"/>
  <c r="BT51" i="25"/>
  <c r="BS51" i="25"/>
  <c r="BR51" i="25"/>
  <c r="BQ51" i="25"/>
  <c r="BP51" i="25"/>
  <c r="BH51" i="25"/>
  <c r="BG51" i="25"/>
  <c r="BD51" i="25"/>
  <c r="BE51" i="25" s="1"/>
  <c r="BC51" i="25"/>
  <c r="BF51" i="25"/>
  <c r="AZ51" i="25"/>
  <c r="AR51" i="25"/>
  <c r="AS51" i="25" s="1"/>
  <c r="AP51" i="25"/>
  <c r="AQ51" i="25" s="1"/>
  <c r="G51" i="25"/>
  <c r="BW50" i="25"/>
  <c r="BV50" i="25"/>
  <c r="BU50" i="25"/>
  <c r="BT50" i="25"/>
  <c r="BS50" i="25"/>
  <c r="BR50" i="25"/>
  <c r="BQ50" i="25"/>
  <c r="BP50" i="25"/>
  <c r="BH50" i="25"/>
  <c r="BG50" i="25"/>
  <c r="BD50" i="25"/>
  <c r="BE50" i="25" s="1"/>
  <c r="BC50" i="25"/>
  <c r="BF50" i="25"/>
  <c r="AZ50" i="25"/>
  <c r="AR50" i="25"/>
  <c r="AS50" i="25" s="1"/>
  <c r="AP50" i="25"/>
  <c r="AQ50" i="25" s="1"/>
  <c r="G50" i="25"/>
  <c r="BW49" i="25"/>
  <c r="BV49" i="25"/>
  <c r="BU49" i="25"/>
  <c r="BT49" i="25"/>
  <c r="BS49" i="25"/>
  <c r="BR49" i="25"/>
  <c r="BQ49" i="25"/>
  <c r="BP49" i="25"/>
  <c r="BH49" i="25"/>
  <c r="BG49" i="25"/>
  <c r="BD49" i="25"/>
  <c r="BE49" i="25" s="1"/>
  <c r="BC49" i="25"/>
  <c r="BF49" i="25"/>
  <c r="AZ49" i="25"/>
  <c r="AR49" i="25"/>
  <c r="AP49" i="25"/>
  <c r="AQ49" i="25" s="1"/>
  <c r="G49" i="25"/>
  <c r="BW48" i="25"/>
  <c r="BV48" i="25"/>
  <c r="BU48" i="25"/>
  <c r="BT48" i="25"/>
  <c r="BS48" i="25"/>
  <c r="BR48" i="25"/>
  <c r="BQ48" i="25"/>
  <c r="BP48" i="25"/>
  <c r="BH48" i="25"/>
  <c r="BG48" i="25"/>
  <c r="BD48" i="25"/>
  <c r="BE48" i="25" s="1"/>
  <c r="BC48" i="25"/>
  <c r="BF48" i="25"/>
  <c r="AZ48" i="25"/>
  <c r="AR48" i="25"/>
  <c r="AP48" i="25"/>
  <c r="AQ48" i="25" s="1"/>
  <c r="G48" i="25"/>
  <c r="BW47" i="25"/>
  <c r="BV47" i="25"/>
  <c r="BU47" i="25"/>
  <c r="BT47" i="25"/>
  <c r="BS47" i="25"/>
  <c r="BR47" i="25"/>
  <c r="BQ47" i="25"/>
  <c r="BP47" i="25"/>
  <c r="BH47" i="25"/>
  <c r="BG47" i="25"/>
  <c r="BD47" i="25"/>
  <c r="BE47" i="25" s="1"/>
  <c r="BC47" i="25"/>
  <c r="BF47" i="25"/>
  <c r="AZ47" i="25"/>
  <c r="AR47" i="25"/>
  <c r="AS47" i="25" s="1"/>
  <c r="AP47" i="25"/>
  <c r="AQ47" i="25" s="1"/>
  <c r="G47" i="25"/>
  <c r="BW46" i="25"/>
  <c r="BV46" i="25"/>
  <c r="BU46" i="25"/>
  <c r="BT46" i="25"/>
  <c r="BS46" i="25"/>
  <c r="BR46" i="25"/>
  <c r="BQ46" i="25"/>
  <c r="BP46" i="25"/>
  <c r="BH46" i="25"/>
  <c r="BG46" i="25"/>
  <c r="BD46" i="25"/>
  <c r="BE46" i="25" s="1"/>
  <c r="BC46" i="25"/>
  <c r="BF46" i="25"/>
  <c r="AZ46" i="25"/>
  <c r="AR46" i="25"/>
  <c r="AS46" i="25" s="1"/>
  <c r="AP46" i="25"/>
  <c r="AQ46" i="25" s="1"/>
  <c r="G46" i="25"/>
  <c r="BW45" i="25"/>
  <c r="BV45" i="25"/>
  <c r="BU45" i="25"/>
  <c r="BT45" i="25"/>
  <c r="BS45" i="25"/>
  <c r="BR45" i="25"/>
  <c r="BQ45" i="25"/>
  <c r="BP45" i="25"/>
  <c r="BH45" i="25"/>
  <c r="BG45" i="25"/>
  <c r="BD45" i="25"/>
  <c r="BE45" i="25" s="1"/>
  <c r="BC45" i="25"/>
  <c r="BB45" i="25"/>
  <c r="AZ45" i="25"/>
  <c r="AR45" i="25"/>
  <c r="AP45" i="25"/>
  <c r="AQ45" i="25" s="1"/>
  <c r="G45" i="25"/>
  <c r="BW44" i="25"/>
  <c r="BV44" i="25"/>
  <c r="BU44" i="25"/>
  <c r="BT44" i="25"/>
  <c r="BS44" i="25"/>
  <c r="BR44" i="25"/>
  <c r="BQ44" i="25"/>
  <c r="BP44" i="25"/>
  <c r="BH44" i="25"/>
  <c r="BG44" i="25"/>
  <c r="BD44" i="25"/>
  <c r="BE44" i="25" s="1"/>
  <c r="BC44" i="25"/>
  <c r="BF44" i="25"/>
  <c r="AZ44" i="25"/>
  <c r="AR44" i="25"/>
  <c r="AP44" i="25"/>
  <c r="AQ44" i="25" s="1"/>
  <c r="G44" i="25"/>
  <c r="BW43" i="25"/>
  <c r="BV43" i="25"/>
  <c r="BU43" i="25"/>
  <c r="BT43" i="25"/>
  <c r="BS43" i="25"/>
  <c r="BR43" i="25"/>
  <c r="BQ43" i="25"/>
  <c r="BP43" i="25"/>
  <c r="BH43" i="25"/>
  <c r="BG43" i="25"/>
  <c r="BD43" i="25"/>
  <c r="BE43" i="25" s="1"/>
  <c r="BC43" i="25"/>
  <c r="BB43" i="25"/>
  <c r="AZ43" i="25"/>
  <c r="AR43" i="25"/>
  <c r="AS43" i="25" s="1"/>
  <c r="AP43" i="25"/>
  <c r="AQ43" i="25" s="1"/>
  <c r="G43" i="25"/>
  <c r="BW42" i="25"/>
  <c r="BV42" i="25"/>
  <c r="BU42" i="25"/>
  <c r="BT42" i="25"/>
  <c r="BS42" i="25"/>
  <c r="BR42" i="25"/>
  <c r="BQ42" i="25"/>
  <c r="BP42" i="25"/>
  <c r="BH42" i="25"/>
  <c r="BG42" i="25"/>
  <c r="BD42" i="25"/>
  <c r="BE42" i="25" s="1"/>
  <c r="BC42" i="25"/>
  <c r="BB42" i="25"/>
  <c r="AZ42" i="25"/>
  <c r="AR42" i="25"/>
  <c r="AS42" i="25" s="1"/>
  <c r="AP42" i="25"/>
  <c r="G42" i="25"/>
  <c r="BW41" i="25"/>
  <c r="BV41" i="25"/>
  <c r="BU41" i="25"/>
  <c r="BT41" i="25"/>
  <c r="BS41" i="25"/>
  <c r="BR41" i="25"/>
  <c r="BQ41" i="25"/>
  <c r="BP41" i="25"/>
  <c r="BH41" i="25"/>
  <c r="BG41" i="25"/>
  <c r="BD41" i="25"/>
  <c r="BE41" i="25" s="1"/>
  <c r="BC41" i="25"/>
  <c r="BF41" i="25"/>
  <c r="AZ41" i="25"/>
  <c r="AR41" i="25"/>
  <c r="AP41" i="25"/>
  <c r="AQ41" i="25" s="1"/>
  <c r="G41" i="25"/>
  <c r="BW40" i="25"/>
  <c r="BV40" i="25"/>
  <c r="BU40" i="25"/>
  <c r="BT40" i="25"/>
  <c r="BS40" i="25"/>
  <c r="BR40" i="25"/>
  <c r="BQ40" i="25"/>
  <c r="BP40" i="25"/>
  <c r="BH40" i="25"/>
  <c r="BG40" i="25"/>
  <c r="BD40" i="25"/>
  <c r="BE40" i="25" s="1"/>
  <c r="BC40" i="25"/>
  <c r="BF40" i="25"/>
  <c r="AZ40" i="25"/>
  <c r="AR40" i="25"/>
  <c r="AP40" i="25"/>
  <c r="AQ40" i="25" s="1"/>
  <c r="G40" i="25"/>
  <c r="BW39" i="25"/>
  <c r="BV39" i="25"/>
  <c r="BU39" i="25"/>
  <c r="BT39" i="25"/>
  <c r="BS39" i="25"/>
  <c r="BR39" i="25"/>
  <c r="BQ39" i="25"/>
  <c r="BP39" i="25"/>
  <c r="BH39" i="25"/>
  <c r="BG39" i="25"/>
  <c r="BD39" i="25"/>
  <c r="BE39" i="25" s="1"/>
  <c r="BC39" i="25"/>
  <c r="BB39" i="25"/>
  <c r="AZ39" i="25"/>
  <c r="AR39" i="25"/>
  <c r="AP39" i="25"/>
  <c r="AQ39" i="25" s="1"/>
  <c r="G39" i="25"/>
  <c r="BW38" i="25"/>
  <c r="BV38" i="25"/>
  <c r="BU38" i="25"/>
  <c r="BT38" i="25"/>
  <c r="BS38" i="25"/>
  <c r="BR38" i="25"/>
  <c r="BQ38" i="25"/>
  <c r="BP38" i="25"/>
  <c r="BH38" i="25"/>
  <c r="BG38" i="25"/>
  <c r="BD38" i="25"/>
  <c r="BE38" i="25" s="1"/>
  <c r="BC38" i="25"/>
  <c r="BB38" i="25"/>
  <c r="AZ38" i="25"/>
  <c r="AR38" i="25"/>
  <c r="AP38" i="25"/>
  <c r="AQ38" i="25" s="1"/>
  <c r="G38" i="25"/>
  <c r="BW37" i="25"/>
  <c r="BV37" i="25"/>
  <c r="BU37" i="25"/>
  <c r="BT37" i="25"/>
  <c r="BS37" i="25"/>
  <c r="BR37" i="25"/>
  <c r="BQ37" i="25"/>
  <c r="BP37" i="25"/>
  <c r="BH37" i="25"/>
  <c r="BG37" i="25"/>
  <c r="BD37" i="25"/>
  <c r="BE37" i="25" s="1"/>
  <c r="BC37" i="25"/>
  <c r="BF37" i="25"/>
  <c r="AZ37" i="25"/>
  <c r="AR37" i="25"/>
  <c r="AP37" i="25"/>
  <c r="AQ37" i="25" s="1"/>
  <c r="G37" i="25"/>
  <c r="BW36" i="25"/>
  <c r="BV36" i="25"/>
  <c r="BU36" i="25"/>
  <c r="BT36" i="25"/>
  <c r="BS36" i="25"/>
  <c r="BR36" i="25"/>
  <c r="BQ36" i="25"/>
  <c r="BP36" i="25"/>
  <c r="BH36" i="25"/>
  <c r="BG36" i="25"/>
  <c r="BD36" i="25"/>
  <c r="BE36" i="25" s="1"/>
  <c r="BC36" i="25"/>
  <c r="BF36" i="25"/>
  <c r="AZ36" i="25"/>
  <c r="AR36" i="25"/>
  <c r="AS36" i="25" s="1"/>
  <c r="AP36" i="25"/>
  <c r="G36" i="25"/>
  <c r="BW35" i="25"/>
  <c r="BV35" i="25"/>
  <c r="BU35" i="25"/>
  <c r="BT35" i="25"/>
  <c r="BS35" i="25"/>
  <c r="BR35" i="25"/>
  <c r="BQ35" i="25"/>
  <c r="BP35" i="25"/>
  <c r="BH35" i="25"/>
  <c r="BG35" i="25"/>
  <c r="BD35" i="25"/>
  <c r="BE35" i="25" s="1"/>
  <c r="BC35" i="25"/>
  <c r="BB35" i="25"/>
  <c r="AZ35" i="25"/>
  <c r="AR35" i="25"/>
  <c r="AS35" i="25" s="1"/>
  <c r="AP35" i="25"/>
  <c r="AQ35" i="25" s="1"/>
  <c r="G35" i="25"/>
  <c r="BW34" i="25"/>
  <c r="BV34" i="25"/>
  <c r="BU34" i="25"/>
  <c r="BT34" i="25"/>
  <c r="BS34" i="25"/>
  <c r="BR34" i="25"/>
  <c r="BQ34" i="25"/>
  <c r="BP34" i="25"/>
  <c r="BH34" i="25"/>
  <c r="BG34" i="25"/>
  <c r="BD34" i="25"/>
  <c r="BE34" i="25" s="1"/>
  <c r="BC34" i="25"/>
  <c r="BB34" i="25"/>
  <c r="AZ34" i="25"/>
  <c r="AR34" i="25"/>
  <c r="AS34" i="25" s="1"/>
  <c r="AP34" i="25"/>
  <c r="AQ34" i="25" s="1"/>
  <c r="G34" i="25"/>
  <c r="BW33" i="25"/>
  <c r="BV33" i="25"/>
  <c r="BU33" i="25"/>
  <c r="BT33" i="25"/>
  <c r="BS33" i="25"/>
  <c r="BR33" i="25"/>
  <c r="BQ33" i="25"/>
  <c r="BP33" i="25"/>
  <c r="BH33" i="25"/>
  <c r="BG33" i="25"/>
  <c r="BD33" i="25"/>
  <c r="BE33" i="25" s="1"/>
  <c r="BC33" i="25"/>
  <c r="BB33" i="25"/>
  <c r="AZ33" i="25"/>
  <c r="AR33" i="25"/>
  <c r="AP33" i="25"/>
  <c r="AQ33" i="25" s="1"/>
  <c r="G33" i="25"/>
  <c r="BW32" i="25"/>
  <c r="BV32" i="25"/>
  <c r="BU32" i="25"/>
  <c r="BT32" i="25"/>
  <c r="BS32" i="25"/>
  <c r="BR32" i="25"/>
  <c r="BQ32" i="25"/>
  <c r="BP32" i="25"/>
  <c r="BH32" i="25"/>
  <c r="BG32" i="25"/>
  <c r="BD32" i="25"/>
  <c r="BE32" i="25" s="1"/>
  <c r="BC32" i="25"/>
  <c r="BF32" i="25"/>
  <c r="AZ32" i="25"/>
  <c r="AR32" i="25"/>
  <c r="AS32" i="25" s="1"/>
  <c r="AP32" i="25"/>
  <c r="G32" i="25"/>
  <c r="BW31" i="25"/>
  <c r="BV31" i="25"/>
  <c r="BU31" i="25"/>
  <c r="BT31" i="25"/>
  <c r="BS31" i="25"/>
  <c r="BR31" i="25"/>
  <c r="BQ31" i="25"/>
  <c r="BP31" i="25"/>
  <c r="BH31" i="25"/>
  <c r="BG31" i="25"/>
  <c r="BD31" i="25"/>
  <c r="BE31" i="25" s="1"/>
  <c r="BC31" i="25"/>
  <c r="BF31" i="25"/>
  <c r="AZ31" i="25"/>
  <c r="AR31" i="25"/>
  <c r="AP31" i="25"/>
  <c r="AQ31" i="25" s="1"/>
  <c r="G31" i="25"/>
  <c r="BW30" i="25"/>
  <c r="BV30" i="25"/>
  <c r="BU30" i="25"/>
  <c r="BT30" i="25"/>
  <c r="BS30" i="25"/>
  <c r="BR30" i="25"/>
  <c r="BQ30" i="25"/>
  <c r="BP30" i="25"/>
  <c r="BH30" i="25"/>
  <c r="BG30" i="25"/>
  <c r="BD30" i="25"/>
  <c r="BE30" i="25" s="1"/>
  <c r="BC30" i="25"/>
  <c r="BF30" i="25"/>
  <c r="AZ30" i="25"/>
  <c r="AR30" i="25"/>
  <c r="AS30" i="25" s="1"/>
  <c r="AP30" i="25"/>
  <c r="AQ30" i="25" s="1"/>
  <c r="G30" i="25"/>
  <c r="BW29" i="25"/>
  <c r="BV29" i="25"/>
  <c r="BU29" i="25"/>
  <c r="BT29" i="25"/>
  <c r="BS29" i="25"/>
  <c r="BR29" i="25"/>
  <c r="BQ29" i="25"/>
  <c r="BP29" i="25"/>
  <c r="BH29" i="25"/>
  <c r="BG29" i="25"/>
  <c r="BD29" i="25"/>
  <c r="BE29" i="25" s="1"/>
  <c r="BC29" i="25"/>
  <c r="BF29" i="25"/>
  <c r="AZ29" i="25"/>
  <c r="AR29" i="25"/>
  <c r="AP29" i="25"/>
  <c r="AQ29" i="25" s="1"/>
  <c r="G29" i="25"/>
  <c r="BW28" i="25"/>
  <c r="BV28" i="25"/>
  <c r="BU28" i="25"/>
  <c r="BT28" i="25"/>
  <c r="BS28" i="25"/>
  <c r="BR28" i="25"/>
  <c r="BQ28" i="25"/>
  <c r="BP28" i="25"/>
  <c r="BH28" i="25"/>
  <c r="BG28" i="25"/>
  <c r="BD28" i="25"/>
  <c r="BE28" i="25" s="1"/>
  <c r="BC28" i="25"/>
  <c r="BB28" i="25"/>
  <c r="AZ28" i="25"/>
  <c r="AR28" i="25"/>
  <c r="AS28" i="25" s="1"/>
  <c r="AP28" i="25"/>
  <c r="G28" i="25"/>
  <c r="BW27" i="25"/>
  <c r="BV27" i="25"/>
  <c r="BU27" i="25"/>
  <c r="BT27" i="25"/>
  <c r="BS27" i="25"/>
  <c r="BR27" i="25"/>
  <c r="BQ27" i="25"/>
  <c r="BP27" i="25"/>
  <c r="BH27" i="25"/>
  <c r="BG27" i="25"/>
  <c r="BD27" i="25"/>
  <c r="BE27" i="25" s="1"/>
  <c r="BC27" i="25"/>
  <c r="BF27" i="25"/>
  <c r="AZ27" i="25"/>
  <c r="AR27" i="25"/>
  <c r="AS27" i="25" s="1"/>
  <c r="AP27" i="25"/>
  <c r="AQ27" i="25" s="1"/>
  <c r="G27" i="25"/>
  <c r="BW26" i="25"/>
  <c r="BV26" i="25"/>
  <c r="BU26" i="25"/>
  <c r="BT26" i="25"/>
  <c r="BS26" i="25"/>
  <c r="BR26" i="25"/>
  <c r="BQ26" i="25"/>
  <c r="BP26" i="25"/>
  <c r="BH26" i="25"/>
  <c r="BG26" i="25"/>
  <c r="BD26" i="25"/>
  <c r="BE26" i="25" s="1"/>
  <c r="BC26" i="25"/>
  <c r="BB26" i="25"/>
  <c r="AZ26" i="25"/>
  <c r="AR26" i="25"/>
  <c r="AP26" i="25"/>
  <c r="AQ26" i="25" s="1"/>
  <c r="G26" i="25"/>
  <c r="BW25" i="25"/>
  <c r="BV25" i="25"/>
  <c r="BU25" i="25"/>
  <c r="BT25" i="25"/>
  <c r="BS25" i="25"/>
  <c r="BR25" i="25"/>
  <c r="BQ25" i="25"/>
  <c r="BP25" i="25"/>
  <c r="BH25" i="25"/>
  <c r="BG25" i="25"/>
  <c r="BD25" i="25"/>
  <c r="BE25" i="25" s="1"/>
  <c r="BC25" i="25"/>
  <c r="BF25" i="25"/>
  <c r="AZ25" i="25"/>
  <c r="AR25" i="25"/>
  <c r="AP25" i="25"/>
  <c r="AQ25" i="25" s="1"/>
  <c r="G25" i="25"/>
  <c r="BW24" i="25"/>
  <c r="BV24" i="25"/>
  <c r="BU24" i="25"/>
  <c r="BT24" i="25"/>
  <c r="BS24" i="25"/>
  <c r="BR24" i="25"/>
  <c r="BQ24" i="25"/>
  <c r="BP24" i="25"/>
  <c r="BH24" i="25"/>
  <c r="BG24" i="25"/>
  <c r="BD24" i="25"/>
  <c r="BE24" i="25" s="1"/>
  <c r="BC24" i="25"/>
  <c r="BB24" i="25"/>
  <c r="AZ24" i="25"/>
  <c r="AR24" i="25"/>
  <c r="AS24" i="25" s="1"/>
  <c r="AP24" i="25"/>
  <c r="G24" i="25"/>
  <c r="BW23" i="25"/>
  <c r="BV23" i="25"/>
  <c r="BU23" i="25"/>
  <c r="BT23" i="25"/>
  <c r="BS23" i="25"/>
  <c r="BR23" i="25"/>
  <c r="BQ23" i="25"/>
  <c r="BP23" i="25"/>
  <c r="BH23" i="25"/>
  <c r="BG23" i="25"/>
  <c r="BD23" i="25"/>
  <c r="BE23" i="25" s="1"/>
  <c r="BC23" i="25"/>
  <c r="BB23" i="25"/>
  <c r="AZ23" i="25"/>
  <c r="AR23" i="25"/>
  <c r="AS23" i="25" s="1"/>
  <c r="AP23" i="25"/>
  <c r="AQ23" i="25" s="1"/>
  <c r="G23" i="25"/>
  <c r="BW22" i="25"/>
  <c r="BV22" i="25"/>
  <c r="BU22" i="25"/>
  <c r="BT22" i="25"/>
  <c r="BS22" i="25"/>
  <c r="BR22" i="25"/>
  <c r="BQ22" i="25"/>
  <c r="BP22" i="25"/>
  <c r="BH22" i="25"/>
  <c r="BG22" i="25"/>
  <c r="BD22" i="25"/>
  <c r="BE22" i="25" s="1"/>
  <c r="BC22" i="25"/>
  <c r="BB22" i="25"/>
  <c r="AZ22" i="25"/>
  <c r="AR22" i="25"/>
  <c r="AP22" i="25"/>
  <c r="AQ22" i="25" s="1"/>
  <c r="G22" i="25"/>
  <c r="BW21" i="25"/>
  <c r="BV21" i="25"/>
  <c r="BU21" i="25"/>
  <c r="BT21" i="25"/>
  <c r="BS21" i="25"/>
  <c r="BR21" i="25"/>
  <c r="BQ21" i="25"/>
  <c r="BP21" i="25"/>
  <c r="BH21" i="25"/>
  <c r="BG21" i="25"/>
  <c r="BD21" i="25"/>
  <c r="BE21" i="25" s="1"/>
  <c r="BC21" i="25"/>
  <c r="BB21" i="25"/>
  <c r="AZ21" i="25"/>
  <c r="AR21" i="25"/>
  <c r="AP21" i="25"/>
  <c r="AQ21" i="25" s="1"/>
  <c r="G21" i="25"/>
  <c r="BW20" i="25"/>
  <c r="BV20" i="25"/>
  <c r="BU20" i="25"/>
  <c r="BT20" i="25"/>
  <c r="BS20" i="25"/>
  <c r="BR20" i="25"/>
  <c r="BQ20" i="25"/>
  <c r="BP20" i="25"/>
  <c r="BH20" i="25"/>
  <c r="BG20" i="25"/>
  <c r="BD20" i="25"/>
  <c r="BE20" i="25" s="1"/>
  <c r="BC20" i="25"/>
  <c r="BF20" i="25"/>
  <c r="AZ20" i="25"/>
  <c r="AR20" i="25"/>
  <c r="AS20" i="25" s="1"/>
  <c r="AP20" i="25"/>
  <c r="G20" i="25"/>
  <c r="BW19" i="25"/>
  <c r="BV19" i="25"/>
  <c r="BU19" i="25"/>
  <c r="BT19" i="25"/>
  <c r="BS19" i="25"/>
  <c r="BR19" i="25"/>
  <c r="BQ19" i="25"/>
  <c r="BP19" i="25"/>
  <c r="BH19" i="25"/>
  <c r="BG19" i="25"/>
  <c r="BD19" i="25"/>
  <c r="BE19" i="25" s="1"/>
  <c r="BC19" i="25"/>
  <c r="BF19" i="25"/>
  <c r="AZ19" i="25"/>
  <c r="AR19" i="25"/>
  <c r="AS19" i="25" s="1"/>
  <c r="AP19" i="25"/>
  <c r="AQ19" i="25" s="1"/>
  <c r="G19" i="25"/>
  <c r="BW18" i="25"/>
  <c r="BV18" i="25"/>
  <c r="BU18" i="25"/>
  <c r="BT18" i="25"/>
  <c r="BS18" i="25"/>
  <c r="BR18" i="25"/>
  <c r="BQ18" i="25"/>
  <c r="BP18" i="25"/>
  <c r="BH18" i="25"/>
  <c r="BG18" i="25"/>
  <c r="BD18" i="25"/>
  <c r="BE18" i="25" s="1"/>
  <c r="BC18" i="25"/>
  <c r="BB18" i="25"/>
  <c r="AZ18" i="25"/>
  <c r="AR18" i="25"/>
  <c r="AS18" i="25" s="1"/>
  <c r="AP18" i="25"/>
  <c r="AQ18" i="25" s="1"/>
  <c r="G18" i="25"/>
  <c r="BW17" i="25"/>
  <c r="BV17" i="25"/>
  <c r="BU17" i="25"/>
  <c r="BT17" i="25"/>
  <c r="BS17" i="25"/>
  <c r="BR17" i="25"/>
  <c r="BQ17" i="25"/>
  <c r="BP17" i="25"/>
  <c r="BH17" i="25"/>
  <c r="BG17" i="25"/>
  <c r="BD17" i="25"/>
  <c r="BE17" i="25" s="1"/>
  <c r="BC17" i="25"/>
  <c r="BB17" i="25"/>
  <c r="AZ17" i="25"/>
  <c r="AR17" i="25"/>
  <c r="AS17" i="25" s="1"/>
  <c r="AP17" i="25"/>
  <c r="AQ17" i="25" s="1"/>
  <c r="G17" i="25"/>
  <c r="BW16" i="25"/>
  <c r="BV16" i="25"/>
  <c r="BU16" i="25"/>
  <c r="BT16" i="25"/>
  <c r="BS16" i="25"/>
  <c r="BR16" i="25"/>
  <c r="BQ16" i="25"/>
  <c r="BP16" i="25"/>
  <c r="BH16" i="25"/>
  <c r="BG16" i="25"/>
  <c r="BD16" i="25"/>
  <c r="BE16" i="25" s="1"/>
  <c r="BC16" i="25"/>
  <c r="BB16" i="25"/>
  <c r="AZ16" i="25"/>
  <c r="AR16" i="25"/>
  <c r="AS16" i="25" s="1"/>
  <c r="AP16" i="25"/>
  <c r="AQ16" i="25" s="1"/>
  <c r="G16" i="25"/>
  <c r="BW15" i="25"/>
  <c r="BV15" i="25"/>
  <c r="BU15" i="25"/>
  <c r="BT15" i="25"/>
  <c r="BS15" i="25"/>
  <c r="BR15" i="25"/>
  <c r="BQ15" i="25"/>
  <c r="BP15" i="25"/>
  <c r="BH15" i="25"/>
  <c r="BG15" i="25"/>
  <c r="BD15" i="25"/>
  <c r="BE15" i="25" s="1"/>
  <c r="BC15" i="25"/>
  <c r="BF15" i="25"/>
  <c r="AZ15" i="25"/>
  <c r="AR15" i="25"/>
  <c r="AP15" i="25"/>
  <c r="AQ15" i="25" s="1"/>
  <c r="G15" i="25"/>
  <c r="BW14" i="25"/>
  <c r="BV14" i="25"/>
  <c r="BU14" i="25"/>
  <c r="BT14" i="25"/>
  <c r="BS14" i="25"/>
  <c r="BR14" i="25"/>
  <c r="BQ14" i="25"/>
  <c r="BP14" i="25"/>
  <c r="BH14" i="25"/>
  <c r="BG14" i="25"/>
  <c r="BD14" i="25"/>
  <c r="BE14" i="25" s="1"/>
  <c r="BC14" i="25"/>
  <c r="BB14" i="25"/>
  <c r="AZ14" i="25"/>
  <c r="AR14" i="25"/>
  <c r="AS14" i="25" s="1"/>
  <c r="AP14" i="25"/>
  <c r="G14" i="25"/>
  <c r="BW13" i="25"/>
  <c r="BV13" i="25"/>
  <c r="BU13" i="25"/>
  <c r="BT13" i="25"/>
  <c r="BS13" i="25"/>
  <c r="BR13" i="25"/>
  <c r="BQ13" i="25"/>
  <c r="BP13" i="25"/>
  <c r="BH13" i="25"/>
  <c r="BG13" i="25"/>
  <c r="BD13" i="25"/>
  <c r="BE13" i="25" s="1"/>
  <c r="BC13" i="25"/>
  <c r="BB13" i="25"/>
  <c r="AZ13" i="25"/>
  <c r="AR13" i="25"/>
  <c r="AS13" i="25" s="1"/>
  <c r="AP13" i="25"/>
  <c r="AQ13" i="25" s="1"/>
  <c r="G13" i="25"/>
  <c r="BW12" i="25"/>
  <c r="BV12" i="25"/>
  <c r="BU12" i="25"/>
  <c r="BT12" i="25"/>
  <c r="BS12" i="25"/>
  <c r="BR12" i="25"/>
  <c r="BQ12" i="25"/>
  <c r="BP12" i="25"/>
  <c r="BH12" i="25"/>
  <c r="BG12" i="25"/>
  <c r="BD12" i="25"/>
  <c r="BE12" i="25" s="1"/>
  <c r="BC12" i="25"/>
  <c r="BF12" i="25"/>
  <c r="AZ12" i="25"/>
  <c r="AR12" i="25"/>
  <c r="AS12" i="25" s="1"/>
  <c r="AP12" i="25"/>
  <c r="G12" i="25"/>
  <c r="BW11" i="25"/>
  <c r="BV11" i="25"/>
  <c r="BU11" i="25"/>
  <c r="BT11" i="25"/>
  <c r="BS11" i="25"/>
  <c r="BR11" i="25"/>
  <c r="BQ11" i="25"/>
  <c r="BP11" i="25"/>
  <c r="BH11" i="25"/>
  <c r="BG11" i="25"/>
  <c r="BD11" i="25"/>
  <c r="BE11" i="25" s="1"/>
  <c r="BC11" i="25"/>
  <c r="BB11" i="25"/>
  <c r="AZ11" i="25"/>
  <c r="AR11" i="25"/>
  <c r="AP11" i="25"/>
  <c r="AQ11" i="25" s="1"/>
  <c r="G11" i="25"/>
  <c r="BW10" i="25"/>
  <c r="BV10" i="25"/>
  <c r="BU10" i="25"/>
  <c r="BT10" i="25"/>
  <c r="BS10" i="25"/>
  <c r="BR10" i="25"/>
  <c r="BQ10" i="25"/>
  <c r="BP10" i="25"/>
  <c r="BH10" i="25"/>
  <c r="BG10" i="25"/>
  <c r="BD10" i="25"/>
  <c r="BE10" i="25" s="1"/>
  <c r="BC10" i="25"/>
  <c r="BF10" i="25"/>
  <c r="AZ10" i="25"/>
  <c r="AR10" i="25"/>
  <c r="AS10" i="25" s="1"/>
  <c r="AP10" i="25"/>
  <c r="G10" i="25"/>
  <c r="BW9" i="25"/>
  <c r="BV9" i="25"/>
  <c r="BU9" i="25"/>
  <c r="BT9" i="25"/>
  <c r="BS9" i="25"/>
  <c r="BR9" i="25"/>
  <c r="BQ9" i="25"/>
  <c r="BP9" i="25"/>
  <c r="BH9" i="25"/>
  <c r="BG9" i="25"/>
  <c r="BD9" i="25"/>
  <c r="BE9" i="25" s="1"/>
  <c r="BC9" i="25"/>
  <c r="BB9" i="25"/>
  <c r="AZ9" i="25"/>
  <c r="AR9" i="25"/>
  <c r="AP9" i="25"/>
  <c r="AQ9" i="25" s="1"/>
  <c r="G9" i="25"/>
  <c r="BW8" i="25"/>
  <c r="BV8" i="25"/>
  <c r="BU8" i="25"/>
  <c r="BT8" i="25"/>
  <c r="BS8" i="25"/>
  <c r="BR8" i="25"/>
  <c r="BQ8" i="25"/>
  <c r="BP8" i="25"/>
  <c r="BH8" i="25"/>
  <c r="BG8" i="25"/>
  <c r="BD8" i="25"/>
  <c r="BE8" i="25" s="1"/>
  <c r="BC8" i="25"/>
  <c r="BB8" i="25"/>
  <c r="AZ8" i="25"/>
  <c r="AR8" i="25"/>
  <c r="AP8" i="25"/>
  <c r="AQ8" i="25" s="1"/>
  <c r="G8" i="25"/>
  <c r="BW7" i="25"/>
  <c r="BV7" i="25"/>
  <c r="BU7" i="25"/>
  <c r="BT7" i="25"/>
  <c r="BS7" i="25"/>
  <c r="BR7" i="25"/>
  <c r="BQ7" i="25"/>
  <c r="BP7" i="25"/>
  <c r="BH7" i="25"/>
  <c r="BG7" i="25"/>
  <c r="BD7" i="25"/>
  <c r="BE7" i="25" s="1"/>
  <c r="BC7" i="25"/>
  <c r="BF7" i="25"/>
  <c r="AZ7" i="25"/>
  <c r="AR7" i="25"/>
  <c r="AS7" i="25" s="1"/>
  <c r="AP7" i="25"/>
  <c r="AQ7" i="25" s="1"/>
  <c r="G7" i="25"/>
  <c r="H239" i="92"/>
  <c r="D12" i="89"/>
  <c r="C82" i="92"/>
  <c r="E239" i="92"/>
  <c r="F114" i="92"/>
  <c r="G239" i="92"/>
  <c r="G20" i="89"/>
  <c r="D238" i="92"/>
  <c r="G80" i="89"/>
  <c r="G81" i="89"/>
  <c r="G19" i="89"/>
  <c r="G16" i="89"/>
  <c r="C79" i="92"/>
  <c r="F238" i="92"/>
  <c r="G238" i="92"/>
  <c r="F239" i="92"/>
  <c r="G17" i="89"/>
  <c r="D239" i="92"/>
  <c r="F115" i="92"/>
  <c r="C81" i="92"/>
  <c r="E238" i="92"/>
  <c r="H238" i="92"/>
  <c r="G79" i="89"/>
  <c r="C83" i="92"/>
  <c r="F116" i="92" l="1"/>
  <c r="F117" i="92" s="1"/>
  <c r="BL22" i="25"/>
  <c r="BI22" i="25"/>
  <c r="BL7" i="25"/>
  <c r="BI7" i="25"/>
  <c r="BJ7" i="25" s="1"/>
  <c r="BK7" i="25" s="1"/>
  <c r="BL9" i="25"/>
  <c r="BI9" i="25"/>
  <c r="BJ9" i="25" s="1"/>
  <c r="BK9" i="25" s="1"/>
  <c r="BL12" i="25"/>
  <c r="BI12" i="25"/>
  <c r="BJ12" i="25" s="1"/>
  <c r="BK12" i="25" s="1"/>
  <c r="BL20" i="25"/>
  <c r="BI20" i="25"/>
  <c r="BJ20" i="25" s="1"/>
  <c r="BK20" i="25" s="1"/>
  <c r="BL28" i="25"/>
  <c r="BI28" i="25"/>
  <c r="BL36" i="25"/>
  <c r="BI36" i="25"/>
  <c r="BJ36" i="25" s="1"/>
  <c r="BK36" i="25" s="1"/>
  <c r="BL44" i="25"/>
  <c r="BI44" i="25"/>
  <c r="BJ44" i="25" s="1"/>
  <c r="BK44" i="25" s="1"/>
  <c r="BL52" i="25"/>
  <c r="BI52" i="25"/>
  <c r="BL60" i="25"/>
  <c r="BI60" i="25"/>
  <c r="BL68" i="25"/>
  <c r="BI68" i="25"/>
  <c r="BJ68" i="25" s="1"/>
  <c r="BK68" i="25" s="1"/>
  <c r="BL76" i="25"/>
  <c r="BI76" i="25"/>
  <c r="BJ76" i="25" s="1"/>
  <c r="BK76" i="25" s="1"/>
  <c r="BL84" i="25"/>
  <c r="BI84" i="25"/>
  <c r="BJ84" i="25" s="1"/>
  <c r="BK84" i="25" s="1"/>
  <c r="BL92" i="25"/>
  <c r="BI92" i="25"/>
  <c r="BL100" i="25"/>
  <c r="BI100" i="25"/>
  <c r="BJ100" i="25" s="1"/>
  <c r="BK100" i="25" s="1"/>
  <c r="BL108" i="25"/>
  <c r="BI108" i="25"/>
  <c r="BJ108" i="25" s="1"/>
  <c r="BK108" i="25" s="1"/>
  <c r="BL116" i="25"/>
  <c r="BI116" i="25"/>
  <c r="BL124" i="25"/>
  <c r="BI124" i="25"/>
  <c r="BL132" i="25"/>
  <c r="BI132" i="25"/>
  <c r="BJ132" i="25" s="1"/>
  <c r="BK132" i="25" s="1"/>
  <c r="BL140" i="25"/>
  <c r="BI140" i="25"/>
  <c r="BJ140" i="25" s="1"/>
  <c r="BK140" i="25" s="1"/>
  <c r="BL167" i="25"/>
  <c r="BI167" i="25"/>
  <c r="BJ167" i="25" s="1"/>
  <c r="BK167" i="25" s="1"/>
  <c r="BL183" i="25"/>
  <c r="BI183" i="25"/>
  <c r="BJ183" i="25" s="1"/>
  <c r="BK183" i="25" s="1"/>
  <c r="BL191" i="25"/>
  <c r="BI191" i="25"/>
  <c r="BJ191" i="25" s="1"/>
  <c r="BK191" i="25" s="1"/>
  <c r="BL199" i="25"/>
  <c r="BI199" i="25"/>
  <c r="BJ199" i="25" s="1"/>
  <c r="BK199" i="25" s="1"/>
  <c r="BL207" i="25"/>
  <c r="BI207" i="25"/>
  <c r="BJ207" i="25" s="1"/>
  <c r="BK207" i="25" s="1"/>
  <c r="BL215" i="25"/>
  <c r="BI215" i="25"/>
  <c r="BJ215" i="25" s="1"/>
  <c r="BK215" i="25" s="1"/>
  <c r="BL13" i="25"/>
  <c r="BI13" i="25"/>
  <c r="BJ13" i="25" s="1"/>
  <c r="BK13" i="25" s="1"/>
  <c r="BL21" i="25"/>
  <c r="BI21" i="25"/>
  <c r="BJ21" i="25" s="1"/>
  <c r="BK21" i="25" s="1"/>
  <c r="BL29" i="25"/>
  <c r="BI29" i="25"/>
  <c r="BJ29" i="25" s="1"/>
  <c r="BK29" i="25" s="1"/>
  <c r="BL37" i="25"/>
  <c r="BI37" i="25"/>
  <c r="BL45" i="25"/>
  <c r="BI45" i="25"/>
  <c r="BJ45" i="25" s="1"/>
  <c r="BK45" i="25" s="1"/>
  <c r="BL53" i="25"/>
  <c r="BI53" i="25"/>
  <c r="BJ53" i="25" s="1"/>
  <c r="BK53" i="25" s="1"/>
  <c r="BL61" i="25"/>
  <c r="BI61" i="25"/>
  <c r="BJ61" i="25" s="1"/>
  <c r="BK61" i="25" s="1"/>
  <c r="BL69" i="25"/>
  <c r="BI69" i="25"/>
  <c r="BL77" i="25"/>
  <c r="BI77" i="25"/>
  <c r="BJ77" i="25" s="1"/>
  <c r="BK77" i="25" s="1"/>
  <c r="BL85" i="25"/>
  <c r="BI85" i="25"/>
  <c r="BJ85" i="25" s="1"/>
  <c r="BK85" i="25" s="1"/>
  <c r="BL93" i="25"/>
  <c r="BI93" i="25"/>
  <c r="BJ93" i="25" s="1"/>
  <c r="BK93" i="25" s="1"/>
  <c r="BL109" i="25"/>
  <c r="BI109" i="25"/>
  <c r="BL117" i="25"/>
  <c r="BI117" i="25"/>
  <c r="BJ117" i="25" s="1"/>
  <c r="BK117" i="25" s="1"/>
  <c r="BL125" i="25"/>
  <c r="BI125" i="25"/>
  <c r="BJ125" i="25" s="1"/>
  <c r="BK125" i="25" s="1"/>
  <c r="BL133" i="25"/>
  <c r="BI133" i="25"/>
  <c r="BJ133" i="25" s="1"/>
  <c r="BK133" i="25" s="1"/>
  <c r="BL184" i="25"/>
  <c r="BI184" i="25"/>
  <c r="BL192" i="25"/>
  <c r="BI192" i="25"/>
  <c r="BJ192" i="25" s="1"/>
  <c r="BK192" i="25" s="1"/>
  <c r="BL200" i="25"/>
  <c r="BI200" i="25"/>
  <c r="BJ200" i="25" s="1"/>
  <c r="BK200" i="25" s="1"/>
  <c r="BL208" i="25"/>
  <c r="BI208" i="25"/>
  <c r="BJ208" i="25" s="1"/>
  <c r="BK208" i="25" s="1"/>
  <c r="BL216" i="25"/>
  <c r="BI216" i="25"/>
  <c r="BL30" i="25"/>
  <c r="BI30" i="25"/>
  <c r="BJ30" i="25" s="1"/>
  <c r="BK30" i="25" s="1"/>
  <c r="BL38" i="25"/>
  <c r="BI38" i="25"/>
  <c r="BJ38" i="25" s="1"/>
  <c r="BK38" i="25" s="1"/>
  <c r="BL46" i="25"/>
  <c r="BI46" i="25"/>
  <c r="BJ46" i="25" s="1"/>
  <c r="BK46" i="25" s="1"/>
  <c r="BL54" i="25"/>
  <c r="BI54" i="25"/>
  <c r="BL62" i="25"/>
  <c r="BI62" i="25"/>
  <c r="BJ62" i="25" s="1"/>
  <c r="BK62" i="25" s="1"/>
  <c r="BL70" i="25"/>
  <c r="BI70" i="25"/>
  <c r="BJ70" i="25" s="1"/>
  <c r="BK70" i="25" s="1"/>
  <c r="BL78" i="25"/>
  <c r="BI78" i="25"/>
  <c r="BJ78" i="25" s="1"/>
  <c r="BK78" i="25" s="1"/>
  <c r="BL86" i="25"/>
  <c r="BI86" i="25"/>
  <c r="BJ86" i="25" s="1"/>
  <c r="BK86" i="25" s="1"/>
  <c r="BL94" i="25"/>
  <c r="BI94" i="25"/>
  <c r="BJ94" i="25" s="1"/>
  <c r="BK94" i="25" s="1"/>
  <c r="BL102" i="25"/>
  <c r="BI102" i="25"/>
  <c r="BJ102" i="25" s="1"/>
  <c r="BK102" i="25" s="1"/>
  <c r="BL110" i="25"/>
  <c r="BI110" i="25"/>
  <c r="BJ110" i="25" s="1"/>
  <c r="BK110" i="25" s="1"/>
  <c r="BL118" i="25"/>
  <c r="BI118" i="25"/>
  <c r="BJ118" i="25" s="1"/>
  <c r="BK118" i="25" s="1"/>
  <c r="BL126" i="25"/>
  <c r="BI126" i="25"/>
  <c r="BJ126" i="25" s="1"/>
  <c r="BK126" i="25" s="1"/>
  <c r="BL134" i="25"/>
  <c r="BI134" i="25"/>
  <c r="BJ134" i="25" s="1"/>
  <c r="BK134" i="25" s="1"/>
  <c r="BL161" i="25"/>
  <c r="BI161" i="25"/>
  <c r="BJ161" i="25" s="1"/>
  <c r="BK161" i="25" s="1"/>
  <c r="BL169" i="25"/>
  <c r="BI169" i="25"/>
  <c r="BJ169" i="25" s="1"/>
  <c r="BK169" i="25" s="1"/>
  <c r="BL185" i="25"/>
  <c r="BI185" i="25"/>
  <c r="BJ185" i="25" s="1"/>
  <c r="BK185" i="25" s="1"/>
  <c r="BL193" i="25"/>
  <c r="BI193" i="25"/>
  <c r="BJ193" i="25" s="1"/>
  <c r="BK193" i="25" s="1"/>
  <c r="BL201" i="25"/>
  <c r="BI201" i="25"/>
  <c r="BJ201" i="25" s="1"/>
  <c r="BK201" i="25" s="1"/>
  <c r="BL209" i="25"/>
  <c r="BI209" i="25"/>
  <c r="BL217" i="25"/>
  <c r="BI217" i="25"/>
  <c r="BJ217" i="25" s="1"/>
  <c r="BK217" i="25" s="1"/>
  <c r="BL23" i="25"/>
  <c r="BI23" i="25"/>
  <c r="BJ23" i="25" s="1"/>
  <c r="BK23" i="25" s="1"/>
  <c r="BL31" i="25"/>
  <c r="BI31" i="25"/>
  <c r="BJ31" i="25" s="1"/>
  <c r="BK31" i="25" s="1"/>
  <c r="BL39" i="25"/>
  <c r="BI39" i="25"/>
  <c r="BJ39" i="25" s="1"/>
  <c r="BK39" i="25" s="1"/>
  <c r="BL47" i="25"/>
  <c r="BI47" i="25"/>
  <c r="BJ47" i="25" s="1"/>
  <c r="BK47" i="25" s="1"/>
  <c r="BL55" i="25"/>
  <c r="BI55" i="25"/>
  <c r="BJ55" i="25" s="1"/>
  <c r="BK55" i="25" s="1"/>
  <c r="BL63" i="25"/>
  <c r="BI63" i="25"/>
  <c r="BJ63" i="25" s="1"/>
  <c r="BK63" i="25" s="1"/>
  <c r="BL71" i="25"/>
  <c r="BI71" i="25"/>
  <c r="BJ71" i="25" s="1"/>
  <c r="BK71" i="25" s="1"/>
  <c r="BL79" i="25"/>
  <c r="BI79" i="25"/>
  <c r="BJ79" i="25" s="1"/>
  <c r="BK79" i="25" s="1"/>
  <c r="BL87" i="25"/>
  <c r="BI87" i="25"/>
  <c r="BJ87" i="25" s="1"/>
  <c r="BK87" i="25" s="1"/>
  <c r="BL95" i="25"/>
  <c r="BI95" i="25"/>
  <c r="BJ95" i="25" s="1"/>
  <c r="BK95" i="25" s="1"/>
  <c r="BL103" i="25"/>
  <c r="BI103" i="25"/>
  <c r="BJ103" i="25" s="1"/>
  <c r="BK103" i="25" s="1"/>
  <c r="BL111" i="25"/>
  <c r="BI111" i="25"/>
  <c r="BJ111" i="25" s="1"/>
  <c r="BK111" i="25" s="1"/>
  <c r="BL119" i="25"/>
  <c r="BI119" i="25"/>
  <c r="BJ119" i="25" s="1"/>
  <c r="BK119" i="25" s="1"/>
  <c r="BL127" i="25"/>
  <c r="BI127" i="25"/>
  <c r="BJ127" i="25" s="1"/>
  <c r="BK127" i="25" s="1"/>
  <c r="BL135" i="25"/>
  <c r="BI135" i="25"/>
  <c r="BL162" i="25"/>
  <c r="BI162" i="25"/>
  <c r="BJ162" i="25" s="1"/>
  <c r="BK162" i="25" s="1"/>
  <c r="BL170" i="25"/>
  <c r="BI170" i="25"/>
  <c r="BJ170" i="25" s="1"/>
  <c r="BK170" i="25" s="1"/>
  <c r="BL194" i="25"/>
  <c r="BI194" i="25"/>
  <c r="BJ194" i="25" s="1"/>
  <c r="BK194" i="25" s="1"/>
  <c r="BL202" i="25"/>
  <c r="BI202" i="25"/>
  <c r="BJ202" i="25" s="1"/>
  <c r="BK202" i="25" s="1"/>
  <c r="BL210" i="25"/>
  <c r="BI210" i="25"/>
  <c r="BJ210" i="25" s="1"/>
  <c r="BK210" i="25" s="1"/>
  <c r="BL218" i="25"/>
  <c r="BI218" i="25"/>
  <c r="BJ218" i="25" s="1"/>
  <c r="BK218" i="25" s="1"/>
  <c r="BL15" i="25"/>
  <c r="BI15" i="25"/>
  <c r="BJ15" i="25" s="1"/>
  <c r="BK15" i="25" s="1"/>
  <c r="BL8" i="25"/>
  <c r="BI8" i="25"/>
  <c r="BJ8" i="25" s="1"/>
  <c r="BK8" i="25" s="1"/>
  <c r="BL16" i="25"/>
  <c r="BI16" i="25"/>
  <c r="BJ16" i="25" s="1"/>
  <c r="BK16" i="25" s="1"/>
  <c r="BL24" i="25"/>
  <c r="BI24" i="25"/>
  <c r="BJ24" i="25" s="1"/>
  <c r="BK24" i="25" s="1"/>
  <c r="BL32" i="25"/>
  <c r="BI32" i="25"/>
  <c r="BJ32" i="25" s="1"/>
  <c r="BK32" i="25" s="1"/>
  <c r="BL40" i="25"/>
  <c r="BI40" i="25"/>
  <c r="BJ40" i="25" s="1"/>
  <c r="BK40" i="25" s="1"/>
  <c r="BL48" i="25"/>
  <c r="BI48" i="25"/>
  <c r="BJ48" i="25" s="1"/>
  <c r="BK48" i="25" s="1"/>
  <c r="BL56" i="25"/>
  <c r="BI56" i="25"/>
  <c r="BJ56" i="25" s="1"/>
  <c r="BK56" i="25" s="1"/>
  <c r="BL64" i="25"/>
  <c r="BI64" i="25"/>
  <c r="BJ64" i="25" s="1"/>
  <c r="BK64" i="25" s="1"/>
  <c r="BL72" i="25"/>
  <c r="BI72" i="25"/>
  <c r="BJ72" i="25" s="1"/>
  <c r="BK72" i="25" s="1"/>
  <c r="BL80" i="25"/>
  <c r="BI80" i="25"/>
  <c r="BJ80" i="25" s="1"/>
  <c r="BK80" i="25" s="1"/>
  <c r="BL88" i="25"/>
  <c r="BI88" i="25"/>
  <c r="BJ88" i="25" s="1"/>
  <c r="BK88" i="25" s="1"/>
  <c r="BL96" i="25"/>
  <c r="BI96" i="25"/>
  <c r="BL104" i="25"/>
  <c r="BI104" i="25"/>
  <c r="BL112" i="25"/>
  <c r="BI112" i="25"/>
  <c r="BJ112" i="25" s="1"/>
  <c r="BK112" i="25" s="1"/>
  <c r="BL120" i="25"/>
  <c r="BI120" i="25"/>
  <c r="BJ120" i="25" s="1"/>
  <c r="BK120" i="25" s="1"/>
  <c r="BL128" i="25"/>
  <c r="BI128" i="25"/>
  <c r="BJ128" i="25" s="1"/>
  <c r="BK128" i="25" s="1"/>
  <c r="BL136" i="25"/>
  <c r="BI136" i="25"/>
  <c r="BJ136" i="25" s="1"/>
  <c r="BK136" i="25" s="1"/>
  <c r="BL163" i="25"/>
  <c r="BI163" i="25"/>
  <c r="BJ163" i="25" s="1"/>
  <c r="BK163" i="25" s="1"/>
  <c r="BL171" i="25"/>
  <c r="BI171" i="25"/>
  <c r="BJ171" i="25" s="1"/>
  <c r="BK171" i="25" s="1"/>
  <c r="BL187" i="25"/>
  <c r="BI187" i="25"/>
  <c r="BJ187" i="25" s="1"/>
  <c r="BK187" i="25" s="1"/>
  <c r="BL195" i="25"/>
  <c r="BI195" i="25"/>
  <c r="BJ195" i="25" s="1"/>
  <c r="BK195" i="25" s="1"/>
  <c r="BL203" i="25"/>
  <c r="BI203" i="25"/>
  <c r="BJ203" i="25" s="1"/>
  <c r="BK203" i="25" s="1"/>
  <c r="BL211" i="25"/>
  <c r="BI211" i="25"/>
  <c r="BJ211" i="25" s="1"/>
  <c r="BK211" i="25" s="1"/>
  <c r="BL219" i="25"/>
  <c r="BI219" i="25"/>
  <c r="BJ219" i="25" s="1"/>
  <c r="BK219" i="25" s="1"/>
  <c r="BL17" i="25"/>
  <c r="BI17" i="25"/>
  <c r="BJ17" i="25" s="1"/>
  <c r="BK17" i="25" s="1"/>
  <c r="BL25" i="25"/>
  <c r="BI25" i="25"/>
  <c r="BJ25" i="25" s="1"/>
  <c r="BK25" i="25" s="1"/>
  <c r="BL33" i="25"/>
  <c r="BI33" i="25"/>
  <c r="BJ33" i="25" s="1"/>
  <c r="BK33" i="25" s="1"/>
  <c r="BL41" i="25"/>
  <c r="BI41" i="25"/>
  <c r="BJ41" i="25" s="1"/>
  <c r="BK41" i="25" s="1"/>
  <c r="BL49" i="25"/>
  <c r="BI49" i="25"/>
  <c r="BJ49" i="25" s="1"/>
  <c r="BK49" i="25" s="1"/>
  <c r="BL57" i="25"/>
  <c r="BI57" i="25"/>
  <c r="BJ57" i="25" s="1"/>
  <c r="BK57" i="25" s="1"/>
  <c r="BL65" i="25"/>
  <c r="BI65" i="25"/>
  <c r="BJ65" i="25" s="1"/>
  <c r="BK65" i="25" s="1"/>
  <c r="BL73" i="25"/>
  <c r="BI73" i="25"/>
  <c r="BJ73" i="25" s="1"/>
  <c r="BK73" i="25" s="1"/>
  <c r="BL81" i="25"/>
  <c r="BI81" i="25"/>
  <c r="BJ81" i="25" s="1"/>
  <c r="BK81" i="25" s="1"/>
  <c r="BL89" i="25"/>
  <c r="BI89" i="25"/>
  <c r="BJ89" i="25" s="1"/>
  <c r="BK89" i="25" s="1"/>
  <c r="BL97" i="25"/>
  <c r="BI97" i="25"/>
  <c r="BJ97" i="25" s="1"/>
  <c r="BK97" i="25" s="1"/>
  <c r="BL105" i="25"/>
  <c r="BI105" i="25"/>
  <c r="BJ105" i="25" s="1"/>
  <c r="BK105" i="25" s="1"/>
  <c r="BL113" i="25"/>
  <c r="BI113" i="25"/>
  <c r="BJ113" i="25" s="1"/>
  <c r="BK113" i="25" s="1"/>
  <c r="BL121" i="25"/>
  <c r="BI121" i="25"/>
  <c r="BJ121" i="25" s="1"/>
  <c r="BK121" i="25" s="1"/>
  <c r="BL129" i="25"/>
  <c r="BI129" i="25"/>
  <c r="BJ129" i="25" s="1"/>
  <c r="BK129" i="25" s="1"/>
  <c r="BL137" i="25"/>
  <c r="BI137" i="25"/>
  <c r="BJ137" i="25" s="1"/>
  <c r="BK137" i="25" s="1"/>
  <c r="BL180" i="25"/>
  <c r="BI180" i="25"/>
  <c r="BL188" i="25"/>
  <c r="BI188" i="25"/>
  <c r="BJ188" i="25" s="1"/>
  <c r="BK188" i="25" s="1"/>
  <c r="BL196" i="25"/>
  <c r="BI196" i="25"/>
  <c r="BJ196" i="25" s="1"/>
  <c r="BK196" i="25" s="1"/>
  <c r="BL204" i="25"/>
  <c r="BI204" i="25"/>
  <c r="BJ204" i="25" s="1"/>
  <c r="BK204" i="25" s="1"/>
  <c r="BL212" i="25"/>
  <c r="BI212" i="25"/>
  <c r="BJ212" i="25" s="1"/>
  <c r="BK212" i="25" s="1"/>
  <c r="BL220" i="25"/>
  <c r="BI220" i="25"/>
  <c r="BJ220" i="25" s="1"/>
  <c r="BK220" i="25" s="1"/>
  <c r="BL14" i="25"/>
  <c r="BI14" i="25"/>
  <c r="BJ14" i="25" s="1"/>
  <c r="BK14" i="25" s="1"/>
  <c r="BL10" i="25"/>
  <c r="BI10" i="25"/>
  <c r="BJ10" i="25" s="1"/>
  <c r="BK10" i="25" s="1"/>
  <c r="BL18" i="25"/>
  <c r="BI18" i="25"/>
  <c r="BJ18" i="25" s="1"/>
  <c r="BK18" i="25" s="1"/>
  <c r="BL26" i="25"/>
  <c r="BI26" i="25"/>
  <c r="BJ26" i="25" s="1"/>
  <c r="BK26" i="25" s="1"/>
  <c r="BL34" i="25"/>
  <c r="BI34" i="25"/>
  <c r="BJ34" i="25" s="1"/>
  <c r="BK34" i="25" s="1"/>
  <c r="BL42" i="25"/>
  <c r="BI42" i="25"/>
  <c r="BJ42" i="25" s="1"/>
  <c r="BK42" i="25" s="1"/>
  <c r="BL50" i="25"/>
  <c r="BI50" i="25"/>
  <c r="BJ50" i="25" s="1"/>
  <c r="BK50" i="25" s="1"/>
  <c r="BL58" i="25"/>
  <c r="BI58" i="25"/>
  <c r="BJ58" i="25" s="1"/>
  <c r="BK58" i="25" s="1"/>
  <c r="BL66" i="25"/>
  <c r="BI66" i="25"/>
  <c r="BJ66" i="25" s="1"/>
  <c r="BK66" i="25" s="1"/>
  <c r="BL74" i="25"/>
  <c r="BI74" i="25"/>
  <c r="BJ74" i="25" s="1"/>
  <c r="BK74" i="25" s="1"/>
  <c r="BL82" i="25"/>
  <c r="BI82" i="25"/>
  <c r="BJ82" i="25" s="1"/>
  <c r="BK82" i="25" s="1"/>
  <c r="BL90" i="25"/>
  <c r="BI90" i="25"/>
  <c r="BJ90" i="25" s="1"/>
  <c r="BK90" i="25" s="1"/>
  <c r="BL98" i="25"/>
  <c r="BI98" i="25"/>
  <c r="BJ98" i="25" s="1"/>
  <c r="BK98" i="25" s="1"/>
  <c r="BL114" i="25"/>
  <c r="BI114" i="25"/>
  <c r="BJ114" i="25" s="1"/>
  <c r="BK114" i="25" s="1"/>
  <c r="BL122" i="25"/>
  <c r="BI122" i="25"/>
  <c r="BJ122" i="25" s="1"/>
  <c r="BK122" i="25" s="1"/>
  <c r="BL130" i="25"/>
  <c r="BI130" i="25"/>
  <c r="BJ130" i="25" s="1"/>
  <c r="BK130" i="25" s="1"/>
  <c r="BL138" i="25"/>
  <c r="BI138" i="25"/>
  <c r="BJ138" i="25" s="1"/>
  <c r="BK138" i="25" s="1"/>
  <c r="BL165" i="25"/>
  <c r="BI165" i="25"/>
  <c r="BJ165" i="25" s="1"/>
  <c r="BK165" i="25" s="1"/>
  <c r="BL173" i="25"/>
  <c r="BI173" i="25"/>
  <c r="BJ173" i="25" s="1"/>
  <c r="BK173" i="25" s="1"/>
  <c r="BL181" i="25"/>
  <c r="BI181" i="25"/>
  <c r="BJ181" i="25" s="1"/>
  <c r="BK181" i="25" s="1"/>
  <c r="BL189" i="25"/>
  <c r="BI189" i="25"/>
  <c r="BJ189" i="25" s="1"/>
  <c r="BK189" i="25" s="1"/>
  <c r="BL197" i="25"/>
  <c r="BI197" i="25"/>
  <c r="BJ197" i="25" s="1"/>
  <c r="BK197" i="25" s="1"/>
  <c r="BL205" i="25"/>
  <c r="BI205" i="25"/>
  <c r="BL213" i="25"/>
  <c r="BI213" i="25"/>
  <c r="BJ213" i="25" s="1"/>
  <c r="BK213" i="25" s="1"/>
  <c r="BL221" i="25"/>
  <c r="BI221" i="25"/>
  <c r="BJ221" i="25" s="1"/>
  <c r="BK221" i="25" s="1"/>
  <c r="BL11" i="25"/>
  <c r="BI11" i="25"/>
  <c r="BJ11" i="25" s="1"/>
  <c r="BK11" i="25" s="1"/>
  <c r="BL19" i="25"/>
  <c r="BI19" i="25"/>
  <c r="BJ19" i="25" s="1"/>
  <c r="BK19" i="25" s="1"/>
  <c r="BL27" i="25"/>
  <c r="BI27" i="25"/>
  <c r="BJ27" i="25" s="1"/>
  <c r="BK27" i="25" s="1"/>
  <c r="BL35" i="25"/>
  <c r="BI35" i="25"/>
  <c r="BJ35" i="25" s="1"/>
  <c r="BK35" i="25" s="1"/>
  <c r="BL43" i="25"/>
  <c r="BI43" i="25"/>
  <c r="BJ43" i="25" s="1"/>
  <c r="BK43" i="25" s="1"/>
  <c r="BL51" i="25"/>
  <c r="BI51" i="25"/>
  <c r="BJ51" i="25" s="1"/>
  <c r="BK51" i="25" s="1"/>
  <c r="BL59" i="25"/>
  <c r="BI59" i="25"/>
  <c r="BJ59" i="25" s="1"/>
  <c r="BK59" i="25" s="1"/>
  <c r="BL67" i="25"/>
  <c r="BI67" i="25"/>
  <c r="BJ67" i="25" s="1"/>
  <c r="BK67" i="25" s="1"/>
  <c r="BL75" i="25"/>
  <c r="BI75" i="25"/>
  <c r="BJ75" i="25" s="1"/>
  <c r="BK75" i="25" s="1"/>
  <c r="BL83" i="25"/>
  <c r="BI83" i="25"/>
  <c r="BJ83" i="25" s="1"/>
  <c r="BK83" i="25" s="1"/>
  <c r="BL91" i="25"/>
  <c r="BI91" i="25"/>
  <c r="BJ91" i="25" s="1"/>
  <c r="BK91" i="25" s="1"/>
  <c r="BL99" i="25"/>
  <c r="BI99" i="25"/>
  <c r="BJ99" i="25" s="1"/>
  <c r="BK99" i="25" s="1"/>
  <c r="BL107" i="25"/>
  <c r="BI107" i="25"/>
  <c r="BJ107" i="25" s="1"/>
  <c r="BK107" i="25" s="1"/>
  <c r="BL115" i="25"/>
  <c r="BI115" i="25"/>
  <c r="BJ115" i="25" s="1"/>
  <c r="BK115" i="25" s="1"/>
  <c r="BL123" i="25"/>
  <c r="BI123" i="25"/>
  <c r="BJ123" i="25" s="1"/>
  <c r="BK123" i="25" s="1"/>
  <c r="BL131" i="25"/>
  <c r="BI131" i="25"/>
  <c r="BJ131" i="25" s="1"/>
  <c r="BK131" i="25" s="1"/>
  <c r="BL139" i="25"/>
  <c r="BI139" i="25"/>
  <c r="BJ139" i="25" s="1"/>
  <c r="BK139" i="25" s="1"/>
  <c r="BL166" i="25"/>
  <c r="BI166" i="25"/>
  <c r="BJ166" i="25" s="1"/>
  <c r="BK166" i="25" s="1"/>
  <c r="BL190" i="25"/>
  <c r="BI190" i="25"/>
  <c r="BJ190" i="25" s="1"/>
  <c r="BK190" i="25" s="1"/>
  <c r="BL198" i="25"/>
  <c r="BI198" i="25"/>
  <c r="BJ198" i="25" s="1"/>
  <c r="BK198" i="25" s="1"/>
  <c r="BL206" i="25"/>
  <c r="BI206" i="25"/>
  <c r="BJ206" i="25" s="1"/>
  <c r="BK206" i="25" s="1"/>
  <c r="BL214" i="25"/>
  <c r="BI214" i="25"/>
  <c r="BJ214" i="25" s="1"/>
  <c r="BK214" i="25" s="1"/>
  <c r="BL222" i="25"/>
  <c r="BI222" i="25"/>
  <c r="BJ222" i="25" s="1"/>
  <c r="BK222" i="25" s="1"/>
  <c r="N16" i="89"/>
  <c r="M16" i="89"/>
  <c r="L16" i="89"/>
  <c r="G18" i="89"/>
  <c r="O18" i="89" s="1"/>
  <c r="K16" i="89"/>
  <c r="J16" i="89"/>
  <c r="D38" i="89"/>
  <c r="H16" i="89"/>
  <c r="I16" i="89" s="1"/>
  <c r="O16" i="89"/>
  <c r="N26" i="89"/>
  <c r="M26" i="89"/>
  <c r="L26" i="89"/>
  <c r="K26" i="89"/>
  <c r="J26" i="89"/>
  <c r="H26" i="89"/>
  <c r="I26" i="89" s="1"/>
  <c r="O26" i="89"/>
  <c r="H81" i="89"/>
  <c r="C80" i="92"/>
  <c r="M17" i="89"/>
  <c r="L17" i="89"/>
  <c r="K17" i="89"/>
  <c r="J17" i="89"/>
  <c r="D39" i="89"/>
  <c r="E39" i="89" s="1"/>
  <c r="H17" i="89"/>
  <c r="I17" i="89" s="1"/>
  <c r="O17" i="89"/>
  <c r="N17" i="89"/>
  <c r="L22" i="89"/>
  <c r="G24" i="89"/>
  <c r="K22" i="89"/>
  <c r="J22" i="89"/>
  <c r="H22" i="89"/>
  <c r="I22" i="89" s="1"/>
  <c r="O22" i="89"/>
  <c r="D57" i="89"/>
  <c r="N22" i="89"/>
  <c r="M22" i="89"/>
  <c r="K23" i="89"/>
  <c r="J23" i="89"/>
  <c r="H23" i="89"/>
  <c r="I23" i="89" s="1"/>
  <c r="D58" i="89"/>
  <c r="E58" i="89" s="1"/>
  <c r="O23" i="89"/>
  <c r="N23" i="89"/>
  <c r="M23" i="89"/>
  <c r="L23" i="89"/>
  <c r="D13" i="89"/>
  <c r="J28" i="89"/>
  <c r="H28" i="89"/>
  <c r="I28" i="89" s="1"/>
  <c r="O28" i="89"/>
  <c r="N28" i="89"/>
  <c r="M28" i="89"/>
  <c r="L28" i="89"/>
  <c r="G30" i="89"/>
  <c r="H30" i="89" s="1"/>
  <c r="I30" i="89" s="1"/>
  <c r="K28" i="89"/>
  <c r="H19" i="89"/>
  <c r="I19" i="89" s="1"/>
  <c r="D48" i="89"/>
  <c r="O19" i="89"/>
  <c r="N19" i="89"/>
  <c r="M19" i="89"/>
  <c r="L19" i="89"/>
  <c r="G21" i="89"/>
  <c r="K19" i="89"/>
  <c r="J19" i="89"/>
  <c r="H29" i="89"/>
  <c r="I29" i="89" s="1"/>
  <c r="O29" i="89"/>
  <c r="N29" i="89"/>
  <c r="M29" i="89"/>
  <c r="L29" i="89"/>
  <c r="K29" i="89"/>
  <c r="J29" i="89"/>
  <c r="H80" i="89"/>
  <c r="D49" i="89"/>
  <c r="E49" i="89" s="1"/>
  <c r="H20" i="89"/>
  <c r="I20" i="89" s="1"/>
  <c r="O20" i="89"/>
  <c r="N20" i="89"/>
  <c r="M20" i="89"/>
  <c r="L20" i="89"/>
  <c r="K20" i="89"/>
  <c r="J20" i="89"/>
  <c r="O25" i="89"/>
  <c r="N25" i="89"/>
  <c r="M25" i="89"/>
  <c r="L25" i="89"/>
  <c r="G27" i="89"/>
  <c r="H27" i="89" s="1"/>
  <c r="I27" i="89" s="1"/>
  <c r="K25" i="89"/>
  <c r="J25" i="89"/>
  <c r="H25" i="89"/>
  <c r="I25" i="89" s="1"/>
  <c r="H79" i="89"/>
  <c r="AT222" i="25"/>
  <c r="AW222" i="25" s="1"/>
  <c r="AX222" i="25" s="1"/>
  <c r="BB149" i="25"/>
  <c r="BB76" i="25"/>
  <c r="BB40" i="25"/>
  <c r="AU75" i="25"/>
  <c r="AV75" i="25" s="1"/>
  <c r="AY75" i="25" s="1"/>
  <c r="AT188" i="25"/>
  <c r="AW188" i="25" s="1"/>
  <c r="AX188" i="25" s="1"/>
  <c r="BF139" i="25"/>
  <c r="BB56" i="25"/>
  <c r="AU146" i="25"/>
  <c r="AV146" i="25" s="1"/>
  <c r="AY146" i="25" s="1"/>
  <c r="BB44" i="25"/>
  <c r="BF14" i="25"/>
  <c r="AT85" i="25"/>
  <c r="AW85" i="25" s="1"/>
  <c r="AX85" i="25" s="1"/>
  <c r="BF82" i="25"/>
  <c r="AT38" i="25"/>
  <c r="AW38" i="25" s="1"/>
  <c r="AX38" i="25" s="1"/>
  <c r="BF23" i="25"/>
  <c r="AT41" i="25"/>
  <c r="AW41" i="25" s="1"/>
  <c r="AX41" i="25" s="1"/>
  <c r="BF18" i="25"/>
  <c r="BB55" i="25"/>
  <c r="AU79" i="25"/>
  <c r="AV79" i="25" s="1"/>
  <c r="AY79" i="25" s="1"/>
  <c r="BJ179" i="25"/>
  <c r="BK179" i="25" s="1"/>
  <c r="AU13" i="25"/>
  <c r="AV13" i="25" s="1"/>
  <c r="AY13" i="25" s="1"/>
  <c r="BB37" i="25"/>
  <c r="AT138" i="25"/>
  <c r="AW138" i="25" s="1"/>
  <c r="AX138" i="25" s="1"/>
  <c r="AT157" i="25"/>
  <c r="AW157" i="25" s="1"/>
  <c r="AX157" i="25" s="1"/>
  <c r="BB20" i="25"/>
  <c r="BF9" i="25"/>
  <c r="BB51" i="25"/>
  <c r="AT147" i="25"/>
  <c r="AW147" i="25" s="1"/>
  <c r="AX147" i="25" s="1"/>
  <c r="BB168" i="25"/>
  <c r="BF189" i="25"/>
  <c r="AT192" i="25"/>
  <c r="AW192" i="25" s="1"/>
  <c r="AX192" i="25" s="1"/>
  <c r="BF200" i="25"/>
  <c r="BF179" i="25"/>
  <c r="BF21" i="25"/>
  <c r="AU30" i="25"/>
  <c r="AV30" i="25" s="1"/>
  <c r="AY30" i="25" s="1"/>
  <c r="AT59" i="25"/>
  <c r="AW59" i="25" s="1"/>
  <c r="AX59" i="25" s="1"/>
  <c r="BF92" i="25"/>
  <c r="AT109" i="25"/>
  <c r="AW109" i="25" s="1"/>
  <c r="AX109" i="25" s="1"/>
  <c r="BF112" i="25"/>
  <c r="AT120" i="25"/>
  <c r="AW120" i="25" s="1"/>
  <c r="AX120" i="25" s="1"/>
  <c r="AT134" i="25"/>
  <c r="AW134" i="25" s="1"/>
  <c r="AX134" i="25" s="1"/>
  <c r="AT159" i="25"/>
  <c r="AW159" i="25" s="1"/>
  <c r="AX159" i="25" s="1"/>
  <c r="AT8" i="25"/>
  <c r="AW8" i="25" s="1"/>
  <c r="AX8" i="25" s="1"/>
  <c r="BB7" i="25"/>
  <c r="BF28" i="25"/>
  <c r="BB29" i="25"/>
  <c r="AT96" i="25"/>
  <c r="AW96" i="25" s="1"/>
  <c r="AX96" i="25" s="1"/>
  <c r="BB147" i="25"/>
  <c r="AT207" i="25"/>
  <c r="AW207" i="25" s="1"/>
  <c r="AX207" i="25" s="1"/>
  <c r="AT220" i="25"/>
  <c r="AW220" i="25" s="1"/>
  <c r="AX220" i="25" s="1"/>
  <c r="AT11" i="25"/>
  <c r="AW11" i="25" s="1"/>
  <c r="AX11" i="25" s="1"/>
  <c r="AT10" i="25"/>
  <c r="AW10" i="25" s="1"/>
  <c r="AX10" i="25" s="1"/>
  <c r="AU27" i="25"/>
  <c r="AV27" i="25" s="1"/>
  <c r="AY27" i="25" s="1"/>
  <c r="BB48" i="25"/>
  <c r="BF52" i="25"/>
  <c r="BF81" i="25"/>
  <c r="AT129" i="25"/>
  <c r="AW129" i="25" s="1"/>
  <c r="AX129" i="25" s="1"/>
  <c r="AT56" i="25"/>
  <c r="AW56" i="25" s="1"/>
  <c r="AX56" i="25" s="1"/>
  <c r="AT70" i="25"/>
  <c r="AW70" i="25" s="1"/>
  <c r="AX70" i="25" s="1"/>
  <c r="AU142" i="25"/>
  <c r="AV142" i="25" s="1"/>
  <c r="AY142" i="25" s="1"/>
  <c r="BB145" i="25"/>
  <c r="AU147" i="25"/>
  <c r="AV147" i="25" s="1"/>
  <c r="AY147" i="25" s="1"/>
  <c r="BB31" i="25"/>
  <c r="AT197" i="25"/>
  <c r="AW197" i="25" s="1"/>
  <c r="AX197" i="25" s="1"/>
  <c r="AT208" i="25"/>
  <c r="AW208" i="25" s="1"/>
  <c r="AX208" i="25" s="1"/>
  <c r="BB36" i="25"/>
  <c r="AT45" i="25"/>
  <c r="AW45" i="25" s="1"/>
  <c r="AX45" i="25" s="1"/>
  <c r="AT49" i="25"/>
  <c r="AW49" i="25" s="1"/>
  <c r="AX49" i="25" s="1"/>
  <c r="AT72" i="25"/>
  <c r="AW72" i="25" s="1"/>
  <c r="AX72" i="25" s="1"/>
  <c r="AT98" i="25"/>
  <c r="AW98" i="25" s="1"/>
  <c r="AX98" i="25" s="1"/>
  <c r="AT135" i="25"/>
  <c r="AW135" i="25" s="1"/>
  <c r="AX135" i="25" s="1"/>
  <c r="BB144" i="25"/>
  <c r="BB153" i="25"/>
  <c r="BF156" i="25"/>
  <c r="AT158" i="25"/>
  <c r="AW158" i="25" s="1"/>
  <c r="AX158" i="25" s="1"/>
  <c r="BB160" i="25"/>
  <c r="AT167" i="25"/>
  <c r="AW167" i="25" s="1"/>
  <c r="AX167" i="25" s="1"/>
  <c r="BF181" i="25"/>
  <c r="AT194" i="25"/>
  <c r="AW194" i="25" s="1"/>
  <c r="AX194" i="25" s="1"/>
  <c r="AT198" i="25"/>
  <c r="AW198" i="25" s="1"/>
  <c r="AX198" i="25" s="1"/>
  <c r="AT218" i="25"/>
  <c r="AW218" i="25" s="1"/>
  <c r="AX218" i="25" s="1"/>
  <c r="BF39" i="25"/>
  <c r="AT42" i="25"/>
  <c r="AW42" i="25" s="1"/>
  <c r="AX42" i="25" s="1"/>
  <c r="AU68" i="25"/>
  <c r="AV68" i="25" s="1"/>
  <c r="AY68" i="25" s="1"/>
  <c r="AT90" i="25"/>
  <c r="AW90" i="25" s="1"/>
  <c r="AX90" i="25" s="1"/>
  <c r="AU93" i="25"/>
  <c r="AV93" i="25" s="1"/>
  <c r="AY93" i="25" s="1"/>
  <c r="BF94" i="25"/>
  <c r="AU128" i="25"/>
  <c r="AV128" i="25" s="1"/>
  <c r="AY128" i="25" s="1"/>
  <c r="AU176" i="25"/>
  <c r="AV176" i="25" s="1"/>
  <c r="AY176" i="25" s="1"/>
  <c r="AU51" i="25"/>
  <c r="AV51" i="25" s="1"/>
  <c r="AY51" i="25" s="1"/>
  <c r="AU136" i="25"/>
  <c r="AV136" i="25" s="1"/>
  <c r="AY136" i="25" s="1"/>
  <c r="BF196" i="25"/>
  <c r="AT9" i="25"/>
  <c r="AW9" i="25" s="1"/>
  <c r="AX9" i="25" s="1"/>
  <c r="AT46" i="25"/>
  <c r="AW46" i="25" s="1"/>
  <c r="AX46" i="25" s="1"/>
  <c r="AU47" i="25"/>
  <c r="AV47" i="25" s="1"/>
  <c r="AY47" i="25" s="1"/>
  <c r="BB49" i="25"/>
  <c r="AT86" i="25"/>
  <c r="AW86" i="25" s="1"/>
  <c r="AX86" i="25" s="1"/>
  <c r="AT104" i="25"/>
  <c r="AW104" i="25" s="1"/>
  <c r="AX104" i="25" s="1"/>
  <c r="AT152" i="25"/>
  <c r="AW152" i="25" s="1"/>
  <c r="AX152" i="25" s="1"/>
  <c r="AT215" i="25"/>
  <c r="AW215" i="25" s="1"/>
  <c r="AX215" i="25" s="1"/>
  <c r="AT22" i="25"/>
  <c r="AW22" i="25" s="1"/>
  <c r="AX22" i="25" s="1"/>
  <c r="AU23" i="25"/>
  <c r="AV23" i="25" s="1"/>
  <c r="AY23" i="25" s="1"/>
  <c r="BB25" i="25"/>
  <c r="BF13" i="25"/>
  <c r="AU16" i="25"/>
  <c r="AV16" i="25" s="1"/>
  <c r="AY16" i="25" s="1"/>
  <c r="BF33" i="25"/>
  <c r="AT39" i="25"/>
  <c r="AW39" i="25" s="1"/>
  <c r="AX39" i="25" s="1"/>
  <c r="AT60" i="25"/>
  <c r="AW60" i="25" s="1"/>
  <c r="AX60" i="25" s="1"/>
  <c r="AT74" i="25"/>
  <c r="AW74" i="25" s="1"/>
  <c r="AX74" i="25" s="1"/>
  <c r="AU78" i="25"/>
  <c r="AV78" i="25" s="1"/>
  <c r="AY78" i="25" s="1"/>
  <c r="AS86" i="25"/>
  <c r="AU86" i="25" s="1"/>
  <c r="AV86" i="25" s="1"/>
  <c r="AY86" i="25" s="1"/>
  <c r="BF88" i="25"/>
  <c r="AT94" i="25"/>
  <c r="AW94" i="25" s="1"/>
  <c r="AX94" i="25" s="1"/>
  <c r="BF154" i="25"/>
  <c r="AT171" i="25"/>
  <c r="AW171" i="25" s="1"/>
  <c r="AX171" i="25" s="1"/>
  <c r="AT191" i="25"/>
  <c r="AW191" i="25" s="1"/>
  <c r="AX191" i="25" s="1"/>
  <c r="AT196" i="25"/>
  <c r="AW196" i="25" s="1"/>
  <c r="AX196" i="25" s="1"/>
  <c r="AU212" i="25"/>
  <c r="AV212" i="25" s="1"/>
  <c r="AY212" i="25" s="1"/>
  <c r="AT12" i="25"/>
  <c r="AW12" i="25" s="1"/>
  <c r="AX12" i="25" s="1"/>
  <c r="AT20" i="25"/>
  <c r="AW20" i="25" s="1"/>
  <c r="AX20" i="25" s="1"/>
  <c r="AT32" i="25"/>
  <c r="AW32" i="25" s="1"/>
  <c r="AX32" i="25" s="1"/>
  <c r="BF45" i="25"/>
  <c r="AT61" i="25"/>
  <c r="AW61" i="25" s="1"/>
  <c r="AX61" i="25" s="1"/>
  <c r="AU62" i="25"/>
  <c r="AV62" i="25" s="1"/>
  <c r="AY62" i="25" s="1"/>
  <c r="AT65" i="25"/>
  <c r="AW65" i="25" s="1"/>
  <c r="AX65" i="25" s="1"/>
  <c r="BB73" i="25"/>
  <c r="BF84" i="25"/>
  <c r="AT95" i="25"/>
  <c r="AW95" i="25" s="1"/>
  <c r="AX95" i="25" s="1"/>
  <c r="AU101" i="25"/>
  <c r="AV101" i="25" s="1"/>
  <c r="AY101" i="25" s="1"/>
  <c r="AT126" i="25"/>
  <c r="AW126" i="25" s="1"/>
  <c r="AX126" i="25" s="1"/>
  <c r="BB132" i="25"/>
  <c r="AT137" i="25"/>
  <c r="AW137" i="25" s="1"/>
  <c r="AX137" i="25" s="1"/>
  <c r="BF151" i="25"/>
  <c r="AT153" i="25"/>
  <c r="AW153" i="25" s="1"/>
  <c r="AX153" i="25" s="1"/>
  <c r="BF158" i="25"/>
  <c r="BB159" i="25"/>
  <c r="AT160" i="25"/>
  <c r="AW160" i="25" s="1"/>
  <c r="AX160" i="25" s="1"/>
  <c r="AU66" i="25"/>
  <c r="AV66" i="25" s="1"/>
  <c r="AY66" i="25" s="1"/>
  <c r="AT83" i="25"/>
  <c r="AW83" i="25" s="1"/>
  <c r="AX83" i="25" s="1"/>
  <c r="AU131" i="25"/>
  <c r="AV131" i="25" s="1"/>
  <c r="AY131" i="25" s="1"/>
  <c r="AU145" i="25"/>
  <c r="AV145" i="25" s="1"/>
  <c r="AY145" i="25" s="1"/>
  <c r="AU58" i="25"/>
  <c r="AV58" i="25" s="1"/>
  <c r="AY58" i="25" s="1"/>
  <c r="AT54" i="25"/>
  <c r="AW54" i="25" s="1"/>
  <c r="AX54" i="25" s="1"/>
  <c r="BB83" i="25"/>
  <c r="BB85" i="25"/>
  <c r="AQ90" i="25"/>
  <c r="AU90" i="25" s="1"/>
  <c r="AV90" i="25" s="1"/>
  <c r="AY90" i="25" s="1"/>
  <c r="AQ98" i="25"/>
  <c r="AU98" i="25" s="1"/>
  <c r="AV98" i="25" s="1"/>
  <c r="AY98" i="25" s="1"/>
  <c r="AT110" i="25"/>
  <c r="AW110" i="25" s="1"/>
  <c r="AX110" i="25" s="1"/>
  <c r="AS126" i="25"/>
  <c r="AU126" i="25" s="1"/>
  <c r="AV126" i="25" s="1"/>
  <c r="AY126" i="25" s="1"/>
  <c r="BB157" i="25"/>
  <c r="BB163" i="25"/>
  <c r="BB178" i="25"/>
  <c r="AT189" i="25"/>
  <c r="AW189" i="25" s="1"/>
  <c r="AX189" i="25" s="1"/>
  <c r="BB201" i="25"/>
  <c r="BB27" i="25"/>
  <c r="AS39" i="25"/>
  <c r="AU39" i="25" s="1"/>
  <c r="AV39" i="25" s="1"/>
  <c r="AY39" i="25" s="1"/>
  <c r="BB19" i="25"/>
  <c r="AT23" i="25"/>
  <c r="AW23" i="25" s="1"/>
  <c r="AX23" i="25" s="1"/>
  <c r="AT26" i="25"/>
  <c r="AW26" i="25" s="1"/>
  <c r="AX26" i="25" s="1"/>
  <c r="AT35" i="25"/>
  <c r="AW35" i="25" s="1"/>
  <c r="AX35" i="25" s="1"/>
  <c r="BF35" i="25"/>
  <c r="BB41" i="25"/>
  <c r="AT47" i="25"/>
  <c r="AW47" i="25" s="1"/>
  <c r="AX47" i="25" s="1"/>
  <c r="AS60" i="25"/>
  <c r="AU60" i="25" s="1"/>
  <c r="AV60" i="25" s="1"/>
  <c r="AY60" i="25" s="1"/>
  <c r="AT66" i="25"/>
  <c r="AW66" i="25" s="1"/>
  <c r="AX66" i="25" s="1"/>
  <c r="AQ70" i="25"/>
  <c r="AU70" i="25" s="1"/>
  <c r="AV70" i="25" s="1"/>
  <c r="AY70" i="25" s="1"/>
  <c r="BB74" i="25"/>
  <c r="BF86" i="25"/>
  <c r="BB87" i="25"/>
  <c r="AU88" i="25"/>
  <c r="AV88" i="25" s="1"/>
  <c r="AY88" i="25" s="1"/>
  <c r="AQ95" i="25"/>
  <c r="AU95" i="25" s="1"/>
  <c r="AV95" i="25" s="1"/>
  <c r="AY95" i="25" s="1"/>
  <c r="AT105" i="25"/>
  <c r="AW105" i="25" s="1"/>
  <c r="AX105" i="25" s="1"/>
  <c r="BB131" i="25"/>
  <c r="AU132" i="25"/>
  <c r="AV132" i="25" s="1"/>
  <c r="AY132" i="25" s="1"/>
  <c r="BB136" i="25"/>
  <c r="AT146" i="25"/>
  <c r="AW146" i="25" s="1"/>
  <c r="AX146" i="25" s="1"/>
  <c r="BB148" i="25"/>
  <c r="BB155" i="25"/>
  <c r="AT156" i="25"/>
  <c r="AW156" i="25" s="1"/>
  <c r="AX156" i="25" s="1"/>
  <c r="BB167" i="25"/>
  <c r="BF174" i="25"/>
  <c r="BB175" i="25"/>
  <c r="BL179" i="25"/>
  <c r="BF180" i="25"/>
  <c r="BB184" i="25"/>
  <c r="AS196" i="25"/>
  <c r="AU196" i="25" s="1"/>
  <c r="AV196" i="25" s="1"/>
  <c r="AY196" i="25" s="1"/>
  <c r="BF197" i="25"/>
  <c r="BB205" i="25"/>
  <c r="AT210" i="25"/>
  <c r="AW210" i="25" s="1"/>
  <c r="AX210" i="25" s="1"/>
  <c r="AT216" i="25"/>
  <c r="AW216" i="25" s="1"/>
  <c r="AX216" i="25" s="1"/>
  <c r="AU7" i="25"/>
  <c r="AV7" i="25" s="1"/>
  <c r="AY7" i="25" s="1"/>
  <c r="BB12" i="25"/>
  <c r="AT33" i="25"/>
  <c r="AW33" i="25" s="1"/>
  <c r="AX33" i="25" s="1"/>
  <c r="BB53" i="25"/>
  <c r="BF24" i="25"/>
  <c r="AT31" i="25"/>
  <c r="AW31" i="25" s="1"/>
  <c r="AX31" i="25" s="1"/>
  <c r="AU35" i="25"/>
  <c r="AV35" i="25" s="1"/>
  <c r="AY35" i="25" s="1"/>
  <c r="AU43" i="25"/>
  <c r="AV43" i="25" s="1"/>
  <c r="AY43" i="25" s="1"/>
  <c r="BF43" i="25"/>
  <c r="AU55" i="25"/>
  <c r="AV55" i="25" s="1"/>
  <c r="AY55" i="25" s="1"/>
  <c r="AU64" i="25"/>
  <c r="AV64" i="25" s="1"/>
  <c r="AY64" i="25" s="1"/>
  <c r="AT73" i="25"/>
  <c r="AW73" i="25" s="1"/>
  <c r="AX73" i="25" s="1"/>
  <c r="BF133" i="25"/>
  <c r="AT154" i="25"/>
  <c r="AW154" i="25" s="1"/>
  <c r="AX154" i="25" s="1"/>
  <c r="BB209" i="25"/>
  <c r="BB32" i="25"/>
  <c r="AT29" i="25"/>
  <c r="AW29" i="25" s="1"/>
  <c r="AX29" i="25" s="1"/>
  <c r="AS31" i="25"/>
  <c r="AU31" i="25" s="1"/>
  <c r="AV31" i="25" s="1"/>
  <c r="AY31" i="25" s="1"/>
  <c r="BF34" i="25"/>
  <c r="AT40" i="25"/>
  <c r="AW40" i="25" s="1"/>
  <c r="AX40" i="25" s="1"/>
  <c r="AT50" i="25"/>
  <c r="AW50" i="25" s="1"/>
  <c r="AX50" i="25" s="1"/>
  <c r="AT55" i="25"/>
  <c r="AW55" i="25" s="1"/>
  <c r="AX55" i="25" s="1"/>
  <c r="AS73" i="25"/>
  <c r="AU73" i="25" s="1"/>
  <c r="AV73" i="25" s="1"/>
  <c r="AY73" i="25" s="1"/>
  <c r="AT82" i="25"/>
  <c r="AW82" i="25" s="1"/>
  <c r="AX82" i="25" s="1"/>
  <c r="AT166" i="25"/>
  <c r="AW166" i="25" s="1"/>
  <c r="AX166" i="25" s="1"/>
  <c r="BF171" i="25"/>
  <c r="AU178" i="25"/>
  <c r="AV178" i="25" s="1"/>
  <c r="AY178" i="25" s="1"/>
  <c r="AT214" i="25"/>
  <c r="AW214" i="25" s="1"/>
  <c r="AX214" i="25" s="1"/>
  <c r="AU19" i="25"/>
  <c r="AV19" i="25" s="1"/>
  <c r="AY19" i="25" s="1"/>
  <c r="AU34" i="25"/>
  <c r="AV34" i="25" s="1"/>
  <c r="AY34" i="25" s="1"/>
  <c r="BF192" i="25"/>
  <c r="AT204" i="25"/>
  <c r="AW204" i="25" s="1"/>
  <c r="AX204" i="25" s="1"/>
  <c r="AT30" i="25"/>
  <c r="AW30" i="25" s="1"/>
  <c r="AX30" i="25" s="1"/>
  <c r="AT44" i="25"/>
  <c r="AW44" i="25" s="1"/>
  <c r="AX44" i="25" s="1"/>
  <c r="AU17" i="25"/>
  <c r="AV17" i="25" s="1"/>
  <c r="AY17" i="25" s="1"/>
  <c r="AT34" i="25"/>
  <c r="AW34" i="25" s="1"/>
  <c r="AX34" i="25" s="1"/>
  <c r="AT36" i="25"/>
  <c r="AW36" i="25" s="1"/>
  <c r="AX36" i="25" s="1"/>
  <c r="AU46" i="25"/>
  <c r="AV46" i="25" s="1"/>
  <c r="AY46" i="25" s="1"/>
  <c r="BB47" i="25"/>
  <c r="AT71" i="25"/>
  <c r="AW71" i="25" s="1"/>
  <c r="AX71" i="25" s="1"/>
  <c r="AU81" i="25"/>
  <c r="AV81" i="25" s="1"/>
  <c r="AY81" i="25" s="1"/>
  <c r="AS85" i="25"/>
  <c r="AU85" i="25" s="1"/>
  <c r="AV85" i="25" s="1"/>
  <c r="AY85" i="25" s="1"/>
  <c r="BB90" i="25"/>
  <c r="AU117" i="25"/>
  <c r="AV117" i="25" s="1"/>
  <c r="AY117" i="25" s="1"/>
  <c r="AT131" i="25"/>
  <c r="AW131" i="25" s="1"/>
  <c r="AX131" i="25" s="1"/>
  <c r="AT163" i="25"/>
  <c r="AW163" i="25" s="1"/>
  <c r="AX163" i="25" s="1"/>
  <c r="AU171" i="25"/>
  <c r="AV171" i="25" s="1"/>
  <c r="AY171" i="25" s="1"/>
  <c r="AT175" i="25"/>
  <c r="AW175" i="25" s="1"/>
  <c r="AX175" i="25" s="1"/>
  <c r="AT178" i="25"/>
  <c r="AW178" i="25" s="1"/>
  <c r="AX178" i="25" s="1"/>
  <c r="AU181" i="25"/>
  <c r="AV181" i="25" s="1"/>
  <c r="AY181" i="25" s="1"/>
  <c r="AT184" i="25"/>
  <c r="AW184" i="25" s="1"/>
  <c r="AX184" i="25" s="1"/>
  <c r="AU192" i="25"/>
  <c r="AV192" i="25" s="1"/>
  <c r="AY192" i="25" s="1"/>
  <c r="AT51" i="25"/>
  <c r="AW51" i="25" s="1"/>
  <c r="AX51" i="25" s="1"/>
  <c r="AT76" i="25"/>
  <c r="AW76" i="25" s="1"/>
  <c r="AX76" i="25" s="1"/>
  <c r="AT89" i="25"/>
  <c r="AW89" i="25" s="1"/>
  <c r="AX89" i="25" s="1"/>
  <c r="AT97" i="25"/>
  <c r="AW97" i="25" s="1"/>
  <c r="AX97" i="25" s="1"/>
  <c r="AT139" i="25"/>
  <c r="AW139" i="25" s="1"/>
  <c r="AX139" i="25" s="1"/>
  <c r="AT155" i="25"/>
  <c r="AW155" i="25" s="1"/>
  <c r="AX155" i="25" s="1"/>
  <c r="AT212" i="25"/>
  <c r="AW212" i="25" s="1"/>
  <c r="AX212" i="25" s="1"/>
  <c r="BB214" i="25"/>
  <c r="AU50" i="25"/>
  <c r="AV50" i="25" s="1"/>
  <c r="AY50" i="25" s="1"/>
  <c r="AT7" i="25"/>
  <c r="AW7" i="25" s="1"/>
  <c r="AX7" i="25" s="1"/>
  <c r="AS8" i="25"/>
  <c r="AU8" i="25" s="1"/>
  <c r="AV8" i="25" s="1"/>
  <c r="AY8" i="25" s="1"/>
  <c r="BF8" i="25"/>
  <c r="BB10" i="25"/>
  <c r="AQ12" i="25"/>
  <c r="AU12" i="25" s="1"/>
  <c r="AV12" i="25" s="1"/>
  <c r="AY12" i="25" s="1"/>
  <c r="BB15" i="25"/>
  <c r="AT16" i="25"/>
  <c r="AW16" i="25" s="1"/>
  <c r="AX16" i="25" s="1"/>
  <c r="AT17" i="25"/>
  <c r="AW17" i="25" s="1"/>
  <c r="AX17" i="25" s="1"/>
  <c r="BF17" i="25"/>
  <c r="AS22" i="25"/>
  <c r="AU22" i="25" s="1"/>
  <c r="AV22" i="25" s="1"/>
  <c r="AY22" i="25" s="1"/>
  <c r="BF22" i="25"/>
  <c r="AT27" i="25"/>
  <c r="AW27" i="25" s="1"/>
  <c r="AX27" i="25" s="1"/>
  <c r="BB30" i="25"/>
  <c r="AQ32" i="25"/>
  <c r="AU32" i="25" s="1"/>
  <c r="AV32" i="25" s="1"/>
  <c r="AY32" i="25" s="1"/>
  <c r="AS33" i="25"/>
  <c r="AU33" i="25" s="1"/>
  <c r="AV33" i="25" s="1"/>
  <c r="AY33" i="25" s="1"/>
  <c r="AS38" i="25"/>
  <c r="AU38" i="25" s="1"/>
  <c r="AV38" i="25" s="1"/>
  <c r="AY38" i="25" s="1"/>
  <c r="BF38" i="25"/>
  <c r="AQ42" i="25"/>
  <c r="AU42" i="25" s="1"/>
  <c r="AV42" i="25" s="1"/>
  <c r="AY42" i="25" s="1"/>
  <c r="AT43" i="25"/>
  <c r="AW43" i="25" s="1"/>
  <c r="AX43" i="25" s="1"/>
  <c r="AS44" i="25"/>
  <c r="AU44" i="25" s="1"/>
  <c r="AV44" i="25" s="1"/>
  <c r="AY44" i="25" s="1"/>
  <c r="BB46" i="25"/>
  <c r="AS49" i="25"/>
  <c r="AU49" i="25" s="1"/>
  <c r="AV49" i="25" s="1"/>
  <c r="AY49" i="25" s="1"/>
  <c r="AS54" i="25"/>
  <c r="AU54" i="25" s="1"/>
  <c r="AV54" i="25" s="1"/>
  <c r="AY54" i="25" s="1"/>
  <c r="BF54" i="25"/>
  <c r="AT58" i="25"/>
  <c r="AW58" i="25" s="1"/>
  <c r="AX58" i="25" s="1"/>
  <c r="AS59" i="25"/>
  <c r="AU59" i="25" s="1"/>
  <c r="AV59" i="25" s="1"/>
  <c r="AY59" i="25" s="1"/>
  <c r="AT64" i="25"/>
  <c r="AW64" i="25" s="1"/>
  <c r="AX64" i="25" s="1"/>
  <c r="AT68" i="25"/>
  <c r="AW68" i="25" s="1"/>
  <c r="AX68" i="25" s="1"/>
  <c r="AS72" i="25"/>
  <c r="AU72" i="25" s="1"/>
  <c r="AV72" i="25" s="1"/>
  <c r="AY72" i="25" s="1"/>
  <c r="AS74" i="25"/>
  <c r="AU74" i="25" s="1"/>
  <c r="AV74" i="25" s="1"/>
  <c r="AY74" i="25" s="1"/>
  <c r="AT75" i="25"/>
  <c r="AW75" i="25" s="1"/>
  <c r="AX75" i="25" s="1"/>
  <c r="BB80" i="25"/>
  <c r="AS82" i="25"/>
  <c r="AU82" i="25" s="1"/>
  <c r="AV82" i="25" s="1"/>
  <c r="AY82" i="25" s="1"/>
  <c r="BL106" i="25"/>
  <c r="BJ106" i="25"/>
  <c r="BK106" i="25" s="1"/>
  <c r="AT21" i="25"/>
  <c r="AW21" i="25" s="1"/>
  <c r="AX21" i="25" s="1"/>
  <c r="AT37" i="25"/>
  <c r="AW37" i="25" s="1"/>
  <c r="AX37" i="25" s="1"/>
  <c r="AT48" i="25"/>
  <c r="AW48" i="25" s="1"/>
  <c r="AX48" i="25" s="1"/>
  <c r="AT53" i="25"/>
  <c r="AW53" i="25" s="1"/>
  <c r="AX53" i="25" s="1"/>
  <c r="BJ60" i="25"/>
  <c r="BK60" i="25" s="1"/>
  <c r="AT63" i="25"/>
  <c r="AW63" i="25" s="1"/>
  <c r="AX63" i="25" s="1"/>
  <c r="AT67" i="25"/>
  <c r="AW67" i="25" s="1"/>
  <c r="AX67" i="25" s="1"/>
  <c r="BB91" i="25"/>
  <c r="BF91" i="25"/>
  <c r="BF96" i="25"/>
  <c r="BB97" i="25"/>
  <c r="BF97" i="25"/>
  <c r="BL101" i="25"/>
  <c r="BJ101" i="25"/>
  <c r="BK101" i="25" s="1"/>
  <c r="AT13" i="25"/>
  <c r="AW13" i="25" s="1"/>
  <c r="AX13" i="25" s="1"/>
  <c r="BF16" i="25"/>
  <c r="AQ20" i="25"/>
  <c r="AU20" i="25" s="1"/>
  <c r="AV20" i="25" s="1"/>
  <c r="AY20" i="25" s="1"/>
  <c r="AS21" i="25"/>
  <c r="AU21" i="25" s="1"/>
  <c r="AV21" i="25" s="1"/>
  <c r="AY21" i="25" s="1"/>
  <c r="AS26" i="25"/>
  <c r="AU26" i="25" s="1"/>
  <c r="AV26" i="25" s="1"/>
  <c r="AY26" i="25" s="1"/>
  <c r="BF26" i="25"/>
  <c r="AQ36" i="25"/>
  <c r="AU36" i="25" s="1"/>
  <c r="AV36" i="25" s="1"/>
  <c r="AY36" i="25" s="1"/>
  <c r="AS37" i="25"/>
  <c r="AU37" i="25" s="1"/>
  <c r="AV37" i="25" s="1"/>
  <c r="AY37" i="25" s="1"/>
  <c r="BF42" i="25"/>
  <c r="AS48" i="25"/>
  <c r="AU48" i="25" s="1"/>
  <c r="AV48" i="25" s="1"/>
  <c r="AY48" i="25" s="1"/>
  <c r="BB50" i="25"/>
  <c r="AS53" i="25"/>
  <c r="AU53" i="25" s="1"/>
  <c r="AV53" i="25" s="1"/>
  <c r="AY53" i="25" s="1"/>
  <c r="AS63" i="25"/>
  <c r="AU63" i="25" s="1"/>
  <c r="AV63" i="25" s="1"/>
  <c r="AY63" i="25" s="1"/>
  <c r="AS67" i="25"/>
  <c r="AU67" i="25" s="1"/>
  <c r="AV67" i="25" s="1"/>
  <c r="AY67" i="25" s="1"/>
  <c r="AS71" i="25"/>
  <c r="AU71" i="25" s="1"/>
  <c r="AV71" i="25" s="1"/>
  <c r="AY71" i="25" s="1"/>
  <c r="BF75" i="25"/>
  <c r="BB77" i="25"/>
  <c r="AT78" i="25"/>
  <c r="AW78" i="25" s="1"/>
  <c r="AX78" i="25" s="1"/>
  <c r="BF78" i="25"/>
  <c r="BB89" i="25"/>
  <c r="AS9" i="25"/>
  <c r="AU9" i="25" s="1"/>
  <c r="AV9" i="25" s="1"/>
  <c r="AY9" i="25" s="1"/>
  <c r="AQ10" i="25"/>
  <c r="AU10" i="25" s="1"/>
  <c r="AV10" i="25" s="1"/>
  <c r="AY10" i="25" s="1"/>
  <c r="AS11" i="25"/>
  <c r="AU11" i="25" s="1"/>
  <c r="AV11" i="25" s="1"/>
  <c r="AY11" i="25" s="1"/>
  <c r="BF11" i="25"/>
  <c r="AT14" i="25"/>
  <c r="AW14" i="25" s="1"/>
  <c r="AX14" i="25" s="1"/>
  <c r="AT15" i="25"/>
  <c r="AW15" i="25" s="1"/>
  <c r="AX15" i="25" s="1"/>
  <c r="AT24" i="25"/>
  <c r="AW24" i="25" s="1"/>
  <c r="AX24" i="25" s="1"/>
  <c r="AT25" i="25"/>
  <c r="AW25" i="25" s="1"/>
  <c r="AX25" i="25" s="1"/>
  <c r="BJ37" i="25"/>
  <c r="BK37" i="25" s="1"/>
  <c r="AT52" i="25"/>
  <c r="AW52" i="25" s="1"/>
  <c r="AX52" i="25" s="1"/>
  <c r="AT57" i="25"/>
  <c r="AW57" i="25" s="1"/>
  <c r="AX57" i="25" s="1"/>
  <c r="AT84" i="25"/>
  <c r="AW84" i="25" s="1"/>
  <c r="AX84" i="25" s="1"/>
  <c r="AU92" i="25"/>
  <c r="AV92" i="25" s="1"/>
  <c r="AY92" i="25" s="1"/>
  <c r="BF93" i="25"/>
  <c r="BB93" i="25"/>
  <c r="BF95" i="25"/>
  <c r="BB95" i="25"/>
  <c r="AQ107" i="25"/>
  <c r="AU107" i="25" s="1"/>
  <c r="AV107" i="25" s="1"/>
  <c r="AY107" i="25" s="1"/>
  <c r="AT107" i="25"/>
  <c r="AW107" i="25" s="1"/>
  <c r="AX107" i="25" s="1"/>
  <c r="AQ14" i="25"/>
  <c r="AU14" i="25" s="1"/>
  <c r="AV14" i="25" s="1"/>
  <c r="AY14" i="25" s="1"/>
  <c r="AS15" i="25"/>
  <c r="AU15" i="25" s="1"/>
  <c r="AV15" i="25" s="1"/>
  <c r="AY15" i="25" s="1"/>
  <c r="AT18" i="25"/>
  <c r="AW18" i="25" s="1"/>
  <c r="AX18" i="25" s="1"/>
  <c r="AT19" i="25"/>
  <c r="AW19" i="25" s="1"/>
  <c r="AX19" i="25" s="1"/>
  <c r="AQ24" i="25"/>
  <c r="AU24" i="25" s="1"/>
  <c r="AV24" i="25" s="1"/>
  <c r="AY24" i="25" s="1"/>
  <c r="AS25" i="25"/>
  <c r="AU25" i="25" s="1"/>
  <c r="AV25" i="25" s="1"/>
  <c r="AY25" i="25" s="1"/>
  <c r="AS41" i="25"/>
  <c r="AU41" i="25" s="1"/>
  <c r="AV41" i="25" s="1"/>
  <c r="AY41" i="25" s="1"/>
  <c r="AS52" i="25"/>
  <c r="AU52" i="25" s="1"/>
  <c r="AV52" i="25" s="1"/>
  <c r="AY52" i="25" s="1"/>
  <c r="AS57" i="25"/>
  <c r="AU57" i="25" s="1"/>
  <c r="AV57" i="25" s="1"/>
  <c r="AY57" i="25" s="1"/>
  <c r="AT62" i="25"/>
  <c r="AW62" i="25" s="1"/>
  <c r="AX62" i="25" s="1"/>
  <c r="BB79" i="25"/>
  <c r="AT80" i="25"/>
  <c r="AW80" i="25" s="1"/>
  <c r="AX80" i="25" s="1"/>
  <c r="AQ83" i="25"/>
  <c r="AU83" i="25" s="1"/>
  <c r="AV83" i="25" s="1"/>
  <c r="AY83" i="25" s="1"/>
  <c r="AS84" i="25"/>
  <c r="AU84" i="25" s="1"/>
  <c r="AV84" i="25" s="1"/>
  <c r="AY84" i="25" s="1"/>
  <c r="AS94" i="25"/>
  <c r="AU94" i="25" s="1"/>
  <c r="AV94" i="25" s="1"/>
  <c r="AY94" i="25" s="1"/>
  <c r="AS96" i="25"/>
  <c r="AU96" i="25" s="1"/>
  <c r="AV96" i="25" s="1"/>
  <c r="AY96" i="25" s="1"/>
  <c r="AT28" i="25"/>
  <c r="AW28" i="25" s="1"/>
  <c r="AX28" i="25" s="1"/>
  <c r="AT69" i="25"/>
  <c r="AW69" i="25" s="1"/>
  <c r="AX69" i="25" s="1"/>
  <c r="AU77" i="25"/>
  <c r="AV77" i="25" s="1"/>
  <c r="AY77" i="25" s="1"/>
  <c r="AS80" i="25"/>
  <c r="AU80" i="25" s="1"/>
  <c r="AV80" i="25" s="1"/>
  <c r="AY80" i="25" s="1"/>
  <c r="AQ28" i="25"/>
  <c r="AU28" i="25" s="1"/>
  <c r="AV28" i="25" s="1"/>
  <c r="AY28" i="25" s="1"/>
  <c r="AS29" i="25"/>
  <c r="AU29" i="25" s="1"/>
  <c r="AV29" i="25" s="1"/>
  <c r="AY29" i="25" s="1"/>
  <c r="AS40" i="25"/>
  <c r="AU40" i="25" s="1"/>
  <c r="AV40" i="25" s="1"/>
  <c r="AY40" i="25" s="1"/>
  <c r="AS45" i="25"/>
  <c r="AU45" i="25" s="1"/>
  <c r="AV45" i="25" s="1"/>
  <c r="AY45" i="25" s="1"/>
  <c r="AS56" i="25"/>
  <c r="AU56" i="25" s="1"/>
  <c r="AV56" i="25" s="1"/>
  <c r="AY56" i="25" s="1"/>
  <c r="AS61" i="25"/>
  <c r="AU61" i="25" s="1"/>
  <c r="AV61" i="25" s="1"/>
  <c r="AY61" i="25" s="1"/>
  <c r="AS65" i="25"/>
  <c r="AU65" i="25" s="1"/>
  <c r="AV65" i="25" s="1"/>
  <c r="AY65" i="25" s="1"/>
  <c r="AQ69" i="25"/>
  <c r="AU69" i="25" s="1"/>
  <c r="AV69" i="25" s="1"/>
  <c r="AY69" i="25" s="1"/>
  <c r="AT91" i="25"/>
  <c r="AW91" i="25" s="1"/>
  <c r="AX91" i="25" s="1"/>
  <c r="AQ91" i="25"/>
  <c r="AU91" i="25" s="1"/>
  <c r="AV91" i="25" s="1"/>
  <c r="AY91" i="25" s="1"/>
  <c r="AU18" i="25"/>
  <c r="AV18" i="25" s="1"/>
  <c r="AY18" i="25" s="1"/>
  <c r="AU99" i="25"/>
  <c r="AV99" i="25" s="1"/>
  <c r="AY99" i="25" s="1"/>
  <c r="AT121" i="25"/>
  <c r="AW121" i="25" s="1"/>
  <c r="AX121" i="25" s="1"/>
  <c r="AT123" i="25"/>
  <c r="AW123" i="25" s="1"/>
  <c r="AX123" i="25" s="1"/>
  <c r="AT125" i="25"/>
  <c r="AW125" i="25" s="1"/>
  <c r="AX125" i="25" s="1"/>
  <c r="AT140" i="25"/>
  <c r="AW140" i="25" s="1"/>
  <c r="AX140" i="25" s="1"/>
  <c r="AT79" i="25"/>
  <c r="AW79" i="25" s="1"/>
  <c r="AX79" i="25" s="1"/>
  <c r="AT81" i="25"/>
  <c r="AW81" i="25" s="1"/>
  <c r="AX81" i="25" s="1"/>
  <c r="AT92" i="25"/>
  <c r="AW92" i="25" s="1"/>
  <c r="AX92" i="25" s="1"/>
  <c r="BF108" i="25"/>
  <c r="AT116" i="25"/>
  <c r="AW116" i="25" s="1"/>
  <c r="AX116" i="25" s="1"/>
  <c r="AT118" i="25"/>
  <c r="AW118" i="25" s="1"/>
  <c r="AX118" i="25" s="1"/>
  <c r="AS121" i="25"/>
  <c r="AU121" i="25" s="1"/>
  <c r="AV121" i="25" s="1"/>
  <c r="AY121" i="25" s="1"/>
  <c r="AS123" i="25"/>
  <c r="AU123" i="25" s="1"/>
  <c r="AV123" i="25" s="1"/>
  <c r="AY123" i="25" s="1"/>
  <c r="AS125" i="25"/>
  <c r="AU125" i="25" s="1"/>
  <c r="AV125" i="25" s="1"/>
  <c r="AY125" i="25" s="1"/>
  <c r="AT130" i="25"/>
  <c r="AW130" i="25" s="1"/>
  <c r="AX130" i="25" s="1"/>
  <c r="AT136" i="25"/>
  <c r="AW136" i="25" s="1"/>
  <c r="AX136" i="25" s="1"/>
  <c r="AQ139" i="25"/>
  <c r="AU139" i="25" s="1"/>
  <c r="AV139" i="25" s="1"/>
  <c r="AY139" i="25" s="1"/>
  <c r="AS140" i="25"/>
  <c r="AU140" i="25" s="1"/>
  <c r="AV140" i="25" s="1"/>
  <c r="AY140" i="25" s="1"/>
  <c r="BB141" i="25"/>
  <c r="AT142" i="25"/>
  <c r="AW142" i="25" s="1"/>
  <c r="AX142" i="25" s="1"/>
  <c r="AT151" i="25"/>
  <c r="AW151" i="25" s="1"/>
  <c r="AX151" i="25" s="1"/>
  <c r="BB152" i="25"/>
  <c r="AS167" i="25"/>
  <c r="AU167" i="25" s="1"/>
  <c r="AV167" i="25" s="1"/>
  <c r="AY167" i="25" s="1"/>
  <c r="BB185" i="25"/>
  <c r="AS189" i="25"/>
  <c r="AU189" i="25" s="1"/>
  <c r="AV189" i="25" s="1"/>
  <c r="AY189" i="25" s="1"/>
  <c r="AT200" i="25"/>
  <c r="AW200" i="25" s="1"/>
  <c r="AX200" i="25" s="1"/>
  <c r="AT202" i="25"/>
  <c r="AW202" i="25" s="1"/>
  <c r="AX202" i="25" s="1"/>
  <c r="AS204" i="25"/>
  <c r="AU204" i="25" s="1"/>
  <c r="AV204" i="25" s="1"/>
  <c r="AY204" i="25" s="1"/>
  <c r="BB208" i="25"/>
  <c r="AU209" i="25"/>
  <c r="AV209" i="25" s="1"/>
  <c r="AY209" i="25" s="1"/>
  <c r="AS214" i="25"/>
  <c r="AU214" i="25" s="1"/>
  <c r="AV214" i="25" s="1"/>
  <c r="AY214" i="25" s="1"/>
  <c r="AT217" i="25"/>
  <c r="AW217" i="25" s="1"/>
  <c r="AX217" i="25" s="1"/>
  <c r="AT221" i="25"/>
  <c r="AW221" i="25" s="1"/>
  <c r="AX221" i="25" s="1"/>
  <c r="AU111" i="25"/>
  <c r="AV111" i="25" s="1"/>
  <c r="AY111" i="25" s="1"/>
  <c r="BF111" i="25"/>
  <c r="AT127" i="25"/>
  <c r="AW127" i="25" s="1"/>
  <c r="AX127" i="25" s="1"/>
  <c r="AT145" i="25"/>
  <c r="AW145" i="25" s="1"/>
  <c r="AX145" i="25" s="1"/>
  <c r="AS188" i="25"/>
  <c r="AU188" i="25" s="1"/>
  <c r="AV188" i="25" s="1"/>
  <c r="AY188" i="25" s="1"/>
  <c r="AU193" i="25"/>
  <c r="AV193" i="25" s="1"/>
  <c r="AY193" i="25" s="1"/>
  <c r="BF204" i="25"/>
  <c r="AT209" i="25"/>
  <c r="AW209" i="25" s="1"/>
  <c r="AX209" i="25" s="1"/>
  <c r="AT211" i="25"/>
  <c r="AW211" i="25" s="1"/>
  <c r="AX211" i="25" s="1"/>
  <c r="BB215" i="25"/>
  <c r="AT219" i="25"/>
  <c r="AW219" i="25" s="1"/>
  <c r="AX219" i="25" s="1"/>
  <c r="AU221" i="25"/>
  <c r="AV221" i="25" s="1"/>
  <c r="AY221" i="25" s="1"/>
  <c r="AT87" i="25"/>
  <c r="AW87" i="25" s="1"/>
  <c r="AX87" i="25" s="1"/>
  <c r="AT108" i="25"/>
  <c r="AW108" i="25" s="1"/>
  <c r="AX108" i="25" s="1"/>
  <c r="AS127" i="25"/>
  <c r="AU127" i="25" s="1"/>
  <c r="AV127" i="25" s="1"/>
  <c r="AY127" i="25" s="1"/>
  <c r="BB128" i="25"/>
  <c r="BF129" i="25"/>
  <c r="AS135" i="25"/>
  <c r="AU135" i="25" s="1"/>
  <c r="AV135" i="25" s="1"/>
  <c r="AY135" i="25" s="1"/>
  <c r="BF135" i="25"/>
  <c r="BB137" i="25"/>
  <c r="BF138" i="25"/>
  <c r="BF142" i="25"/>
  <c r="BB143" i="25"/>
  <c r="AT144" i="25"/>
  <c r="AW144" i="25" s="1"/>
  <c r="AX144" i="25" s="1"/>
  <c r="BB146" i="25"/>
  <c r="BF150" i="25"/>
  <c r="AS163" i="25"/>
  <c r="AU163" i="25" s="1"/>
  <c r="AV163" i="25" s="1"/>
  <c r="AY163" i="25" s="1"/>
  <c r="BF164" i="25"/>
  <c r="AQ166" i="25"/>
  <c r="AU166" i="25" s="1"/>
  <c r="AV166" i="25" s="1"/>
  <c r="AY166" i="25" s="1"/>
  <c r="AT170" i="25"/>
  <c r="AW170" i="25" s="1"/>
  <c r="AX170" i="25" s="1"/>
  <c r="BB172" i="25"/>
  <c r="AT176" i="25"/>
  <c r="AW176" i="25" s="1"/>
  <c r="AX176" i="25" s="1"/>
  <c r="BF176" i="25"/>
  <c r="BB177" i="25"/>
  <c r="AT182" i="25"/>
  <c r="AW182" i="25" s="1"/>
  <c r="AX182" i="25" s="1"/>
  <c r="AQ184" i="25"/>
  <c r="AU184" i="25" s="1"/>
  <c r="AV184" i="25" s="1"/>
  <c r="AY184" i="25" s="1"/>
  <c r="BF188" i="25"/>
  <c r="AT193" i="25"/>
  <c r="AW193" i="25" s="1"/>
  <c r="AX193" i="25" s="1"/>
  <c r="BF193" i="25"/>
  <c r="AT195" i="25"/>
  <c r="AW195" i="25" s="1"/>
  <c r="AX195" i="25" s="1"/>
  <c r="AU201" i="25"/>
  <c r="AV201" i="25" s="1"/>
  <c r="AY201" i="25" s="1"/>
  <c r="AT77" i="25"/>
  <c r="AW77" i="25" s="1"/>
  <c r="AX77" i="25" s="1"/>
  <c r="AQ87" i="25"/>
  <c r="AU87" i="25" s="1"/>
  <c r="AV87" i="25" s="1"/>
  <c r="AY87" i="25" s="1"/>
  <c r="AT88" i="25"/>
  <c r="AW88" i="25" s="1"/>
  <c r="AX88" i="25" s="1"/>
  <c r="AS89" i="25"/>
  <c r="AU89" i="25" s="1"/>
  <c r="AV89" i="25" s="1"/>
  <c r="AY89" i="25" s="1"/>
  <c r="AS97" i="25"/>
  <c r="AU97" i="25" s="1"/>
  <c r="AV97" i="25" s="1"/>
  <c r="AY97" i="25" s="1"/>
  <c r="AT100" i="25"/>
  <c r="AW100" i="25" s="1"/>
  <c r="AX100" i="25" s="1"/>
  <c r="AT106" i="25"/>
  <c r="AW106" i="25" s="1"/>
  <c r="AX106" i="25" s="1"/>
  <c r="AT115" i="25"/>
  <c r="AW115" i="25" s="1"/>
  <c r="AX115" i="25" s="1"/>
  <c r="AT117" i="25"/>
  <c r="AW117" i="25" s="1"/>
  <c r="AX117" i="25" s="1"/>
  <c r="AT119" i="25"/>
  <c r="AW119" i="25" s="1"/>
  <c r="AX119" i="25" s="1"/>
  <c r="AT122" i="25"/>
  <c r="AW122" i="25" s="1"/>
  <c r="AX122" i="25" s="1"/>
  <c r="AT124" i="25"/>
  <c r="AW124" i="25" s="1"/>
  <c r="AX124" i="25" s="1"/>
  <c r="BJ124" i="25"/>
  <c r="BK124" i="25" s="1"/>
  <c r="AT132" i="25"/>
  <c r="AW132" i="25" s="1"/>
  <c r="AX132" i="25" s="1"/>
  <c r="BB140" i="25"/>
  <c r="AQ144" i="25"/>
  <c r="AU144" i="25" s="1"/>
  <c r="AV144" i="25" s="1"/>
  <c r="AY144" i="25" s="1"/>
  <c r="AS182" i="25"/>
  <c r="AU182" i="25" s="1"/>
  <c r="AV182" i="25" s="1"/>
  <c r="AY182" i="25" s="1"/>
  <c r="AT185" i="25"/>
  <c r="AW185" i="25" s="1"/>
  <c r="AX185" i="25" s="1"/>
  <c r="AT201" i="25"/>
  <c r="AW201" i="25" s="1"/>
  <c r="AX201" i="25" s="1"/>
  <c r="AT203" i="25"/>
  <c r="AW203" i="25" s="1"/>
  <c r="AX203" i="25" s="1"/>
  <c r="AT206" i="25"/>
  <c r="AW206" i="25" s="1"/>
  <c r="AX206" i="25" s="1"/>
  <c r="AS208" i="25"/>
  <c r="AU208" i="25" s="1"/>
  <c r="AV208" i="25" s="1"/>
  <c r="AY208" i="25" s="1"/>
  <c r="AT213" i="25"/>
  <c r="AW213" i="25" s="1"/>
  <c r="AX213" i="25" s="1"/>
  <c r="AT103" i="25"/>
  <c r="AW103" i="25" s="1"/>
  <c r="AX103" i="25" s="1"/>
  <c r="AU115" i="25"/>
  <c r="AV115" i="25" s="1"/>
  <c r="AY115" i="25" s="1"/>
  <c r="AU124" i="25"/>
  <c r="AV124" i="25" s="1"/>
  <c r="AY124" i="25" s="1"/>
  <c r="AT141" i="25"/>
  <c r="AW141" i="25" s="1"/>
  <c r="AX141" i="25" s="1"/>
  <c r="AT181" i="25"/>
  <c r="AW181" i="25" s="1"/>
  <c r="AX181" i="25" s="1"/>
  <c r="AS185" i="25"/>
  <c r="AU185" i="25" s="1"/>
  <c r="AV185" i="25" s="1"/>
  <c r="AY185" i="25" s="1"/>
  <c r="AT190" i="25"/>
  <c r="AW190" i="25" s="1"/>
  <c r="AX190" i="25" s="1"/>
  <c r="AT199" i="25"/>
  <c r="AW199" i="25" s="1"/>
  <c r="AX199" i="25" s="1"/>
  <c r="AS216" i="25"/>
  <c r="AU216" i="25" s="1"/>
  <c r="AV216" i="25" s="1"/>
  <c r="AY216" i="25" s="1"/>
  <c r="BJ216" i="25"/>
  <c r="BK216" i="25" s="1"/>
  <c r="AS218" i="25"/>
  <c r="AU218" i="25" s="1"/>
  <c r="AV218" i="25" s="1"/>
  <c r="AY218" i="25" s="1"/>
  <c r="AT174" i="25"/>
  <c r="AW174" i="25" s="1"/>
  <c r="AX174" i="25" s="1"/>
  <c r="AU205" i="25"/>
  <c r="AV205" i="25" s="1"/>
  <c r="AY205" i="25" s="1"/>
  <c r="AT93" i="25"/>
  <c r="AW93" i="25" s="1"/>
  <c r="AX93" i="25" s="1"/>
  <c r="AT99" i="25"/>
  <c r="AW99" i="25" s="1"/>
  <c r="AX99" i="25" s="1"/>
  <c r="AT101" i="25"/>
  <c r="AW101" i="25" s="1"/>
  <c r="AX101" i="25" s="1"/>
  <c r="AT112" i="25"/>
  <c r="AW112" i="25" s="1"/>
  <c r="AX112" i="25" s="1"/>
  <c r="AT114" i="25"/>
  <c r="AW114" i="25" s="1"/>
  <c r="AX114" i="25" s="1"/>
  <c r="AT128" i="25"/>
  <c r="AW128" i="25" s="1"/>
  <c r="AX128" i="25" s="1"/>
  <c r="AT133" i="25"/>
  <c r="AW133" i="25" s="1"/>
  <c r="AX133" i="25" s="1"/>
  <c r="AT143" i="25"/>
  <c r="AW143" i="25" s="1"/>
  <c r="AX143" i="25" s="1"/>
  <c r="AT162" i="25"/>
  <c r="AW162" i="25" s="1"/>
  <c r="AX162" i="25" s="1"/>
  <c r="AQ174" i="25"/>
  <c r="AU174" i="25" s="1"/>
  <c r="AV174" i="25" s="1"/>
  <c r="AY174" i="25" s="1"/>
  <c r="AT177" i="25"/>
  <c r="AW177" i="25" s="1"/>
  <c r="AX177" i="25" s="1"/>
  <c r="BB182" i="25"/>
  <c r="AS197" i="25"/>
  <c r="AU197" i="25" s="1"/>
  <c r="AV197" i="25" s="1"/>
  <c r="AY197" i="25" s="1"/>
  <c r="AU200" i="25"/>
  <c r="AV200" i="25" s="1"/>
  <c r="AY200" i="25" s="1"/>
  <c r="AT205" i="25"/>
  <c r="AW205" i="25" s="1"/>
  <c r="AX205" i="25" s="1"/>
  <c r="BF58" i="25"/>
  <c r="BB58" i="25"/>
  <c r="BF66" i="25"/>
  <c r="BB66" i="25"/>
  <c r="BF72" i="25"/>
  <c r="BB72" i="25"/>
  <c r="BF59" i="25"/>
  <c r="BB59" i="25"/>
  <c r="BF67" i="25"/>
  <c r="BB67" i="25"/>
  <c r="BJ69" i="25"/>
  <c r="BK69" i="25" s="1"/>
  <c r="BF60" i="25"/>
  <c r="BB60" i="25"/>
  <c r="BF68" i="25"/>
  <c r="BB68" i="25"/>
  <c r="BJ28" i="25"/>
  <c r="BK28" i="25" s="1"/>
  <c r="BJ52" i="25"/>
  <c r="BK52" i="25" s="1"/>
  <c r="BF61" i="25"/>
  <c r="BB61" i="25"/>
  <c r="BF69" i="25"/>
  <c r="BB69" i="25"/>
  <c r="BF62" i="25"/>
  <c r="BB62" i="25"/>
  <c r="BF70" i="25"/>
  <c r="BB70" i="25"/>
  <c r="BF63" i="25"/>
  <c r="BB63" i="25"/>
  <c r="BF64" i="25"/>
  <c r="BB64" i="25"/>
  <c r="BF71" i="25"/>
  <c r="BB71" i="25"/>
  <c r="AU76" i="25"/>
  <c r="AV76" i="25" s="1"/>
  <c r="AY76" i="25" s="1"/>
  <c r="BJ22" i="25"/>
  <c r="BK22" i="25" s="1"/>
  <c r="BJ54" i="25"/>
  <c r="BK54" i="25" s="1"/>
  <c r="BF57" i="25"/>
  <c r="BB57" i="25"/>
  <c r="BF65" i="25"/>
  <c r="BB65" i="25"/>
  <c r="BJ92" i="25"/>
  <c r="BK92" i="25" s="1"/>
  <c r="BJ96" i="25"/>
  <c r="BK96" i="25" s="1"/>
  <c r="BF101" i="25"/>
  <c r="BB101" i="25"/>
  <c r="AS100" i="25"/>
  <c r="AU100" i="25" s="1"/>
  <c r="AV100" i="25" s="1"/>
  <c r="AY100" i="25" s="1"/>
  <c r="AT102" i="25"/>
  <c r="AW102" i="25" s="1"/>
  <c r="AX102" i="25" s="1"/>
  <c r="AS102" i="25"/>
  <c r="AU102" i="25" s="1"/>
  <c r="AV102" i="25" s="1"/>
  <c r="AY102" i="25" s="1"/>
  <c r="BB98" i="25"/>
  <c r="BF99" i="25"/>
  <c r="BB99" i="25"/>
  <c r="BF100" i="25"/>
  <c r="BB100" i="25"/>
  <c r="BF103" i="25"/>
  <c r="AS105" i="25"/>
  <c r="AU105" i="25" s="1"/>
  <c r="AV105" i="25" s="1"/>
  <c r="AY105" i="25" s="1"/>
  <c r="BB105" i="25"/>
  <c r="BF107" i="25"/>
  <c r="AS109" i="25"/>
  <c r="AU109" i="25" s="1"/>
  <c r="AV109" i="25" s="1"/>
  <c r="AY109" i="25" s="1"/>
  <c r="BB109" i="25"/>
  <c r="AT113" i="25"/>
  <c r="AW113" i="25" s="1"/>
  <c r="AX113" i="25" s="1"/>
  <c r="AS118" i="25"/>
  <c r="AU118" i="25" s="1"/>
  <c r="AV118" i="25" s="1"/>
  <c r="AY118" i="25" s="1"/>
  <c r="AS119" i="25"/>
  <c r="AU119" i="25" s="1"/>
  <c r="AV119" i="25" s="1"/>
  <c r="AY119" i="25" s="1"/>
  <c r="BJ104" i="25"/>
  <c r="BK104" i="25" s="1"/>
  <c r="AS113" i="25"/>
  <c r="AU113" i="25" s="1"/>
  <c r="AV113" i="25" s="1"/>
  <c r="AY113" i="25" s="1"/>
  <c r="BF114" i="25"/>
  <c r="BB114" i="25"/>
  <c r="BJ116" i="25"/>
  <c r="BK116" i="25" s="1"/>
  <c r="BF102" i="25"/>
  <c r="AQ103" i="25"/>
  <c r="AU103" i="25" s="1"/>
  <c r="AV103" i="25" s="1"/>
  <c r="AY103" i="25" s="1"/>
  <c r="AS104" i="25"/>
  <c r="AU104" i="25" s="1"/>
  <c r="AV104" i="25" s="1"/>
  <c r="AY104" i="25" s="1"/>
  <c r="BB104" i="25"/>
  <c r="BF106" i="25"/>
  <c r="AS108" i="25"/>
  <c r="AU108" i="25" s="1"/>
  <c r="AV108" i="25" s="1"/>
  <c r="AY108" i="25" s="1"/>
  <c r="BF110" i="25"/>
  <c r="AT111" i="25"/>
  <c r="AW111" i="25" s="1"/>
  <c r="AX111" i="25" s="1"/>
  <c r="BF115" i="25"/>
  <c r="BB115" i="25"/>
  <c r="BF121" i="25"/>
  <c r="BB121" i="25"/>
  <c r="BF113" i="25"/>
  <c r="BF116" i="25"/>
  <c r="BB116" i="25"/>
  <c r="BF120" i="25"/>
  <c r="BB120" i="25"/>
  <c r="AU122" i="25"/>
  <c r="AV122" i="25" s="1"/>
  <c r="AY122" i="25" s="1"/>
  <c r="AS114" i="25"/>
  <c r="AU114" i="25" s="1"/>
  <c r="AV114" i="25" s="1"/>
  <c r="AY114" i="25" s="1"/>
  <c r="BF117" i="25"/>
  <c r="BB117" i="25"/>
  <c r="BF118" i="25"/>
  <c r="BB118" i="25"/>
  <c r="BF119" i="25"/>
  <c r="BB119" i="25"/>
  <c r="AS106" i="25"/>
  <c r="AU106" i="25" s="1"/>
  <c r="AV106" i="25" s="1"/>
  <c r="AY106" i="25" s="1"/>
  <c r="AS110" i="25"/>
  <c r="AU110" i="25" s="1"/>
  <c r="AV110" i="25" s="1"/>
  <c r="AY110" i="25" s="1"/>
  <c r="AS112" i="25"/>
  <c r="AU112" i="25" s="1"/>
  <c r="AV112" i="25" s="1"/>
  <c r="AY112" i="25" s="1"/>
  <c r="AS116" i="25"/>
  <c r="AU116" i="25" s="1"/>
  <c r="AV116" i="25" s="1"/>
  <c r="AY116" i="25" s="1"/>
  <c r="BJ109" i="25"/>
  <c r="BK109" i="25" s="1"/>
  <c r="AS120" i="25"/>
  <c r="AU120" i="25" s="1"/>
  <c r="AV120" i="25" s="1"/>
  <c r="AY120" i="25" s="1"/>
  <c r="BF122" i="25"/>
  <c r="BB122" i="25"/>
  <c r="BB123" i="25"/>
  <c r="BB124" i="25"/>
  <c r="BB125" i="25"/>
  <c r="BB126" i="25"/>
  <c r="BB127" i="25"/>
  <c r="BJ135" i="25"/>
  <c r="BK135" i="25" s="1"/>
  <c r="AT148" i="25"/>
  <c r="AW148" i="25" s="1"/>
  <c r="AX148" i="25" s="1"/>
  <c r="AS148" i="25"/>
  <c r="AU148" i="25" s="1"/>
  <c r="AV148" i="25" s="1"/>
  <c r="AY148" i="25" s="1"/>
  <c r="BL152" i="25"/>
  <c r="BJ152" i="25"/>
  <c r="BK152" i="25" s="1"/>
  <c r="BL160" i="25"/>
  <c r="BJ160" i="25"/>
  <c r="BK160" i="25" s="1"/>
  <c r="BL164" i="25"/>
  <c r="BJ164" i="25"/>
  <c r="BK164" i="25" s="1"/>
  <c r="BL168" i="25"/>
  <c r="BJ168" i="25"/>
  <c r="BK168" i="25" s="1"/>
  <c r="BL172" i="25"/>
  <c r="BJ172" i="25"/>
  <c r="BK172" i="25" s="1"/>
  <c r="BL141" i="25"/>
  <c r="BJ141" i="25"/>
  <c r="BK141" i="25" s="1"/>
  <c r="BL143" i="25"/>
  <c r="BJ143" i="25"/>
  <c r="BK143" i="25" s="1"/>
  <c r="BL145" i="25"/>
  <c r="BJ145" i="25"/>
  <c r="BK145" i="25" s="1"/>
  <c r="BL147" i="25"/>
  <c r="BJ147" i="25"/>
  <c r="BK147" i="25" s="1"/>
  <c r="AT150" i="25"/>
  <c r="AW150" i="25" s="1"/>
  <c r="AX150" i="25" s="1"/>
  <c r="AS150" i="25"/>
  <c r="AU150" i="25" s="1"/>
  <c r="AV150" i="25" s="1"/>
  <c r="AY150" i="25" s="1"/>
  <c r="BL157" i="25"/>
  <c r="BJ157" i="25"/>
  <c r="BK157" i="25" s="1"/>
  <c r="AT149" i="25"/>
  <c r="AW149" i="25" s="1"/>
  <c r="AX149" i="25" s="1"/>
  <c r="AS149" i="25"/>
  <c r="AU149" i="25" s="1"/>
  <c r="AV149" i="25" s="1"/>
  <c r="AY149" i="25" s="1"/>
  <c r="BL151" i="25"/>
  <c r="BJ151" i="25"/>
  <c r="BK151" i="25" s="1"/>
  <c r="BL154" i="25"/>
  <c r="BJ154" i="25"/>
  <c r="BK154" i="25" s="1"/>
  <c r="AQ129" i="25"/>
  <c r="AU129" i="25" s="1"/>
  <c r="AV129" i="25" s="1"/>
  <c r="AY129" i="25" s="1"/>
  <c r="AS130" i="25"/>
  <c r="AU130" i="25" s="1"/>
  <c r="AV130" i="25" s="1"/>
  <c r="AY130" i="25" s="1"/>
  <c r="BB130" i="25"/>
  <c r="AQ133" i="25"/>
  <c r="AU133" i="25" s="1"/>
  <c r="AV133" i="25" s="1"/>
  <c r="AY133" i="25" s="1"/>
  <c r="AS134" i="25"/>
  <c r="AU134" i="25" s="1"/>
  <c r="AV134" i="25" s="1"/>
  <c r="AY134" i="25" s="1"/>
  <c r="BB134" i="25"/>
  <c r="AQ137" i="25"/>
  <c r="AU137" i="25" s="1"/>
  <c r="AV137" i="25" s="1"/>
  <c r="AY137" i="25" s="1"/>
  <c r="AS138" i="25"/>
  <c r="AU138" i="25" s="1"/>
  <c r="AV138" i="25" s="1"/>
  <c r="AY138" i="25" s="1"/>
  <c r="AQ141" i="25"/>
  <c r="AU141" i="25" s="1"/>
  <c r="AV141" i="25" s="1"/>
  <c r="AY141" i="25" s="1"/>
  <c r="AQ143" i="25"/>
  <c r="AU143" i="25" s="1"/>
  <c r="AV143" i="25" s="1"/>
  <c r="AY143" i="25" s="1"/>
  <c r="BL150" i="25"/>
  <c r="BJ150" i="25"/>
  <c r="BK150" i="25" s="1"/>
  <c r="BL159" i="25"/>
  <c r="BJ159" i="25"/>
  <c r="BK159" i="25" s="1"/>
  <c r="BL148" i="25"/>
  <c r="BJ148" i="25"/>
  <c r="BK148" i="25" s="1"/>
  <c r="BL149" i="25"/>
  <c r="BJ149" i="25"/>
  <c r="BK149" i="25" s="1"/>
  <c r="BL156" i="25"/>
  <c r="BJ156" i="25"/>
  <c r="BK156" i="25" s="1"/>
  <c r="AT161" i="25"/>
  <c r="AW161" i="25" s="1"/>
  <c r="AX161" i="25" s="1"/>
  <c r="AS161" i="25"/>
  <c r="AU161" i="25" s="1"/>
  <c r="AV161" i="25" s="1"/>
  <c r="AY161" i="25" s="1"/>
  <c r="AT165" i="25"/>
  <c r="AW165" i="25" s="1"/>
  <c r="AX165" i="25" s="1"/>
  <c r="AS165" i="25"/>
  <c r="AU165" i="25" s="1"/>
  <c r="AV165" i="25" s="1"/>
  <c r="AY165" i="25" s="1"/>
  <c r="AT169" i="25"/>
  <c r="AW169" i="25" s="1"/>
  <c r="AX169" i="25" s="1"/>
  <c r="AS169" i="25"/>
  <c r="AU169" i="25" s="1"/>
  <c r="AV169" i="25" s="1"/>
  <c r="AY169" i="25" s="1"/>
  <c r="AT173" i="25"/>
  <c r="AW173" i="25" s="1"/>
  <c r="AX173" i="25" s="1"/>
  <c r="AS173" i="25"/>
  <c r="AU173" i="25" s="1"/>
  <c r="AV173" i="25" s="1"/>
  <c r="AY173" i="25" s="1"/>
  <c r="BL142" i="25"/>
  <c r="BJ142" i="25"/>
  <c r="BK142" i="25" s="1"/>
  <c r="BL144" i="25"/>
  <c r="BJ144" i="25"/>
  <c r="BK144" i="25" s="1"/>
  <c r="BL146" i="25"/>
  <c r="BJ146" i="25"/>
  <c r="BK146" i="25" s="1"/>
  <c r="BL153" i="25"/>
  <c r="BJ153" i="25"/>
  <c r="BK153" i="25" s="1"/>
  <c r="AT164" i="25"/>
  <c r="AW164" i="25" s="1"/>
  <c r="AX164" i="25" s="1"/>
  <c r="AQ164" i="25"/>
  <c r="AU164" i="25" s="1"/>
  <c r="AV164" i="25" s="1"/>
  <c r="AY164" i="25" s="1"/>
  <c r="AT168" i="25"/>
  <c r="AW168" i="25" s="1"/>
  <c r="AX168" i="25" s="1"/>
  <c r="AQ168" i="25"/>
  <c r="AU168" i="25" s="1"/>
  <c r="AV168" i="25" s="1"/>
  <c r="AY168" i="25" s="1"/>
  <c r="AT172" i="25"/>
  <c r="AW172" i="25" s="1"/>
  <c r="AX172" i="25" s="1"/>
  <c r="AQ172" i="25"/>
  <c r="AU172" i="25" s="1"/>
  <c r="AV172" i="25" s="1"/>
  <c r="AY172" i="25" s="1"/>
  <c r="BL158" i="25"/>
  <c r="BJ158" i="25"/>
  <c r="BK158" i="25" s="1"/>
  <c r="BF161" i="25"/>
  <c r="BB161" i="25"/>
  <c r="BF165" i="25"/>
  <c r="BB165" i="25"/>
  <c r="BF169" i="25"/>
  <c r="BB169" i="25"/>
  <c r="BF173" i="25"/>
  <c r="BB173" i="25"/>
  <c r="BL155" i="25"/>
  <c r="BJ155" i="25"/>
  <c r="BK155" i="25" s="1"/>
  <c r="AU162" i="25"/>
  <c r="AV162" i="25" s="1"/>
  <c r="AY162" i="25" s="1"/>
  <c r="AU170" i="25"/>
  <c r="AV170" i="25" s="1"/>
  <c r="AY170" i="25" s="1"/>
  <c r="BB162" i="25"/>
  <c r="BB166" i="25"/>
  <c r="BB170" i="25"/>
  <c r="BJ175" i="25"/>
  <c r="BK175" i="25" s="1"/>
  <c r="BL175" i="25"/>
  <c r="BJ177" i="25"/>
  <c r="BK177" i="25" s="1"/>
  <c r="BL177" i="25"/>
  <c r="BF183" i="25"/>
  <c r="BB183" i="25"/>
  <c r="BL186" i="25"/>
  <c r="BJ186" i="25"/>
  <c r="BK186" i="25" s="1"/>
  <c r="AT179" i="25"/>
  <c r="AW179" i="25" s="1"/>
  <c r="AX179" i="25" s="1"/>
  <c r="AQ179" i="25"/>
  <c r="AU179" i="25" s="1"/>
  <c r="AV179" i="25" s="1"/>
  <c r="AY179" i="25" s="1"/>
  <c r="BL182" i="25"/>
  <c r="BJ182" i="25"/>
  <c r="BK182" i="25" s="1"/>
  <c r="AT186" i="25"/>
  <c r="AW186" i="25" s="1"/>
  <c r="AX186" i="25" s="1"/>
  <c r="AQ175" i="25"/>
  <c r="AU175" i="25" s="1"/>
  <c r="AV175" i="25" s="1"/>
  <c r="AY175" i="25" s="1"/>
  <c r="AQ177" i="25"/>
  <c r="AU177" i="25" s="1"/>
  <c r="AV177" i="25" s="1"/>
  <c r="AY177" i="25" s="1"/>
  <c r="AT180" i="25"/>
  <c r="AW180" i="25" s="1"/>
  <c r="AX180" i="25" s="1"/>
  <c r="AQ180" i="25"/>
  <c r="AU180" i="25" s="1"/>
  <c r="AV180" i="25" s="1"/>
  <c r="AY180" i="25" s="1"/>
  <c r="AS151" i="25"/>
  <c r="AU151" i="25" s="1"/>
  <c r="AV151" i="25" s="1"/>
  <c r="AY151" i="25" s="1"/>
  <c r="AS152" i="25"/>
  <c r="AU152" i="25" s="1"/>
  <c r="AV152" i="25" s="1"/>
  <c r="AY152" i="25" s="1"/>
  <c r="AS153" i="25"/>
  <c r="AU153" i="25" s="1"/>
  <c r="AV153" i="25" s="1"/>
  <c r="AY153" i="25" s="1"/>
  <c r="AS154" i="25"/>
  <c r="AU154" i="25" s="1"/>
  <c r="AV154" i="25" s="1"/>
  <c r="AY154" i="25" s="1"/>
  <c r="AS155" i="25"/>
  <c r="AU155" i="25" s="1"/>
  <c r="AV155" i="25" s="1"/>
  <c r="AY155" i="25" s="1"/>
  <c r="AS156" i="25"/>
  <c r="AU156" i="25" s="1"/>
  <c r="AV156" i="25" s="1"/>
  <c r="AY156" i="25" s="1"/>
  <c r="AS157" i="25"/>
  <c r="AU157" i="25" s="1"/>
  <c r="AV157" i="25" s="1"/>
  <c r="AY157" i="25" s="1"/>
  <c r="AS158" i="25"/>
  <c r="AU158" i="25" s="1"/>
  <c r="AV158" i="25" s="1"/>
  <c r="AY158" i="25" s="1"/>
  <c r="AS159" i="25"/>
  <c r="AU159" i="25" s="1"/>
  <c r="AV159" i="25" s="1"/>
  <c r="AY159" i="25" s="1"/>
  <c r="AS160" i="25"/>
  <c r="AU160" i="25" s="1"/>
  <c r="AV160" i="25" s="1"/>
  <c r="AY160" i="25" s="1"/>
  <c r="BJ174" i="25"/>
  <c r="BK174" i="25" s="1"/>
  <c r="BL174" i="25"/>
  <c r="BJ176" i="25"/>
  <c r="BK176" i="25" s="1"/>
  <c r="BL176" i="25"/>
  <c r="BJ178" i="25"/>
  <c r="BK178" i="25" s="1"/>
  <c r="BL178" i="25"/>
  <c r="AT187" i="25"/>
  <c r="AW187" i="25" s="1"/>
  <c r="AX187" i="25" s="1"/>
  <c r="AS187" i="25"/>
  <c r="AU187" i="25" s="1"/>
  <c r="AV187" i="25" s="1"/>
  <c r="AY187" i="25" s="1"/>
  <c r="AT183" i="25"/>
  <c r="AW183" i="25" s="1"/>
  <c r="AX183" i="25" s="1"/>
  <c r="AS183" i="25"/>
  <c r="AU183" i="25" s="1"/>
  <c r="AV183" i="25" s="1"/>
  <c r="AY183" i="25" s="1"/>
  <c r="BF187" i="25"/>
  <c r="BB187" i="25"/>
  <c r="BF219" i="25"/>
  <c r="BB219" i="25"/>
  <c r="AS191" i="25"/>
  <c r="AU191" i="25" s="1"/>
  <c r="AV191" i="25" s="1"/>
  <c r="AY191" i="25" s="1"/>
  <c r="BB191" i="25"/>
  <c r="AS195" i="25"/>
  <c r="AU195" i="25" s="1"/>
  <c r="AV195" i="25" s="1"/>
  <c r="AY195" i="25" s="1"/>
  <c r="BB195" i="25"/>
  <c r="AS199" i="25"/>
  <c r="AU199" i="25" s="1"/>
  <c r="AV199" i="25" s="1"/>
  <c r="AY199" i="25" s="1"/>
  <c r="BB199" i="25"/>
  <c r="AS203" i="25"/>
  <c r="AU203" i="25" s="1"/>
  <c r="AV203" i="25" s="1"/>
  <c r="AY203" i="25" s="1"/>
  <c r="BB203" i="25"/>
  <c r="AS207" i="25"/>
  <c r="AU207" i="25" s="1"/>
  <c r="AV207" i="25" s="1"/>
  <c r="AY207" i="25" s="1"/>
  <c r="BB207" i="25"/>
  <c r="AS211" i="25"/>
  <c r="AU211" i="25" s="1"/>
  <c r="AV211" i="25" s="1"/>
  <c r="AY211" i="25" s="1"/>
  <c r="BB211" i="25"/>
  <c r="AS215" i="25"/>
  <c r="AU215" i="25" s="1"/>
  <c r="AV215" i="25" s="1"/>
  <c r="AY215" i="25" s="1"/>
  <c r="AS217" i="25"/>
  <c r="AU217" i="25" s="1"/>
  <c r="AV217" i="25" s="1"/>
  <c r="AY217" i="25" s="1"/>
  <c r="BB213" i="25"/>
  <c r="BF218" i="25"/>
  <c r="BB218" i="25"/>
  <c r="BF221" i="25"/>
  <c r="BB221" i="25"/>
  <c r="AS186" i="25"/>
  <c r="AU186" i="25" s="1"/>
  <c r="AV186" i="25" s="1"/>
  <c r="AY186" i="25" s="1"/>
  <c r="BB186" i="25"/>
  <c r="AS190" i="25"/>
  <c r="AU190" i="25" s="1"/>
  <c r="AV190" i="25" s="1"/>
  <c r="AY190" i="25" s="1"/>
  <c r="BB190" i="25"/>
  <c r="AS194" i="25"/>
  <c r="AU194" i="25" s="1"/>
  <c r="AV194" i="25" s="1"/>
  <c r="AY194" i="25" s="1"/>
  <c r="BB194" i="25"/>
  <c r="AS198" i="25"/>
  <c r="AU198" i="25" s="1"/>
  <c r="AV198" i="25" s="1"/>
  <c r="AY198" i="25" s="1"/>
  <c r="BB198" i="25"/>
  <c r="AS202" i="25"/>
  <c r="AU202" i="25" s="1"/>
  <c r="AV202" i="25" s="1"/>
  <c r="AY202" i="25" s="1"/>
  <c r="BB202" i="25"/>
  <c r="AS206" i="25"/>
  <c r="AU206" i="25" s="1"/>
  <c r="AV206" i="25" s="1"/>
  <c r="AY206" i="25" s="1"/>
  <c r="BB206" i="25"/>
  <c r="AS210" i="25"/>
  <c r="AU210" i="25" s="1"/>
  <c r="AV210" i="25" s="1"/>
  <c r="AY210" i="25" s="1"/>
  <c r="BB210" i="25"/>
  <c r="AS213" i="25"/>
  <c r="AU213" i="25" s="1"/>
  <c r="AV213" i="25" s="1"/>
  <c r="AY213" i="25" s="1"/>
  <c r="AU219" i="25"/>
  <c r="AV219" i="25" s="1"/>
  <c r="AY219" i="25" s="1"/>
  <c r="AS220" i="25"/>
  <c r="AU220" i="25" s="1"/>
  <c r="AV220" i="25" s="1"/>
  <c r="AY220" i="25" s="1"/>
  <c r="BJ205" i="25"/>
  <c r="BK205" i="25" s="1"/>
  <c r="BJ209" i="25"/>
  <c r="BK209" i="25" s="1"/>
  <c r="BF217" i="25"/>
  <c r="BB217" i="25"/>
  <c r="BF220" i="25"/>
  <c r="BB220" i="25"/>
  <c r="AS222" i="25"/>
  <c r="AU222" i="25" s="1"/>
  <c r="AV222" i="25" s="1"/>
  <c r="AY222" i="25" s="1"/>
  <c r="BJ180" i="25"/>
  <c r="BK180" i="25" s="1"/>
  <c r="BJ184" i="25"/>
  <c r="BK184" i="25" s="1"/>
  <c r="BB212" i="25"/>
  <c r="BF216" i="25"/>
  <c r="BB216" i="25"/>
  <c r="BF222" i="25"/>
  <c r="BB222" i="25"/>
  <c r="E48" i="89" l="1"/>
  <c r="E66" i="89" s="1"/>
  <c r="M66" i="89"/>
  <c r="K66" i="89"/>
  <c r="E38" i="89"/>
  <c r="C66" i="89" s="1"/>
  <c r="H24" i="89"/>
  <c r="I24" i="89" s="1"/>
  <c r="N24" i="89"/>
  <c r="M24" i="89"/>
  <c r="L24" i="89"/>
  <c r="K24" i="89"/>
  <c r="J24" i="89"/>
  <c r="M21" i="89"/>
  <c r="L21" i="89"/>
  <c r="K21" i="89"/>
  <c r="J21" i="89"/>
  <c r="H21" i="89"/>
  <c r="I21" i="89" s="1"/>
  <c r="N21" i="89"/>
  <c r="J18" i="89"/>
  <c r="H18" i="89"/>
  <c r="I18" i="89" s="1"/>
  <c r="N18" i="89"/>
  <c r="M18" i="89"/>
  <c r="L18" i="89"/>
  <c r="K18" i="89"/>
  <c r="O24" i="89"/>
  <c r="O66" i="89"/>
  <c r="E57" i="89"/>
  <c r="G66" i="89" s="1"/>
  <c r="O21"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sit.wash.pm</author>
    <author>MEAL Activity Manager</author>
  </authors>
  <commentList>
    <comment ref="H9" authorId="0" shapeId="0" xr:uid="{E8982B89-56A8-485C-B406-F7300B511C18}">
      <text>
        <r>
          <rPr>
            <b/>
            <sz val="9"/>
            <color indexed="81"/>
            <rFont val="Tahoma"/>
            <family val="2"/>
          </rPr>
          <t>Administrator:</t>
        </r>
        <r>
          <rPr>
            <sz val="9"/>
            <color indexed="81"/>
            <rFont val="Tahoma"/>
            <family val="2"/>
          </rPr>
          <t xml:space="preserve">
Ku Lar Te?</t>
        </r>
      </text>
    </comment>
    <comment ref="H21" authorId="0" shapeId="0" xr:uid="{E3388A27-1610-4893-8087-9B96C827ADA5}">
      <text>
        <r>
          <rPr>
            <b/>
            <sz val="9"/>
            <color indexed="81"/>
            <rFont val="Tahoma"/>
            <family val="2"/>
          </rPr>
          <t>Administrator:</t>
        </r>
        <r>
          <rPr>
            <sz val="9"/>
            <color indexed="81"/>
            <rFont val="Tahoma"/>
            <family val="2"/>
          </rPr>
          <t xml:space="preserve">
Ka Yin or Ka Nyin</t>
        </r>
      </text>
    </comment>
    <comment ref="N100" authorId="1" shapeId="0" xr:uid="{1A5B439F-6E02-4FBD-8B4F-9EA82E8F0CB0}">
      <text>
        <r>
          <rPr>
            <b/>
            <sz val="9"/>
            <color indexed="81"/>
            <rFont val="Tahoma"/>
            <family val="2"/>
          </rPr>
          <t>sit.wash.pm:</t>
        </r>
        <r>
          <rPr>
            <sz val="9"/>
            <color indexed="81"/>
            <rFont val="Tahoma"/>
            <family val="2"/>
          </rPr>
          <t xml:space="preserve">
No work days lost because of not receiving travel approval documents.</t>
        </r>
      </text>
    </comment>
    <comment ref="H127" authorId="0" shapeId="0" xr:uid="{EA5820C7-BA20-4FEA-90A6-ACC952EDE365}">
      <text>
        <r>
          <rPr>
            <b/>
            <sz val="9"/>
            <color indexed="81"/>
            <rFont val="Tahoma"/>
            <family val="2"/>
          </rPr>
          <t>Administrator:</t>
        </r>
        <r>
          <rPr>
            <sz val="9"/>
            <color indexed="81"/>
            <rFont val="Tahoma"/>
            <family val="2"/>
          </rPr>
          <t xml:space="preserve">
Taw Tan or Taw Kan??</t>
        </r>
      </text>
    </comment>
    <comment ref="AG150" authorId="2" shapeId="0" xr:uid="{C0FF26E0-4197-4E68-8DF4-7B9AACE17080}">
      <text>
        <r>
          <rPr>
            <b/>
            <sz val="9"/>
            <color indexed="81"/>
            <rFont val="Tahoma"/>
            <family val="2"/>
          </rPr>
          <t>MEAL Activity Manager:</t>
        </r>
        <r>
          <rPr>
            <sz val="9"/>
            <color indexed="81"/>
            <rFont val="Tahoma"/>
            <family val="2"/>
          </rPr>
          <t xml:space="preserve">
Students are included in # of boys. There is no separate data available for school in this Quarter. This segregation can be done in the next Quarter</t>
        </r>
      </text>
    </comment>
    <comment ref="AH150" authorId="2" shapeId="0" xr:uid="{747659E8-DB5F-4C3F-A436-25C8FBDE6BA2}">
      <text>
        <r>
          <rPr>
            <b/>
            <sz val="9"/>
            <color indexed="81"/>
            <rFont val="Tahoma"/>
            <family val="2"/>
          </rPr>
          <t>MEAL Activity Manager:</t>
        </r>
        <r>
          <rPr>
            <sz val="9"/>
            <color indexed="81"/>
            <rFont val="Tahoma"/>
            <family val="2"/>
          </rPr>
          <t xml:space="preserve">
Same comment as # of students (boys)</t>
        </r>
      </text>
    </comment>
    <comment ref="AN150" authorId="2" shapeId="0" xr:uid="{17E93348-D75E-48B3-A656-8E290CB7DFA8}">
      <text>
        <r>
          <rPr>
            <b/>
            <sz val="9"/>
            <color indexed="81"/>
            <rFont val="Tahoma"/>
            <family val="2"/>
          </rPr>
          <t>MEAL Activity Manager:</t>
        </r>
        <r>
          <rPr>
            <sz val="9"/>
            <color indexed="81"/>
            <rFont val="Tahoma"/>
            <family val="2"/>
          </rPr>
          <t xml:space="preserve">
From June-2019 HK PDM. The information is about informing for the HK distribution.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25" authorId="0" shapeId="0" xr:uid="{CE9A4E03-D83F-4971-A947-C373FCF25A12}">
      <text>
        <r>
          <rPr>
            <b/>
            <sz val="9"/>
            <color indexed="81"/>
            <rFont val="Tahoma"/>
            <family val="2"/>
          </rPr>
          <t>Administrator:</t>
        </r>
        <r>
          <rPr>
            <sz val="9"/>
            <color indexed="81"/>
            <rFont val="Tahoma"/>
            <family val="2"/>
          </rPr>
          <t xml:space="preserve">
+ 63865 (3W)
</t>
        </r>
      </text>
    </comment>
    <comment ref="G26" authorId="0" shapeId="0" xr:uid="{1D86E38B-A52E-4BDA-B085-210C2FD510F7}">
      <text>
        <r>
          <rPr>
            <b/>
            <sz val="9"/>
            <color indexed="81"/>
            <rFont val="Tahoma"/>
            <family val="2"/>
          </rPr>
          <t>Administrator:</t>
        </r>
        <r>
          <rPr>
            <sz val="9"/>
            <color indexed="81"/>
            <rFont val="Tahoma"/>
            <family val="2"/>
          </rPr>
          <t xml:space="preserve">
from UNICEF HPM 216358 in sept
</t>
        </r>
      </text>
    </comment>
    <comment ref="G29" authorId="0" shapeId="0" xr:uid="{F3410280-DE39-4100-BFDE-66542AEF9AA4}">
      <text>
        <r>
          <rPr>
            <b/>
            <sz val="9"/>
            <color indexed="81"/>
            <rFont val="Tahoma"/>
            <family val="2"/>
          </rPr>
          <t>Administrator:</t>
        </r>
        <r>
          <rPr>
            <sz val="9"/>
            <color indexed="81"/>
            <rFont val="Tahoma"/>
            <family val="2"/>
          </rPr>
          <t xml:space="preserve">
including UNICEF 44128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sharedStrings.xml><?xml version="1.0" encoding="utf-8"?>
<sst xmlns="http://schemas.openxmlformats.org/spreadsheetml/2006/main" count="19527" uniqueCount="3082">
  <si>
    <t>V1</t>
  </si>
  <si>
    <t>V2</t>
  </si>
  <si>
    <t>V3</t>
  </si>
  <si>
    <t>V4</t>
  </si>
  <si>
    <t>V5</t>
  </si>
  <si>
    <t>V7</t>
  </si>
  <si>
    <t>V8</t>
  </si>
  <si>
    <t>x1</t>
  </si>
  <si>
    <t>x2</t>
  </si>
  <si>
    <t>x4</t>
  </si>
  <si>
    <t>x5</t>
  </si>
  <si>
    <t>x6</t>
  </si>
  <si>
    <t>x7</t>
  </si>
  <si>
    <t>x8</t>
  </si>
  <si>
    <t>drop down</t>
  </si>
  <si>
    <t>#</t>
  </si>
  <si>
    <t>Text</t>
  </si>
  <si>
    <t>date</t>
  </si>
  <si>
    <t>Reporting Period</t>
  </si>
  <si>
    <t>WASH focal Agency</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</si>
  <si>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</si>
  <si>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</si>
  <si>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</si>
  <si>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</si>
  <si>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</si>
  <si>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</si>
  <si>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</si>
  <si>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</si>
  <si>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</si>
  <si>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</si>
  <si>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</si>
  <si>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</si>
  <si>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</si>
  <si>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</si>
  <si>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</si>
  <si>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</si>
  <si>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</si>
  <si>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</si>
  <si>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</si>
  <si>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</si>
  <si>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</si>
  <si>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</si>
  <si>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</si>
  <si>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</si>
  <si>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</si>
  <si>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</si>
  <si>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</si>
  <si>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</si>
  <si>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</si>
  <si>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</si>
  <si>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</si>
  <si>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</si>
  <si>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 Work days (approx) lost in this site due to access restrictions</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</si>
  <si>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</si>
  <si>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</si>
  <si>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</si>
  <si>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</si>
  <si>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</si>
  <si>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</si>
  <si>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</si>
  <si>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</si>
  <si>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</si>
  <si>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</si>
  <si>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</si>
  <si>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</si>
  <si>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</si>
  <si>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</si>
  <si>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</si>
  <si>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</si>
  <si>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</si>
  <si>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</si>
  <si>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</si>
  <si>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</si>
  <si>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</si>
  <si>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HRP1</t>
  </si>
  <si>
    <t>Number of people with access to functional sanitation facilities</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</si>
  <si>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</si>
  <si>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</si>
  <si>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</si>
  <si>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</si>
  <si>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</si>
  <si>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</si>
  <si>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</si>
  <si>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</si>
  <si>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</si>
  <si>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</si>
  <si>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</si>
  <si>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</si>
  <si>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</si>
  <si>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</si>
  <si>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</si>
  <si>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</si>
  <si>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</si>
  <si>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</si>
  <si>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</si>
  <si>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</si>
  <si>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</si>
  <si>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</si>
  <si>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</si>
  <si>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</si>
  <si>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</si>
  <si>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</si>
  <si>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</si>
  <si>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</si>
  <si>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</si>
  <si>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</si>
  <si>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</si>
  <si>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</si>
  <si>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</si>
  <si>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</si>
  <si>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</si>
  <si>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</si>
  <si>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V14</t>
  </si>
  <si>
    <t>V15</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</si>
  <si>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</si>
  <si>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</si>
  <si>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</si>
  <si>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</si>
  <si>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</si>
  <si>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</si>
  <si>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</si>
  <si>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</si>
  <si>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</si>
  <si>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</si>
  <si>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</si>
  <si>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</si>
  <si>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</si>
  <si>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</si>
  <si>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</si>
  <si>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</si>
  <si>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</si>
  <si>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</si>
  <si>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</si>
  <si>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</si>
  <si>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</si>
  <si>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</si>
  <si>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</si>
  <si>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</si>
  <si>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</si>
  <si>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</si>
  <si>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</si>
  <si>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</si>
  <si>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</si>
  <si>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</si>
  <si>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</si>
  <si>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</si>
  <si>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</si>
  <si>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</si>
  <si>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</si>
  <si>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</si>
  <si>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</si>
  <si>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</si>
  <si>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</si>
  <si>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</si>
  <si>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</si>
  <si>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</si>
  <si>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</si>
  <si>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</si>
  <si>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</si>
  <si>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</si>
  <si>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</si>
  <si>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</si>
  <si>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</si>
  <si>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</si>
  <si>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</si>
  <si>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</si>
  <si>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</si>
  <si>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</si>
  <si>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</si>
  <si>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</si>
  <si>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</si>
  <si>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</si>
  <si>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</si>
  <si>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</si>
  <si>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</si>
  <si>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</si>
  <si>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</si>
  <si>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</si>
  <si>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</si>
  <si>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</si>
  <si>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</si>
  <si>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</si>
  <si>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</si>
  <si>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</si>
  <si>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</si>
  <si>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</si>
  <si>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</si>
  <si>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</si>
  <si>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</si>
  <si>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</si>
  <si>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</si>
  <si>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</si>
  <si>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</si>
  <si>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</si>
  <si>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</si>
  <si>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</si>
  <si>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</si>
  <si>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</si>
  <si>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</si>
  <si>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</si>
  <si>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</si>
  <si>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</si>
  <si>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</si>
  <si>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</si>
  <si>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</si>
  <si>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</si>
  <si>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</si>
  <si>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</si>
  <si>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</si>
  <si>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</si>
  <si>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</si>
  <si>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</si>
  <si>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</si>
  <si>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</si>
  <si>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</si>
  <si>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</si>
  <si>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</si>
  <si>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</si>
  <si>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</si>
  <si>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</si>
  <si>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</si>
  <si>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</si>
  <si>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</si>
  <si>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</si>
  <si>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</si>
  <si>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</si>
  <si>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</si>
  <si>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</si>
  <si>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</si>
  <si>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</si>
  <si>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</si>
  <si>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</si>
  <si>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</si>
  <si>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</si>
  <si>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</si>
  <si>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</si>
  <si>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</si>
  <si>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</si>
  <si>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</si>
  <si>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</si>
  <si>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</si>
  <si>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</si>
  <si>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</si>
  <si>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</si>
  <si>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</si>
  <si>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</si>
  <si>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</si>
  <si>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</si>
  <si>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</si>
  <si>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</si>
  <si>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</si>
  <si>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</si>
  <si>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</si>
  <si>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</si>
  <si>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</si>
  <si>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</si>
  <si>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</si>
  <si>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</si>
  <si>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</si>
  <si>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</si>
  <si>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</si>
  <si>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</si>
  <si>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</si>
  <si>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</si>
  <si>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</si>
  <si>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</si>
  <si>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</si>
  <si>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</si>
  <si>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</si>
  <si>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</si>
  <si>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</si>
  <si>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</si>
  <si>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</si>
  <si>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</si>
  <si>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</si>
  <si>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</si>
  <si>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</si>
  <si>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</si>
  <si>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</si>
  <si>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</si>
  <si>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</si>
  <si>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</si>
  <si>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</si>
  <si>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</si>
  <si>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</si>
  <si>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</si>
  <si>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</si>
  <si>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</si>
  <si>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</si>
  <si>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</si>
  <si>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</si>
  <si>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</si>
  <si>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</si>
  <si>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</si>
  <si>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</si>
  <si>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</si>
  <si>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</si>
  <si>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</si>
  <si>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</si>
  <si>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</si>
  <si>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</si>
  <si>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</si>
  <si>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</si>
  <si>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</si>
  <si>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</si>
  <si>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</si>
  <si>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</si>
  <si>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</si>
  <si>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</si>
  <si>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</si>
  <si>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</si>
  <si>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</si>
  <si>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</si>
  <si>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</si>
  <si>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</si>
  <si>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</si>
  <si>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</si>
  <si>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</si>
  <si>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</si>
  <si>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</si>
  <si>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</si>
  <si>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</si>
  <si>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</si>
  <si>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</si>
  <si>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</si>
  <si>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</si>
  <si>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</si>
  <si>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</si>
  <si>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</si>
  <si>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</si>
  <si>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</si>
  <si>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</si>
  <si>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</si>
  <si>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</si>
  <si>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</si>
  <si>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</si>
  <si>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</si>
  <si>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</si>
  <si>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</si>
  <si>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</si>
  <si>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</si>
  <si>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</si>
  <si>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</si>
  <si>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</si>
  <si>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</si>
  <si>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</si>
  <si>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</si>
  <si>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</si>
  <si>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</si>
  <si>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</si>
  <si>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</si>
  <si>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</si>
  <si>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</si>
  <si>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</si>
  <si>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</si>
  <si>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</si>
  <si>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</si>
  <si>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</si>
  <si>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</si>
  <si>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</si>
  <si>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</si>
  <si>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</si>
  <si>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</si>
  <si>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</si>
  <si>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</si>
  <si>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</si>
  <si>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</si>
  <si>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</si>
  <si>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</si>
  <si>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</si>
  <si>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</si>
  <si>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</si>
  <si>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</si>
  <si>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</si>
  <si>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</si>
  <si>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</si>
  <si>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</si>
  <si>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</si>
  <si>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</si>
  <si>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</si>
  <si>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</si>
  <si>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</si>
  <si>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</si>
  <si>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</si>
  <si>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</si>
  <si>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</si>
  <si>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</si>
  <si>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</si>
  <si>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</si>
  <si>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</si>
  <si>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</si>
  <si>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</si>
  <si>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</si>
  <si>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</si>
  <si>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</si>
  <si>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</si>
  <si>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</si>
  <si>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</si>
  <si>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</si>
  <si>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</si>
  <si>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</si>
  <si>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</si>
  <si>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</si>
  <si>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</si>
  <si>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</si>
  <si>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</si>
  <si>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</si>
  <si>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</si>
  <si>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</si>
  <si>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</si>
  <si>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</si>
  <si>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</si>
  <si>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</si>
  <si>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</si>
  <si>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</si>
  <si>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</si>
  <si>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</si>
  <si>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</si>
  <si>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</si>
  <si>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</si>
  <si>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</si>
  <si>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</si>
  <si>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</si>
  <si>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</si>
  <si>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</si>
  <si>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</si>
  <si>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</si>
  <si>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</si>
  <si>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</si>
  <si>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</si>
  <si>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</si>
  <si>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</si>
  <si>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</si>
  <si>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</si>
  <si>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</si>
  <si>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</si>
  <si>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</si>
  <si>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</si>
  <si>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</si>
  <si>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</si>
  <si>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</si>
  <si>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</si>
  <si>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</si>
  <si>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</si>
  <si>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</si>
  <si>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</si>
  <si>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</si>
  <si>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</si>
  <si>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</si>
  <si>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</si>
  <si>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</si>
  <si>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</si>
  <si>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</si>
  <si>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</si>
  <si>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</si>
  <si>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</si>
  <si>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</si>
  <si>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</si>
  <si>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</si>
  <si>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</si>
  <si>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</si>
  <si>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</si>
  <si>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</si>
  <si>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</si>
  <si>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</si>
  <si>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</si>
  <si>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</si>
  <si>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</si>
  <si>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</si>
  <si>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</si>
  <si>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</si>
  <si>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</si>
  <si>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</si>
  <si>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</si>
  <si>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</si>
  <si>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</si>
  <si>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</si>
  <si>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</si>
  <si>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</si>
  <si>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</si>
  <si>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</si>
  <si>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</si>
  <si>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</si>
  <si>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</si>
  <si>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</si>
  <si>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</si>
  <si>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</si>
  <si>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</si>
  <si>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</si>
  <si>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</si>
  <si>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</si>
  <si>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</si>
  <si>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</si>
  <si>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</si>
  <si>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</si>
  <si>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</si>
  <si>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</si>
  <si>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</si>
  <si>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</si>
  <si>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</si>
  <si>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</si>
  <si>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</si>
  <si>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</si>
  <si>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</si>
  <si>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</si>
  <si>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</si>
  <si>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</si>
  <si>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</si>
  <si>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</si>
  <si>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</si>
  <si>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</si>
  <si>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</si>
  <si>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</si>
  <si>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</si>
  <si>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</si>
  <si>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</si>
  <si>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</si>
  <si>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</si>
  <si>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</si>
  <si>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</si>
  <si>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</si>
  <si>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</si>
  <si>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</si>
  <si>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</si>
  <si>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</si>
  <si>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</si>
  <si>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</si>
  <si>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</si>
  <si>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</si>
  <si>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</si>
  <si>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</si>
  <si>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</si>
  <si>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</si>
  <si>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</si>
  <si>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</si>
  <si>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</si>
  <si>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</si>
  <si>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</si>
  <si>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</si>
  <si>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</si>
  <si>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</si>
  <si>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</si>
  <si>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</si>
  <si>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</si>
  <si>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</si>
  <si>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</si>
  <si>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</si>
  <si>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</si>
  <si>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</si>
  <si>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</si>
  <si>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</si>
  <si>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</si>
  <si>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</si>
  <si>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</si>
  <si>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</si>
  <si>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</si>
  <si>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</si>
  <si>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</si>
  <si>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</si>
  <si>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</si>
  <si>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</si>
  <si>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</si>
  <si>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</si>
  <si>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</si>
  <si>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</si>
  <si>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</si>
  <si>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</si>
  <si>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</si>
  <si>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</si>
  <si>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</si>
  <si>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</si>
  <si>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</si>
  <si>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</si>
  <si>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</si>
  <si>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</si>
  <si>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</si>
  <si>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</si>
  <si>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</si>
  <si>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</si>
  <si>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</si>
  <si>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</si>
  <si>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</si>
  <si>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</si>
  <si>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</si>
  <si>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</si>
  <si>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</si>
  <si>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</si>
  <si>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</si>
  <si>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</si>
  <si>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</si>
  <si>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</si>
  <si>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</si>
  <si>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</si>
  <si>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</si>
  <si>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</si>
  <si>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</si>
  <si>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</si>
  <si>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</si>
  <si>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</si>
  <si>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</si>
  <si>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</si>
  <si>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</si>
  <si>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</si>
  <si>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</si>
  <si>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</si>
  <si>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</si>
  <si>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</si>
  <si>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</si>
  <si>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</si>
  <si>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</si>
  <si>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</si>
  <si>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</si>
  <si>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</si>
  <si>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</si>
  <si>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</si>
  <si>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</si>
  <si>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</si>
  <si>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</si>
  <si>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</si>
  <si>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</si>
  <si>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</si>
  <si>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</si>
  <si>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</si>
  <si>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</si>
  <si>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</si>
  <si>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</si>
  <si>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</si>
  <si>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</si>
  <si>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</si>
  <si>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</si>
  <si>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</si>
  <si>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</si>
  <si>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</si>
  <si>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</si>
  <si>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</si>
  <si>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</si>
  <si>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</si>
  <si>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</si>
  <si>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</si>
  <si>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</si>
  <si>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</si>
  <si>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</si>
  <si>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</si>
  <si>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</si>
  <si>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</si>
  <si>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</si>
  <si>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</si>
  <si>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</si>
  <si>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</si>
  <si>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</si>
  <si>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</si>
  <si>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</si>
  <si>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</si>
  <si>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</si>
  <si>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</si>
  <si>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</si>
  <si>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</si>
  <si>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</si>
  <si>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</si>
  <si>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</si>
  <si>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</si>
  <si>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</si>
  <si>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</si>
  <si>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</si>
  <si>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</si>
  <si>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</si>
  <si>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</si>
  <si>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</si>
  <si>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</si>
  <si>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</si>
  <si>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</si>
  <si>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</si>
  <si>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</si>
  <si>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</si>
  <si>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</si>
  <si>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</si>
  <si>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</si>
  <si>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</si>
  <si>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</si>
  <si>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</si>
  <si>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</si>
  <si>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</si>
  <si>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</si>
  <si>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</si>
  <si>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</si>
  <si>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</si>
  <si>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</si>
  <si>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</si>
  <si>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</si>
  <si>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</si>
  <si>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</si>
  <si>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</si>
  <si>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</si>
  <si>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</si>
  <si>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</si>
  <si>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</si>
  <si>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</si>
  <si>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</si>
  <si>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</si>
  <si>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</si>
  <si>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</si>
  <si>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</si>
  <si>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</si>
  <si>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</si>
  <si>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</si>
  <si>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</si>
  <si>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</si>
  <si>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</si>
  <si>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</si>
  <si>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</si>
  <si>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</si>
  <si>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</si>
  <si>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</si>
  <si>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</si>
  <si>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</si>
  <si>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</si>
  <si>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</si>
  <si>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</si>
  <si>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</si>
  <si>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</si>
  <si>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</si>
  <si>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</si>
  <si>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</si>
  <si>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</si>
  <si>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</si>
  <si>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</si>
  <si>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</si>
  <si>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</si>
  <si>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</si>
  <si>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</si>
  <si>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</si>
  <si>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</si>
  <si>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</si>
  <si>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</si>
  <si>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</si>
  <si>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</si>
  <si>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</si>
  <si>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</si>
  <si>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</si>
  <si>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</si>
  <si>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</si>
  <si>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</si>
  <si>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</si>
  <si>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</si>
  <si>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</si>
  <si>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</si>
  <si>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</si>
  <si>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</si>
  <si>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</si>
  <si>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</si>
  <si>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</si>
  <si>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</si>
  <si>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</si>
  <si>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</si>
  <si>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</si>
  <si>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</si>
  <si>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</si>
  <si>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</si>
  <si>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</si>
  <si>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</si>
  <si>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</si>
  <si>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</si>
  <si>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</si>
  <si>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</si>
  <si>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</si>
  <si>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</si>
  <si>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</si>
  <si>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</si>
  <si>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</si>
  <si>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</si>
  <si>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</si>
  <si>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</si>
  <si>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</si>
  <si>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</si>
  <si>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</si>
  <si>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</si>
  <si>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</si>
  <si>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</si>
  <si>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</si>
  <si>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</si>
  <si>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</si>
  <si>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</si>
  <si>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</si>
  <si>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</si>
  <si>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</si>
  <si>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</si>
  <si>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</si>
  <si>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</si>
  <si>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</si>
  <si>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</si>
  <si>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</si>
  <si>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</si>
  <si>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</si>
  <si>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</si>
  <si>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</si>
  <si>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</si>
  <si>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</si>
  <si>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</si>
  <si>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</si>
  <si>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</si>
  <si>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</si>
  <si>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</si>
  <si>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</si>
  <si>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</si>
  <si>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</si>
  <si>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</si>
  <si>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</si>
  <si>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</si>
  <si>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</si>
  <si>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</si>
  <si>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</si>
  <si>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</si>
  <si>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</si>
  <si>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</si>
  <si>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</si>
  <si>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</si>
  <si>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</si>
  <si>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</si>
  <si>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</si>
  <si>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</si>
  <si>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</si>
  <si>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</si>
  <si>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</si>
  <si>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</si>
  <si>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</si>
  <si>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</si>
  <si>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</si>
  <si>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</si>
  <si>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</si>
  <si>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</si>
  <si>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</si>
  <si>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</si>
  <si>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</si>
  <si>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</si>
  <si>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</si>
  <si>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</si>
  <si>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</si>
  <si>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</si>
  <si>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</si>
  <si>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</si>
  <si>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</si>
  <si>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</si>
  <si>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</si>
  <si>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</si>
  <si>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</si>
  <si>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</si>
  <si>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</si>
  <si>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</si>
  <si>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</si>
  <si>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</si>
  <si>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</si>
  <si>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</si>
  <si>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</si>
  <si>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</si>
  <si>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</si>
  <si>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</si>
  <si>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</si>
  <si>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</si>
  <si>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</si>
  <si>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</si>
  <si>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</si>
  <si>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</si>
  <si>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</si>
  <si>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</si>
  <si>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</si>
  <si>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</si>
  <si>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</si>
  <si>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</si>
  <si>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</si>
  <si>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</si>
  <si>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</si>
  <si>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</si>
  <si>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</si>
  <si>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</si>
  <si>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</si>
  <si>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</si>
  <si>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</si>
  <si>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</si>
  <si>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</si>
  <si>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</si>
  <si>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</si>
  <si>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</si>
  <si>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</si>
  <si>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</si>
  <si>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</si>
  <si>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</si>
  <si>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</si>
  <si>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</si>
  <si>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</si>
  <si>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</si>
  <si>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</si>
  <si>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</si>
  <si>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</si>
  <si>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</si>
  <si>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</si>
  <si>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</si>
  <si>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</si>
  <si>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</si>
  <si>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</si>
  <si>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</si>
  <si>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</si>
  <si>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</si>
  <si>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</si>
  <si>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</si>
  <si>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</si>
  <si>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</si>
  <si>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</si>
  <si>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</si>
  <si>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</si>
  <si>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</si>
  <si>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</si>
  <si>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</si>
  <si>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</si>
  <si>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</si>
  <si>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</si>
  <si>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</si>
  <si>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</si>
  <si>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</si>
  <si>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</si>
  <si>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</si>
  <si>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</si>
  <si>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</si>
  <si>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</si>
  <si>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</si>
  <si>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</si>
  <si>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</si>
  <si>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</si>
  <si>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</si>
  <si>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</si>
  <si>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</si>
  <si>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</si>
  <si>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</si>
  <si>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</si>
  <si>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</si>
  <si>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</si>
  <si>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</si>
  <si>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</si>
  <si>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</si>
  <si>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</si>
  <si>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</si>
  <si>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</si>
  <si>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</si>
  <si>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</si>
  <si>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</si>
  <si>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</si>
  <si>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</si>
  <si>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</si>
  <si>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</si>
  <si>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</si>
  <si>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</si>
  <si>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</si>
  <si>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</si>
  <si>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</si>
  <si>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</si>
  <si>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</si>
  <si>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</si>
  <si>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</si>
  <si>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</si>
  <si>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</si>
  <si>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</si>
  <si>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</si>
  <si>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</si>
  <si>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</si>
  <si>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</si>
  <si>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</si>
  <si>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</si>
  <si>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</si>
  <si>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</si>
  <si>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</si>
  <si>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</si>
  <si>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</si>
  <si>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</si>
  <si>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</si>
  <si>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</si>
  <si>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</si>
  <si>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</si>
  <si>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</si>
  <si>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</si>
  <si>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</si>
  <si>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</si>
  <si>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</si>
  <si>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</si>
  <si>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</si>
  <si>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</si>
  <si>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</si>
  <si>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</si>
  <si>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</si>
  <si>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</si>
  <si>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</si>
  <si>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</si>
  <si>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</si>
  <si>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</si>
  <si>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</si>
  <si>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</si>
  <si>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</si>
  <si>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</si>
  <si>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</si>
  <si>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</si>
  <si>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</si>
  <si>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</si>
  <si>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</si>
  <si>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</si>
  <si>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</si>
  <si>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</si>
  <si>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</si>
  <si>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</si>
  <si>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</si>
  <si>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</si>
  <si>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</si>
  <si>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</si>
  <si>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</si>
  <si>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</si>
  <si>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</si>
  <si>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</si>
  <si>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</si>
  <si>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</si>
  <si>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</si>
  <si>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</si>
  <si>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</si>
  <si>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</si>
  <si>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</si>
  <si>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</si>
  <si>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</si>
  <si>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</si>
  <si>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</si>
  <si>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</si>
  <si>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</si>
  <si>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</si>
  <si>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</si>
  <si>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</si>
  <si>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</si>
  <si>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</si>
  <si>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</si>
  <si>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</si>
  <si>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</si>
  <si>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</si>
  <si>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</si>
  <si>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</si>
  <si>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</si>
  <si>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</si>
  <si>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</si>
  <si>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</si>
  <si>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</si>
  <si>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</si>
  <si>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</si>
  <si>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</si>
  <si>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</si>
  <si>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</si>
  <si>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</si>
  <si>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</si>
  <si>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</si>
  <si>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</si>
  <si>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</si>
  <si>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</si>
  <si>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</si>
  <si>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</si>
  <si>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</si>
  <si>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</si>
  <si>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</si>
  <si>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</si>
  <si>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</si>
  <si>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</si>
  <si>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</si>
  <si>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</si>
  <si>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</si>
  <si>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</si>
  <si>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</si>
  <si>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</si>
  <si>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</si>
  <si>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</si>
  <si>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</si>
  <si>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</si>
  <si>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</si>
  <si>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</si>
  <si>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</si>
  <si>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</si>
  <si>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</si>
  <si>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</si>
  <si>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</si>
  <si>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</si>
  <si>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</si>
  <si>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</si>
  <si>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</si>
  <si>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</si>
  <si>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</si>
  <si>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</si>
  <si>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</si>
  <si>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</si>
  <si>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</si>
  <si>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</si>
  <si>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</si>
  <si>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</si>
  <si>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</si>
  <si>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</si>
  <si>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</si>
  <si>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</si>
  <si>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</si>
  <si>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</si>
  <si>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</si>
  <si>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</si>
  <si>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</si>
  <si>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</si>
  <si>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</si>
  <si>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</si>
  <si>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</si>
  <si>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</si>
  <si>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</si>
  <si>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</si>
  <si>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</si>
  <si>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</si>
  <si>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</si>
  <si>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</si>
  <si>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</si>
  <si>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</si>
  <si>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</si>
  <si>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</si>
  <si>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</si>
  <si>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</si>
  <si>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</si>
  <si>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</si>
  <si>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</si>
  <si>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</si>
  <si>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</si>
  <si>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</si>
  <si>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</si>
  <si>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</si>
  <si>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</si>
  <si>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</si>
  <si>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</si>
  <si>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</si>
  <si>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</si>
  <si>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</si>
  <si>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</si>
  <si>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</si>
  <si>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</si>
  <si>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</si>
  <si>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</si>
  <si>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</si>
  <si>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</si>
  <si>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</si>
  <si>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</si>
  <si>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</si>
  <si>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</si>
  <si>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</si>
  <si>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</si>
  <si>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</si>
  <si>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</si>
  <si>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</si>
  <si>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</si>
  <si>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</si>
  <si>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</si>
  <si>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</si>
  <si>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</si>
  <si>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</si>
  <si>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</si>
  <si>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</si>
  <si>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</si>
  <si>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</si>
  <si>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</si>
  <si>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</si>
  <si>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</si>
  <si>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</si>
  <si>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</si>
  <si>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</si>
  <si>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</si>
  <si>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</si>
  <si>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</si>
  <si>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</si>
  <si>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</si>
  <si>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</si>
  <si>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</si>
  <si>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</si>
  <si>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</si>
  <si>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</si>
  <si>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</si>
  <si>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</si>
  <si>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</si>
  <si>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</si>
  <si>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</si>
  <si>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</si>
  <si>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</si>
  <si>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</si>
  <si>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</si>
  <si>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</si>
  <si>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</si>
  <si>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</si>
  <si>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</si>
  <si>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</si>
  <si>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</si>
  <si>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</si>
  <si>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</si>
  <si>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</si>
  <si>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</si>
  <si>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</si>
  <si>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</si>
  <si>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</si>
  <si>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</si>
  <si>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</si>
  <si>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</si>
  <si>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</si>
  <si>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</si>
  <si>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</si>
  <si>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</si>
  <si>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</si>
  <si>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</si>
  <si>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</si>
  <si>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</si>
  <si>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</si>
  <si>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</si>
  <si>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</si>
  <si>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</si>
  <si>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</si>
  <si>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</si>
  <si>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</si>
  <si>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</si>
  <si>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</si>
  <si>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</si>
  <si>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</si>
  <si>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</si>
  <si>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</si>
  <si>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</si>
  <si>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</si>
  <si>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</si>
  <si>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</si>
  <si>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</si>
  <si>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</si>
  <si>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</si>
  <si>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</si>
  <si>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</si>
  <si>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</si>
  <si>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</si>
  <si>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</si>
  <si>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</si>
  <si>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</si>
  <si>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</si>
  <si>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</si>
  <si>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</si>
  <si>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</si>
  <si>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</si>
  <si>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</si>
  <si>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</si>
  <si>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</si>
  <si>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</si>
  <si>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</si>
  <si>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</si>
  <si>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</si>
  <si>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</si>
  <si>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</si>
  <si>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</si>
  <si>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</si>
  <si>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</si>
  <si>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</si>
  <si>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</si>
  <si>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</si>
  <si>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Unicef</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</si>
  <si>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</si>
  <si>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</si>
  <si>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</si>
  <si>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</si>
  <si>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</si>
  <si>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</si>
  <si>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</si>
  <si>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</si>
  <si>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</si>
  <si>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</si>
  <si>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</si>
  <si>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</si>
  <si>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</si>
  <si>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</si>
  <si>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</si>
  <si>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</si>
  <si>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</si>
  <si>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</si>
  <si>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</si>
  <si>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</si>
  <si>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</si>
  <si>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</si>
  <si>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</si>
  <si>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</si>
  <si>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</si>
  <si>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</si>
  <si>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</si>
  <si>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</si>
  <si>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</si>
  <si>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</si>
  <si>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</si>
  <si>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</si>
  <si>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</si>
  <si>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</si>
  <si>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</si>
  <si>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</si>
  <si>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</si>
  <si>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</si>
  <si>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</si>
  <si>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</si>
  <si>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</si>
  <si>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</si>
  <si>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</si>
  <si>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</si>
  <si>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</si>
  <si>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</si>
  <si>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</si>
  <si>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</si>
  <si>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</si>
  <si>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</si>
  <si>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</si>
  <si>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</si>
  <si>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</si>
  <si>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</si>
  <si>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</si>
  <si>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</si>
  <si>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</si>
  <si>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</si>
  <si>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</si>
  <si>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</si>
  <si>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</si>
  <si>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</si>
  <si>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</si>
  <si>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</si>
  <si>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</si>
  <si>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</si>
  <si>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</si>
  <si>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</si>
  <si>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</si>
  <si>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</si>
  <si>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</si>
  <si>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</si>
  <si>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</si>
  <si>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</si>
  <si>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</si>
  <si>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</si>
  <si>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</si>
  <si>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</si>
  <si>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</si>
  <si>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</si>
  <si>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</si>
  <si>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</si>
  <si>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</si>
  <si>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</si>
  <si>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</si>
  <si>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</si>
  <si>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</si>
  <si>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</si>
  <si>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</si>
  <si>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</si>
  <si>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</si>
  <si>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</si>
  <si>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</si>
  <si>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</si>
  <si>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</si>
  <si>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</si>
  <si>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</si>
  <si>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</si>
  <si>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</si>
  <si>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</si>
  <si>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</si>
  <si>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</si>
  <si>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</si>
  <si>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</si>
  <si>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</si>
  <si>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</si>
  <si>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</si>
  <si>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</si>
  <si>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</si>
  <si>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</si>
  <si>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</si>
  <si>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</si>
  <si>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</si>
  <si>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</si>
  <si>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</si>
  <si>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</si>
  <si>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</si>
  <si>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</si>
  <si>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</si>
  <si>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</si>
  <si>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</si>
  <si>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</si>
  <si>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</si>
  <si>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</si>
  <si>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</si>
  <si>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</si>
  <si>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</si>
  <si>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</si>
  <si>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</si>
  <si>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</si>
  <si>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</si>
  <si>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</si>
  <si>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</si>
  <si>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</si>
  <si>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</si>
  <si>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</si>
  <si>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</si>
  <si>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</si>
  <si>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</si>
  <si>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</si>
  <si>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</si>
  <si>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</si>
  <si>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</si>
  <si>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</si>
  <si>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</si>
  <si>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</si>
  <si>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</si>
  <si>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</si>
  <si>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</si>
  <si>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</si>
  <si>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</si>
  <si>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</si>
  <si>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</si>
  <si>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</si>
  <si>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</si>
  <si>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</si>
  <si>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</si>
  <si>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</si>
  <si>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</si>
  <si>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</si>
  <si>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</si>
  <si>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</si>
  <si>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</si>
  <si>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</si>
  <si>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</si>
  <si>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</si>
  <si>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</si>
  <si>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</si>
  <si>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</si>
  <si>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</si>
  <si>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</si>
  <si>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</si>
  <si>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</si>
  <si>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</si>
  <si>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</si>
  <si>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</si>
  <si>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</si>
  <si>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</si>
  <si>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</si>
  <si>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</si>
  <si>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</si>
  <si>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</si>
  <si>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</si>
  <si>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</si>
  <si>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</si>
  <si>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</si>
  <si>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</si>
  <si>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</si>
  <si>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</si>
  <si>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</si>
  <si>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</si>
  <si>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</si>
  <si>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</si>
  <si>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</si>
  <si>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</si>
  <si>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</si>
  <si>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</si>
  <si>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</si>
  <si>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</si>
  <si>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</si>
  <si>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</si>
  <si>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</si>
  <si>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</si>
  <si>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</si>
  <si>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</si>
  <si>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</si>
  <si>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</si>
  <si>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</si>
  <si>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</si>
  <si>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</si>
  <si>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</si>
  <si>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</si>
  <si>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</si>
  <si>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</si>
  <si>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</si>
  <si>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</si>
  <si>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</si>
  <si>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</si>
  <si>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</si>
  <si>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</si>
  <si>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</si>
  <si>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</si>
  <si>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</si>
  <si>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</si>
  <si>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</si>
  <si>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</si>
  <si>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</si>
  <si>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</si>
  <si>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</si>
  <si>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</si>
  <si>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</si>
  <si>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</si>
  <si>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</si>
  <si>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</si>
  <si>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</si>
  <si>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</si>
  <si>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</si>
  <si>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</si>
  <si>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</si>
  <si>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</si>
  <si>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</si>
  <si>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</si>
  <si>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</si>
  <si>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</si>
  <si>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</si>
  <si>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</si>
  <si>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</si>
  <si>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</si>
  <si>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</si>
  <si>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</si>
  <si>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</si>
  <si>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</si>
  <si>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</si>
  <si>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</si>
  <si>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</si>
  <si>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</si>
  <si>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</si>
  <si>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</si>
  <si>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</si>
  <si>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</si>
  <si>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</si>
  <si>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</si>
  <si>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</si>
  <si>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</si>
  <si>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</si>
  <si>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</si>
  <si>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</si>
  <si>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</si>
  <si>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</si>
  <si>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</si>
  <si>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</si>
  <si>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</si>
  <si>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</si>
  <si>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</si>
  <si>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</si>
  <si>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</si>
  <si>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</si>
  <si>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</si>
  <si>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</si>
  <si>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</si>
  <si>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</si>
  <si>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</si>
  <si>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</si>
  <si>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</si>
  <si>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</si>
  <si>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</si>
  <si>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</si>
  <si>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</si>
  <si>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</si>
  <si>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</si>
  <si>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</si>
  <si>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</si>
  <si>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</si>
  <si>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</si>
  <si>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</si>
  <si>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</si>
  <si>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</si>
  <si>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</si>
  <si>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</si>
  <si>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</si>
  <si>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</si>
  <si>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</si>
  <si>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</si>
  <si>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</si>
  <si>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</si>
  <si>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</si>
  <si>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</si>
  <si>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</si>
  <si>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</si>
  <si>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</si>
  <si>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</si>
  <si>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</si>
  <si>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</si>
  <si>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</si>
  <si>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</si>
  <si>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</si>
  <si>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</si>
  <si>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</si>
  <si>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</si>
  <si>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</si>
  <si>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</si>
  <si>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</si>
  <si>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</si>
  <si>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</si>
  <si>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</si>
  <si>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</si>
  <si>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</si>
  <si>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</si>
  <si>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</si>
  <si>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</si>
  <si>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</si>
  <si>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</si>
  <si>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</si>
  <si>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</si>
  <si>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</si>
  <si>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</si>
  <si>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</si>
  <si>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</si>
  <si>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</si>
  <si>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</si>
  <si>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</si>
  <si>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</si>
  <si>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</si>
  <si>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</si>
  <si>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</si>
  <si>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</si>
  <si>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</si>
  <si>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</si>
  <si>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</si>
  <si>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</si>
  <si>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</si>
  <si>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</si>
  <si>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</si>
  <si>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</si>
  <si>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</si>
  <si>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</si>
  <si>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</si>
  <si>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</si>
  <si>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</si>
  <si>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</si>
  <si>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</si>
  <si>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</si>
  <si>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</si>
  <si>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</si>
  <si>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</si>
  <si>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</si>
  <si>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</si>
  <si>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</si>
  <si>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</si>
  <si>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</si>
  <si>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</si>
  <si>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</si>
  <si>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</si>
  <si>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</si>
  <si>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</si>
  <si>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</si>
  <si>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</si>
  <si>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%Equitable and continuous access to sufficient quantity of safe drinking water</t>
  </si>
  <si>
    <t>#Water points coverage</t>
  </si>
  <si>
    <t>#Potential required new water points</t>
  </si>
  <si>
    <t>Hygiene Coverage%</t>
  </si>
  <si>
    <t>Hygiene Gap%</t>
  </si>
  <si>
    <t>%people reached by regular dedicated hygiene promotion</t>
  </si>
  <si>
    <t>Standard amount of Soap and sanitary pad</t>
  </si>
  <si>
    <t>#People access to unimproved water sources</t>
  </si>
  <si>
    <t>Row Labels</t>
  </si>
  <si>
    <t>(Multiple Items)</t>
  </si>
  <si>
    <t>Grand Total</t>
  </si>
  <si>
    <t>Indicators</t>
  </si>
  <si>
    <t>State/Region</t>
  </si>
  <si>
    <t xml:space="preserve"> In Need</t>
  </si>
  <si>
    <t>Male 
(est 45%)</t>
  </si>
  <si>
    <t>Female 
(est 55%)</t>
  </si>
  <si>
    <t xml:space="preserve"> Children (&lt;18 yrs)
(est 35%)</t>
  </si>
  <si>
    <t xml:space="preserve"> Adult (18-59 yrs)
(est 40%)</t>
  </si>
  <si>
    <t xml:space="preserve"> Elderly (&gt;59 yrs)
(est 25%)</t>
  </si>
  <si>
    <t>Coverage</t>
  </si>
  <si>
    <t>Gap</t>
  </si>
  <si>
    <t>Number of people with equitable and safe access to sufficient quantity of drinking water</t>
  </si>
  <si>
    <t>Number of people with equitable and safe access to sufficient quantity of domestic water</t>
  </si>
  <si>
    <t>Number of people who received regular supply of hygiene items</t>
  </si>
  <si>
    <t>Number of people with access to continuous sanitation services</t>
  </si>
  <si>
    <t>Robert -Middle school</t>
  </si>
  <si>
    <t>Target</t>
  </si>
  <si>
    <t>SCI, ADRA/CANADA</t>
  </si>
  <si>
    <t>Total Population reached</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</si>
  <si>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</si>
  <si>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</si>
  <si>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</si>
  <si>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</si>
  <si>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</si>
  <si>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</si>
  <si>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</si>
  <si>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</si>
  <si>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</si>
  <si>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</si>
  <si>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</si>
  <si>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</si>
  <si>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</si>
  <si>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</si>
  <si>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</si>
  <si>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</si>
  <si>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</si>
  <si>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</si>
  <si>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</si>
  <si>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</si>
  <si>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</si>
  <si>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</si>
  <si>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</si>
  <si>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</si>
  <si>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</si>
  <si>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</si>
  <si>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</si>
  <si>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</si>
  <si>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</si>
  <si>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</si>
  <si>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</si>
  <si>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</si>
  <si>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</si>
  <si>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</si>
  <si>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</si>
  <si>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</si>
  <si>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</si>
  <si>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</si>
  <si>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</si>
  <si>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</si>
  <si>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</si>
  <si>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</si>
  <si>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</si>
  <si>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</si>
  <si>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</si>
  <si>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</si>
  <si>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</si>
  <si>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</si>
  <si>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</si>
  <si>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</si>
  <si>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</si>
  <si>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</si>
  <si>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</si>
  <si>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</si>
  <si>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</si>
  <si>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</si>
  <si>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</si>
  <si>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</si>
  <si>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</si>
  <si>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</si>
  <si>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</si>
  <si>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</si>
  <si>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</si>
  <si>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</si>
  <si>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</si>
  <si>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</si>
  <si>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</si>
  <si>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</si>
  <si>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</si>
  <si>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</si>
  <si>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</si>
  <si>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</si>
  <si>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</si>
  <si>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</si>
  <si>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</si>
  <si>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</si>
  <si>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</si>
  <si>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</si>
  <si>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</si>
  <si>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</si>
  <si>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</si>
  <si>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</si>
  <si>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</si>
  <si>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</si>
  <si>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</si>
  <si>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</si>
  <si>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</si>
  <si>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</si>
  <si>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</si>
  <si>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</si>
  <si>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</si>
  <si>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</si>
  <si>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</si>
  <si>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</si>
  <si>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</si>
  <si>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</si>
  <si>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</si>
  <si>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</si>
  <si>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</si>
  <si>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</si>
  <si>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</si>
  <si>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</si>
  <si>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</si>
  <si>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</si>
  <si>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</si>
  <si>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</si>
  <si>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</si>
  <si>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</si>
  <si>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</si>
  <si>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</si>
  <si>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</si>
  <si>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</si>
  <si>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</si>
  <si>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</si>
  <si>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</si>
  <si>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</si>
  <si>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</si>
  <si>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</si>
  <si>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</si>
  <si>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</si>
  <si>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</si>
  <si>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</si>
  <si>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</si>
  <si>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</si>
  <si>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</si>
  <si>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</si>
  <si>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</si>
  <si>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</si>
  <si>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</si>
  <si>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</si>
  <si>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</si>
  <si>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</si>
  <si>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</si>
  <si>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</si>
  <si>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</si>
  <si>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</si>
  <si>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</si>
  <si>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</si>
  <si>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</si>
  <si>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</si>
  <si>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</si>
  <si>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</si>
  <si>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</si>
  <si>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</si>
  <si>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</si>
  <si>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</si>
  <si>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</si>
  <si>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</si>
  <si>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</si>
  <si>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</si>
  <si>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</si>
  <si>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</si>
  <si>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</si>
  <si>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</si>
  <si>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</si>
  <si>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</si>
  <si>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</si>
  <si>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</si>
  <si>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</si>
  <si>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</si>
  <si>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</si>
  <si>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</si>
  <si>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</si>
  <si>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</si>
  <si>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</si>
  <si>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</si>
  <si>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</si>
  <si>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</si>
  <si>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</si>
  <si>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</si>
  <si>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</si>
  <si>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</si>
  <si>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</si>
  <si>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</si>
  <si>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</si>
  <si>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</si>
  <si>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</si>
  <si>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</si>
  <si>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</si>
  <si>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</si>
  <si>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</si>
  <si>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</si>
  <si>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</si>
  <si>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</si>
  <si>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</si>
  <si>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</si>
  <si>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</si>
  <si>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</si>
  <si>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</si>
  <si>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</si>
  <si>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</si>
  <si>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</si>
  <si>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</si>
  <si>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</si>
  <si>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</si>
  <si>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</si>
  <si>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</si>
  <si>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</si>
  <si>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</si>
  <si>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</si>
  <si>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</si>
  <si>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</si>
  <si>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</si>
  <si>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</si>
  <si>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</si>
  <si>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</si>
  <si>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</si>
  <si>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</si>
  <si>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</si>
  <si>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</si>
  <si>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</si>
  <si>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</si>
  <si>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</si>
  <si>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</si>
  <si>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</si>
  <si>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</si>
  <si>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</si>
  <si>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</si>
  <si>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</si>
  <si>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</si>
  <si>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</si>
  <si>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</si>
  <si>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</si>
  <si>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</si>
  <si>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</si>
  <si>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</si>
  <si>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</si>
  <si>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</si>
  <si>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</si>
  <si>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</si>
  <si>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</si>
  <si>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</si>
  <si>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</si>
  <si>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Assume 5 people per hh. 100 hh per Hygiene promoters. So, 500 people per hygiene promotor</t>
  </si>
  <si>
    <t>(All)</t>
  </si>
  <si>
    <t>Gap%</t>
  </si>
  <si>
    <t>Column Labels</t>
  </si>
  <si>
    <t>Values</t>
  </si>
  <si>
    <t>Access to unimproved water points</t>
  </si>
  <si>
    <t xml:space="preserve">PoP </t>
  </si>
  <si>
    <t>none</t>
  </si>
  <si>
    <t>Coverage%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</si>
  <si>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</si>
  <si>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</si>
  <si>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</si>
  <si>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</si>
  <si>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</si>
  <si>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</si>
  <si>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</si>
  <si>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</si>
  <si>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</si>
  <si>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</si>
  <si>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</si>
  <si>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</si>
  <si>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</si>
  <si>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</si>
  <si>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</si>
  <si>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</si>
  <si>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</si>
  <si>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SCI, Metta</t>
  </si>
  <si>
    <t xml:space="preserve"> Reached by Sex</t>
  </si>
  <si>
    <t xml:space="preserve">  Reached by Age</t>
  </si>
  <si>
    <t xml:space="preserve">Partners </t>
  </si>
  <si>
    <t xml:space="preserve"> % 
Water Gap</t>
  </si>
  <si>
    <t xml:space="preserve"> %
 Sanitation Gap</t>
  </si>
  <si>
    <t>%  
Hygiene Gap</t>
  </si>
  <si>
    <t>KBC, Metta</t>
  </si>
  <si>
    <t># latrines (target)</t>
  </si>
  <si>
    <t># latrines desludged</t>
  </si>
  <si>
    <t># in villages (6:1)</t>
  </si>
  <si>
    <t>HRP target</t>
  </si>
  <si>
    <t>HHs</t>
  </si>
  <si>
    <t>Pops</t>
  </si>
  <si>
    <t>% WATER GAP</t>
  </si>
  <si>
    <t>% LATRINE GAP</t>
  </si>
  <si>
    <t>% HYGIENE GAP</t>
  </si>
  <si>
    <t>WinE</t>
  </si>
  <si>
    <t>GAP</t>
  </si>
  <si>
    <t>%equitable and continuous access to sufficient quantity of safe drinking and domestic water's GAP</t>
  </si>
  <si>
    <t>% of Latrine Gap</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</si>
  <si>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</si>
  <si>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</si>
  <si>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</si>
  <si>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</si>
  <si>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</si>
  <si>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</si>
  <si>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</si>
  <si>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</si>
  <si>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</si>
  <si>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</si>
  <si>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</si>
  <si>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</si>
  <si>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</si>
  <si>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</si>
  <si>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</si>
  <si>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</si>
  <si>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</si>
  <si>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</si>
  <si>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</si>
  <si>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</si>
  <si>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</si>
  <si>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</si>
  <si>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</si>
  <si>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</si>
  <si>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</si>
  <si>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</si>
  <si>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</si>
  <si>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</si>
  <si>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</si>
  <si>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</si>
  <si>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</si>
  <si>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</si>
  <si>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</si>
  <si>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</si>
  <si>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</si>
  <si>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</si>
  <si>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</si>
  <si>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</si>
  <si>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</si>
  <si>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</si>
  <si>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</si>
  <si>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</si>
  <si>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</si>
  <si>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2018_Q2</t>
  </si>
  <si>
    <t>V39</t>
  </si>
  <si>
    <t>V40</t>
  </si>
  <si>
    <t>စခန္းအတြင္း အဖြဲ႕အစည္းမွ အခေၾကးေငြျဖင့္ခန္႔ထားေသာ (က်ြမ္းက်င္) WASH ၀န္ထမ္း အေရအတြက္</t>
  </si>
  <si>
    <t># Water points in TLS</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</si>
  <si>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</si>
  <si>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</si>
  <si>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</si>
  <si>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</si>
  <si>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</si>
  <si>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</si>
  <si>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</si>
  <si>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</si>
  <si>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</si>
  <si>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</si>
  <si>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</si>
  <si>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</si>
  <si>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</si>
  <si>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</si>
  <si>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</si>
  <si>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</si>
  <si>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</si>
  <si>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</si>
  <si>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</si>
  <si>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</si>
  <si>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</si>
  <si>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National</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</si>
  <si>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</si>
  <si>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</si>
  <si>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</si>
  <si>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</si>
  <si>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</si>
  <si>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</si>
  <si>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</si>
  <si>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</si>
  <si>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</si>
  <si>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</si>
  <si>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</si>
  <si>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</si>
  <si>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</si>
  <si>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</si>
  <si>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</si>
  <si>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</si>
  <si>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</si>
  <si>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</si>
  <si>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</si>
  <si>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</si>
  <si>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</si>
  <si>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</si>
  <si>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</si>
  <si>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</si>
  <si>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</si>
  <si>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</si>
  <si>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</si>
  <si>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</si>
  <si>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</si>
  <si>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</si>
  <si>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</si>
  <si>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</si>
  <si>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</si>
  <si>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</si>
  <si>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</si>
  <si>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</si>
  <si>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</si>
  <si>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</si>
  <si>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</si>
  <si>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</si>
  <si>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</si>
  <si>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</si>
  <si>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</si>
  <si>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</si>
  <si>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</si>
  <si>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</si>
  <si>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</si>
  <si>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</si>
  <si>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</si>
  <si>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</si>
  <si>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</si>
  <si>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</si>
  <si>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</si>
  <si>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</si>
  <si>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</si>
  <si>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</si>
  <si>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</si>
  <si>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</si>
  <si>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</si>
  <si>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</si>
  <si>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</si>
  <si>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</si>
  <si>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</si>
  <si>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</si>
  <si>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</si>
  <si>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</si>
  <si>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</si>
  <si>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</si>
  <si>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</si>
  <si>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</si>
  <si>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</si>
  <si>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</si>
  <si>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</si>
  <si>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</si>
  <si>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</si>
  <si>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</si>
  <si>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</si>
  <si>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</si>
  <si>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</si>
  <si>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</si>
  <si>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</si>
  <si>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</si>
  <si>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</si>
  <si>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</si>
  <si>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</si>
  <si>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</si>
  <si>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</si>
  <si>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</si>
  <si>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</si>
  <si>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</si>
  <si>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</si>
  <si>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</si>
  <si>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</si>
  <si>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</si>
  <si>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</si>
  <si>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</si>
  <si>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</si>
  <si>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</si>
  <si>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</si>
  <si>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</si>
  <si>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</si>
  <si>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</si>
  <si>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</si>
  <si>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</si>
  <si>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</si>
  <si>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KBC, Metta, SI</t>
  </si>
  <si>
    <t>KBC, KMSS, Shalom</t>
  </si>
  <si>
    <t>KBC, KMSS</t>
  </si>
  <si>
    <t>KBC, KMSS, Metta, Shalom</t>
  </si>
  <si>
    <t>Malteser, MHDO</t>
  </si>
  <si>
    <t>only camp</t>
  </si>
  <si>
    <t>only village</t>
  </si>
  <si>
    <t>(in active villages)</t>
  </si>
  <si>
    <t>Gap in active villages/ Township</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</si>
  <si>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</si>
  <si>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</si>
  <si>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</si>
  <si>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</si>
  <si>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</si>
  <si>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</si>
  <si>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</si>
  <si>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</si>
  <si>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</si>
  <si>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</si>
  <si>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</si>
  <si>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</si>
  <si>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</si>
  <si>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</si>
  <si>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</si>
  <si>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</si>
  <si>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</si>
  <si>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</si>
  <si>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</si>
  <si>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</si>
  <si>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</si>
  <si>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</si>
  <si>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</si>
  <si>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</si>
  <si>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</si>
  <si>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</si>
  <si>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</si>
  <si>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</si>
  <si>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</si>
  <si>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</si>
  <si>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</si>
  <si>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</si>
  <si>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</si>
  <si>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</si>
  <si>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</si>
  <si>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</si>
  <si>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</si>
  <si>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</si>
  <si>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</si>
  <si>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</si>
  <si>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</si>
  <si>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</si>
  <si>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</si>
  <si>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</si>
  <si>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</si>
  <si>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</si>
  <si>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</si>
  <si>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</si>
  <si>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</si>
  <si>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</si>
  <si>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</si>
  <si>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</si>
  <si>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</si>
  <si>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</si>
  <si>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</si>
  <si>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</si>
  <si>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</si>
  <si>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</si>
  <si>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</si>
  <si>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</si>
  <si>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</si>
  <si>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</si>
  <si>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</si>
  <si>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</si>
  <si>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</si>
  <si>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</si>
  <si>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</si>
  <si>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</si>
  <si>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</si>
  <si>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</si>
  <si>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</si>
  <si>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</si>
  <si>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</si>
  <si>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</si>
  <si>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</si>
  <si>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</si>
  <si>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</si>
  <si>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</si>
  <si>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</si>
  <si>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</si>
  <si>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</si>
  <si>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</si>
  <si>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</si>
  <si>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</si>
  <si>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</si>
  <si>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</si>
  <si>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</si>
  <si>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</si>
  <si>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</si>
  <si>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</si>
  <si>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</si>
  <si>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</si>
  <si>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</si>
  <si>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</si>
  <si>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</si>
  <si>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</si>
  <si>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</si>
  <si>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</si>
  <si>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</si>
  <si>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</si>
  <si>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</si>
  <si>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</si>
  <si>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</si>
  <si>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</si>
  <si>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</si>
  <si>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</si>
  <si>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</si>
  <si>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</si>
  <si>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</si>
  <si>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</si>
  <si>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2018_Q3</t>
  </si>
  <si>
    <t>2018_Q4</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</si>
  <si>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</si>
  <si>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</si>
  <si>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</si>
  <si>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</si>
  <si>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</si>
  <si>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</si>
  <si>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</si>
  <si>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</si>
  <si>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</si>
  <si>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</si>
  <si>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</si>
  <si>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</si>
  <si>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</si>
  <si>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</si>
  <si>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</si>
  <si>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</si>
  <si>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</si>
  <si>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</si>
  <si>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</si>
  <si>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</si>
  <si>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</si>
  <si>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</si>
  <si>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</si>
  <si>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</si>
  <si>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</si>
  <si>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</si>
  <si>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</si>
  <si>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</si>
  <si>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</si>
  <si>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</si>
  <si>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</si>
  <si>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</si>
  <si>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</si>
  <si>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</si>
  <si>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</si>
  <si>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</si>
  <si>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</si>
  <si>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</si>
  <si>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</si>
  <si>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</si>
  <si>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</si>
  <si>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</si>
  <si>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</si>
  <si>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</si>
  <si>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</si>
  <si>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</si>
  <si>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</si>
  <si>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</si>
  <si>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</si>
  <si>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</si>
  <si>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</si>
  <si>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</si>
  <si>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</si>
  <si>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</si>
  <si>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</si>
  <si>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</si>
  <si>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ECHO, OFDA, MHF</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</si>
  <si>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</si>
  <si>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</si>
  <si>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</si>
  <si>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</si>
  <si>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</si>
  <si>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</si>
  <si>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</si>
  <si>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</si>
  <si>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</si>
  <si>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</si>
  <si>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</si>
  <si>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</si>
  <si>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</si>
  <si>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</si>
  <si>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</si>
  <si>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 xml:space="preserve"> # of hand washing stations with sufficient soap</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</si>
  <si>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</si>
  <si>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</si>
  <si>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</si>
  <si>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</si>
  <si>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</si>
  <si>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</si>
  <si>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</si>
  <si>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</si>
  <si>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</si>
  <si>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</si>
  <si>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</si>
  <si>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</si>
  <si>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</si>
  <si>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</si>
  <si>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</si>
  <si>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</si>
  <si>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</si>
  <si>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</si>
  <si>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</si>
  <si>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</si>
  <si>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</si>
  <si>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</si>
  <si>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</si>
  <si>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</si>
  <si>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</si>
  <si>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</si>
  <si>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</si>
  <si>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</si>
  <si>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</si>
  <si>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</si>
  <si>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</si>
  <si>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</si>
  <si>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</si>
  <si>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</si>
  <si>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</si>
  <si>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</si>
  <si>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</si>
  <si>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</si>
  <si>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</si>
  <si>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</si>
  <si>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</si>
  <si>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</si>
  <si>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</si>
  <si>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</si>
  <si>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</si>
  <si>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</si>
  <si>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</si>
  <si>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</si>
  <si>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</si>
  <si>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</si>
  <si>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</si>
  <si>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</si>
  <si>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</si>
  <si>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</si>
  <si>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</si>
  <si>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</si>
  <si>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</si>
  <si>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</si>
  <si>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</si>
  <si>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</si>
  <si>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</si>
  <si>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2019 HRP Calculation</t>
  </si>
  <si>
    <t xml:space="preserve">HRP 2019 Indicators </t>
  </si>
  <si>
    <t>Percentage of women, men, boys and girls benefitting from safe/improved drinking water, meeting demand for domestic purposes, at minimum/agreed standards</t>
  </si>
  <si>
    <t>Percentage of targeted women, men, boys and girls benefitting from a functional excreta disposal system, reducing safety/public health/environmental risks</t>
  </si>
  <si>
    <t>Camp figures is needed to align with CCCM</t>
  </si>
  <si>
    <t>Site information</t>
  </si>
  <si>
    <t>Project Duration</t>
  </si>
  <si>
    <t>WASH Partner &amp; Donor information</t>
  </si>
  <si>
    <t>2019_Q1</t>
  </si>
  <si>
    <t>2019_Q2</t>
  </si>
  <si>
    <t>2019_Q3</t>
  </si>
  <si>
    <t>2019_Q4</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</si>
  <si>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</si>
  <si>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</si>
  <si>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</si>
  <si>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</si>
  <si>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</si>
  <si>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</si>
  <si>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</si>
  <si>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</si>
  <si>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</si>
  <si>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</si>
  <si>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</si>
  <si>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</si>
  <si>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</si>
  <si>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</si>
  <si>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</si>
  <si>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</si>
  <si>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</si>
  <si>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</si>
  <si>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</si>
  <si>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</si>
  <si>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</si>
  <si>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</si>
  <si>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</si>
  <si>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</si>
  <si>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</si>
  <si>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</si>
  <si>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</si>
  <si>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</si>
  <si>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</si>
  <si>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</si>
  <si>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</si>
  <si>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</si>
  <si>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</si>
  <si>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</si>
  <si>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</si>
  <si>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</si>
  <si>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</si>
  <si>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</si>
  <si>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</si>
  <si>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</si>
  <si>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</si>
  <si>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</si>
  <si>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</si>
  <si>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</si>
  <si>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</si>
  <si>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</si>
  <si>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</si>
  <si>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</si>
  <si>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</si>
  <si>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</si>
  <si>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</si>
  <si>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</si>
  <si>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</si>
  <si>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</si>
  <si>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</si>
  <si>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</si>
  <si>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</si>
  <si>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</si>
  <si>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</si>
  <si>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</si>
  <si>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</si>
  <si>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</si>
  <si>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</si>
  <si>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</si>
  <si>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</si>
  <si>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</si>
  <si>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</si>
  <si>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</si>
  <si>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</si>
  <si>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</si>
  <si>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</si>
  <si>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</si>
  <si>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</si>
  <si>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</si>
  <si>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</si>
  <si>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</si>
  <si>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</si>
  <si>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</si>
  <si>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</si>
  <si>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</si>
  <si>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</si>
  <si>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</si>
  <si>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</si>
  <si>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</si>
  <si>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</si>
  <si>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</si>
  <si>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</si>
  <si>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</si>
  <si>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</si>
  <si>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</si>
  <si>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</si>
  <si>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</si>
  <si>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</si>
  <si>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</si>
  <si>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</si>
  <si>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</si>
  <si>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</si>
  <si>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</si>
  <si>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</si>
  <si>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</si>
  <si>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</si>
  <si>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</si>
  <si>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</si>
  <si>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</si>
  <si>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</si>
  <si>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</si>
  <si>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</si>
  <si>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</si>
  <si>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</si>
  <si>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</si>
  <si>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</si>
  <si>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</si>
  <si>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</si>
  <si>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</si>
  <si>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</si>
  <si>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</si>
  <si>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</si>
  <si>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</si>
  <si>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</si>
  <si>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</si>
  <si>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</si>
  <si>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</si>
  <si>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</si>
  <si>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</si>
  <si>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</si>
  <si>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</si>
  <si>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</si>
  <si>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</si>
  <si>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</si>
  <si>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</si>
  <si>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</si>
  <si>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</si>
  <si>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</si>
  <si>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Percentage of targeted women, men, boys and girls benefitting from timely/adequate/tailored personal hygiene items and receiving appropriate/ community tailored messages that enable health seeking behavior</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</si>
  <si>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</si>
  <si>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</si>
  <si>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</si>
  <si>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</si>
  <si>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</si>
  <si>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</si>
  <si>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</si>
  <si>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 students access to functioning school latrines</t>
  </si>
  <si>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</si>
  <si>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</si>
  <si>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</si>
  <si>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</si>
  <si>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</si>
  <si>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</si>
  <si>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</si>
  <si>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</si>
  <si>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</si>
  <si>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Number of  women, men, boys and girls benefitting from safe/improved drinking water, meeting demand for domestic purposes, at minimum/agreed standards</t>
  </si>
  <si>
    <t>Number of targeted women, men, boys and girls benefitting from a functional excreta disposal system, reducing safety/public health/environmental risks</t>
  </si>
  <si>
    <t>Number of targeted women, men, boys and girls benefitting from timely/adequate/tailored personal hygiene items and receiving appropriate/ community tailored messages that enable health seeking behavior</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</si>
  <si>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</si>
  <si>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</si>
  <si>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</si>
  <si>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</si>
  <si>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IOM</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</si>
  <si>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</si>
  <si>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</si>
  <si>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</si>
  <si>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</si>
  <si>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</si>
  <si>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</si>
  <si>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</si>
  <si>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</si>
  <si>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</si>
  <si>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</si>
  <si>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</si>
  <si>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</si>
  <si>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</si>
  <si>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</si>
  <si>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</si>
  <si>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</si>
  <si>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</si>
  <si>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</si>
  <si>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</si>
  <si>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</si>
  <si>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</si>
  <si>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</si>
  <si>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</si>
  <si>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Na Htoe Pyin</t>
  </si>
  <si>
    <t>Yar Taik</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</si>
  <si>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</si>
  <si>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</si>
  <si>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</si>
  <si>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</si>
  <si>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</si>
  <si>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</si>
  <si>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</si>
  <si>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</si>
  <si>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</si>
  <si>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</si>
  <si>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</si>
  <si>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</si>
  <si>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</si>
  <si>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</si>
  <si>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</si>
  <si>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</si>
  <si>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</si>
  <si>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</si>
  <si>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</si>
  <si>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</si>
  <si>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</si>
  <si>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</si>
  <si>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</si>
  <si>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</si>
  <si>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</si>
  <si>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</si>
  <si>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</si>
  <si>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Pyein Chaung (ngwe Twin Dway tract)</t>
  </si>
  <si>
    <t>MRCS</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</si>
  <si>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</si>
  <si>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</si>
  <si>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</si>
  <si>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</si>
  <si>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</si>
  <si>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</si>
  <si>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</si>
  <si>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</si>
  <si>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</si>
  <si>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</si>
  <si>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</si>
  <si>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</si>
  <si>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</si>
  <si>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</si>
  <si>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</si>
  <si>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</si>
  <si>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</si>
  <si>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</si>
  <si>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</si>
  <si>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</si>
  <si>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</si>
  <si>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</si>
  <si>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</si>
  <si>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</si>
  <si>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</si>
  <si>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</si>
  <si>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</si>
  <si>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</si>
  <si>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</si>
  <si>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</si>
  <si>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</si>
  <si>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</si>
  <si>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</si>
  <si>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</si>
  <si>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</si>
  <si>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</si>
  <si>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</si>
  <si>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</si>
  <si>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</si>
  <si>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</si>
  <si>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</si>
  <si>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</si>
  <si>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</si>
  <si>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</si>
  <si>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</si>
  <si>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</si>
  <si>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</si>
  <si>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</si>
  <si>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</si>
  <si>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</si>
  <si>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</si>
  <si>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</si>
  <si>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</si>
  <si>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</si>
  <si>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</si>
  <si>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</si>
  <si>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</si>
  <si>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</si>
  <si>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</si>
  <si>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28/02/2018 and 28/02/2019, 01/07/2018, 01/10/2018</t>
  </si>
  <si>
    <t>28/02/2019 and 28/02/2020, 30/06/2019, 30/09/2019</t>
  </si>
  <si>
    <t xml:space="preserve"> -   </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</si>
  <si>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</si>
  <si>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</si>
  <si>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</si>
  <si>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</si>
  <si>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</si>
  <si>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</si>
  <si>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</si>
  <si>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</si>
  <si>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</si>
  <si>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</si>
  <si>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</si>
  <si>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</si>
  <si>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</si>
  <si>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</si>
  <si>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</si>
  <si>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</si>
  <si>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</si>
  <si>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</si>
  <si>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</si>
  <si>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Metta, KMSS</t>
  </si>
  <si>
    <t>Boe Taw monastery</t>
  </si>
  <si>
    <t>Man Li</t>
  </si>
  <si>
    <t>Sasana 2500 monastery</t>
  </si>
  <si>
    <t>German (AA/BMZ)</t>
  </si>
  <si>
    <t>Baw Du Pha Village (IDP in host families)</t>
  </si>
  <si>
    <t>OXSI (OXFAM)</t>
  </si>
  <si>
    <t>camp + village + new IDP</t>
  </si>
  <si>
    <t>only new IDP</t>
  </si>
  <si>
    <t>Northern Rakhine</t>
  </si>
  <si>
    <t>Central Rakhine</t>
  </si>
  <si>
    <t>Central Rakhine Total</t>
  </si>
  <si>
    <t>Northern Rakhine Total</t>
  </si>
  <si>
    <t>Targeted population provided with sanitation or hygiene kits or key hygiene items</t>
  </si>
  <si>
    <t>Temporary location_Town</t>
  </si>
  <si>
    <t>New Temporary Site</t>
  </si>
  <si>
    <t>% Access to unimproved water points</t>
  </si>
  <si>
    <t>it is included non-functioning latrines</t>
  </si>
  <si>
    <t># Operation &amp; maintenance</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</si>
  <si>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</si>
  <si>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</si>
  <si>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</si>
  <si>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</si>
  <si>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</si>
  <si>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</si>
  <si>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</si>
  <si>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</si>
  <si>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</si>
  <si>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</si>
  <si>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</si>
  <si>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</si>
  <si>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</si>
  <si>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</si>
  <si>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</si>
  <si>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</si>
  <si>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</si>
  <si>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</si>
  <si>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</si>
  <si>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</si>
  <si>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</si>
  <si>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</si>
  <si>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</si>
  <si>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</si>
  <si>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</si>
  <si>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</si>
  <si>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</si>
  <si>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</si>
  <si>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</si>
  <si>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</si>
  <si>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</si>
  <si>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</si>
  <si>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DFID/HARP, EU</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</si>
  <si>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</si>
  <si>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</si>
  <si>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</si>
  <si>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</si>
  <si>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</si>
  <si>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</si>
  <si>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</si>
  <si>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</si>
  <si>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</si>
  <si>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</si>
  <si>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</si>
  <si>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</si>
  <si>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</si>
  <si>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</si>
  <si>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</si>
  <si>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</si>
  <si>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</si>
  <si>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</si>
  <si>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KBC, KMSS, Metta, WPN</t>
  </si>
  <si>
    <t>KBC, Metta, KMSS, SI, WPN</t>
  </si>
  <si>
    <t>KBC, KMSS, SCI, Metta</t>
  </si>
  <si>
    <t>KMSS, SCI, Metta</t>
  </si>
  <si>
    <t>SCI, SI</t>
  </si>
  <si>
    <t>DRC,OXSI (SI),OXSI(Oxfam), MA_UK</t>
  </si>
  <si>
    <t>MHDO, Unicef</t>
  </si>
  <si>
    <t>GIZ, SCI, SI</t>
  </si>
  <si>
    <t>ACF, OXSI (Oxfam), OXSI (SI)</t>
  </si>
  <si>
    <t>MHDO, Unicef, WFP</t>
  </si>
  <si>
    <t># of People adopt basic personal and community hygiene practices</t>
  </si>
  <si>
    <t># of people access to functioning  sanitation facilities</t>
  </si>
  <si>
    <t># of people Equitable and continuous access to sufficient quantity of domestic water</t>
  </si>
  <si>
    <t>remove from db, ipds moved to lawa rc church</t>
  </si>
  <si>
    <t>HH
(Rakhine-CCCM as of 31st Jan 2019)
(Kachin/Shan-CCCM as of 31st March 2019)</t>
  </si>
  <si>
    <t>Pop
(Rakhine-CCCM as of 31st Jan 2019)
(Kachin/Shan-CCCM as of 31st March 2019)</t>
  </si>
  <si>
    <t>CCCM_2019Jan</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</si>
  <si>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</si>
  <si>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</si>
  <si>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</si>
  <si>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</si>
  <si>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</si>
  <si>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</si>
  <si>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</si>
  <si>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</si>
  <si>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</si>
  <si>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</si>
  <si>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</si>
  <si>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</si>
  <si>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</si>
  <si>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</si>
  <si>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</si>
  <si>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</si>
  <si>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</si>
  <si>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</si>
  <si>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</si>
  <si>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</si>
  <si>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</si>
  <si>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</si>
  <si>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</si>
  <si>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</si>
  <si>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</si>
  <si>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</si>
  <si>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</si>
  <si>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</si>
  <si>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</si>
  <si>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</si>
  <si>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</si>
  <si>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</si>
  <si>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</si>
  <si>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</si>
  <si>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</si>
  <si>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</si>
  <si>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</si>
  <si>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</si>
  <si>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</si>
  <si>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</si>
  <si>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</si>
  <si>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</si>
  <si>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</si>
  <si>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</si>
  <si>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</si>
  <si>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</si>
  <si>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</si>
  <si>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</si>
  <si>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</si>
  <si>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</si>
  <si>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</si>
  <si>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</si>
  <si>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</si>
  <si>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</si>
  <si>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</si>
  <si>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</si>
  <si>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</si>
  <si>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</si>
  <si>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</si>
  <si>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</si>
  <si>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</si>
  <si>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</si>
  <si>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</si>
  <si>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</si>
  <si>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</si>
  <si>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</si>
  <si>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</si>
  <si>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</si>
  <si>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</si>
  <si>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</si>
  <si>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</si>
  <si>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</si>
  <si>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</si>
  <si>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</si>
  <si>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</si>
  <si>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</si>
  <si>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</si>
  <si>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</si>
  <si>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</si>
  <si>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</si>
  <si>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</si>
  <si>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</si>
  <si>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</si>
  <si>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</si>
  <si>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</si>
  <si>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</si>
  <si>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</si>
  <si>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</si>
  <si>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</si>
  <si>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</si>
  <si>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</si>
  <si>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</si>
  <si>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</si>
  <si>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</si>
  <si>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</si>
  <si>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</si>
  <si>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</si>
  <si>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</si>
  <si>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</si>
  <si>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</si>
  <si>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</si>
  <si>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</si>
  <si>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</si>
  <si>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</si>
  <si>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</si>
  <si>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</si>
  <si>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</si>
  <si>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</si>
  <si>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</si>
  <si>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</si>
  <si>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</si>
  <si>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</si>
  <si>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</si>
  <si>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WATER Comments                                         
(If you have gaps or questions)</t>
  </si>
  <si>
    <t>SANITATION Comments                                               
(If you have gaps or questions)</t>
  </si>
  <si>
    <t>HYGIENE Comments                                                               
(If you have gaps or questions)</t>
  </si>
  <si>
    <t># Existing protected/fenced ponds</t>
  </si>
  <si>
    <t># of functional public open wells with sealed walls with water flowing/available all day used for drinking/domestic water</t>
  </si>
  <si>
    <t># of functional public wells/boreholes ( deep tube well, shallow tube well) with water flowing/available all day with a functional flowrate</t>
  </si>
  <si>
    <t xml:space="preserve">Protected/fenced ponds do not count as improved water source or safe drinking water </t>
  </si>
  <si>
    <t>number of waterpoints which you  plan on building or repairing,  (target) OR the numbers you have built of have rehabilitated (current)</t>
  </si>
  <si>
    <r>
      <t xml:space="preserve"># of people accessing to </t>
    </r>
    <r>
      <rPr>
        <b/>
        <u/>
        <sz val="10"/>
        <rFont val="Corbel"/>
        <family val="2"/>
      </rPr>
      <t>other types of un-improved water</t>
    </r>
    <r>
      <rPr>
        <sz val="10"/>
        <rFont val="Corbel"/>
        <family val="2"/>
      </rPr>
      <t xml:space="preserve"> sources (river, spring) during the reporting period.</t>
    </r>
  </si>
  <si>
    <r>
      <t xml:space="preserve"># Functioning </t>
    </r>
    <r>
      <rPr>
        <b/>
        <u/>
        <sz val="10"/>
        <rFont val="Corbel"/>
        <family val="2"/>
      </rPr>
      <t>Tube wells/boreholes/hand pump</t>
    </r>
    <r>
      <rPr>
        <sz val="10"/>
        <rFont val="Corbel"/>
        <family val="2"/>
      </rPr>
      <t>s including community's own hand pumps during the reporting period.</t>
    </r>
  </si>
  <si>
    <r>
      <t># Functioning</t>
    </r>
    <r>
      <rPr>
        <b/>
        <u/>
        <sz val="10"/>
        <rFont val="Corbel"/>
        <family val="2"/>
      </rPr>
      <t xml:space="preserve"> protected hand dug well/open well</t>
    </r>
    <r>
      <rPr>
        <sz val="10"/>
        <rFont val="Corbel"/>
        <family val="2"/>
      </rPr>
      <t xml:space="preserve"> during the reporting period.</t>
    </r>
  </si>
  <si>
    <t>Availability of drainage in school compound (Yes or No)</t>
  </si>
  <si>
    <r>
      <t># of</t>
    </r>
    <r>
      <rPr>
        <b/>
        <u/>
        <sz val="10"/>
        <rFont val="Corbel"/>
        <family val="2"/>
      </rPr>
      <t xml:space="preserve"> sanitary fly-proof HH latrines</t>
    </r>
  </si>
  <si>
    <t># Functioning water points at school</t>
  </si>
  <si>
    <r>
      <t xml:space="preserve"># of </t>
    </r>
    <r>
      <rPr>
        <b/>
        <u/>
        <sz val="10"/>
        <rFont val="Corbel"/>
        <family val="2"/>
      </rPr>
      <t>Functioning latrines in school</t>
    </r>
  </si>
  <si>
    <r>
      <t># of</t>
    </r>
    <r>
      <rPr>
        <b/>
        <u/>
        <sz val="10"/>
        <rFont val="Corbel"/>
        <family val="2"/>
      </rPr>
      <t xml:space="preserve"> person with disabilities at village</t>
    </r>
  </si>
  <si>
    <r>
      <t xml:space="preserve"># of </t>
    </r>
    <r>
      <rPr>
        <b/>
        <u/>
        <sz val="10"/>
        <rFont val="Corbel"/>
        <family val="2"/>
      </rPr>
      <t>person with disabilities at school</t>
    </r>
  </si>
  <si>
    <r>
      <t xml:space="preserve"># of </t>
    </r>
    <r>
      <rPr>
        <b/>
        <u/>
        <sz val="10"/>
        <rFont val="Corbel"/>
        <family val="2"/>
      </rPr>
      <t xml:space="preserve">persons with disabilities with adapted sanitation option at HH level </t>
    </r>
  </si>
  <si>
    <r>
      <t xml:space="preserve"># of </t>
    </r>
    <r>
      <rPr>
        <b/>
        <u/>
        <sz val="10"/>
        <rFont val="Corbel"/>
        <family val="2"/>
      </rPr>
      <t>person with disabilities with access to adapted sanitation option at School</t>
    </r>
  </si>
  <si>
    <t># of Men who received appropirate/community tailored hygiene messages</t>
  </si>
  <si>
    <t># of Women who received appropirate/community tailored hygiene messages</t>
  </si>
  <si>
    <t># of Boys who received appropirate/community tailored hygiene messages</t>
  </si>
  <si>
    <t># of Girls who received appropirate/community tailored hygiene messages</t>
  </si>
  <si>
    <t># of students (boys) who received appropirate hygiene messages</t>
  </si>
  <si>
    <t># of students (girls) who received appropirate hygiene messages</t>
  </si>
  <si>
    <t># of functional handwashing facilities at HH level?? (CDN implementing in HH level)</t>
  </si>
  <si>
    <t># of functional handwashing facilities at school</t>
  </si>
  <si>
    <t>% of affected people surveyed who feel informed about the WASH services available to them (To incorporate AAP questions in monitoring tool)</t>
  </si>
  <si>
    <t>% of people surveryed who know how to and feel comfortable to make suggestions or complaints (To incorporate AAP questions in monitoring tool)</t>
  </si>
  <si>
    <t>% of people surveryed who know how to and feel comfortable to make suggestions or complaints</t>
  </si>
  <si>
    <r>
      <t xml:space="preserve">% of affected people surveyed </t>
    </r>
    <r>
      <rPr>
        <b/>
        <u/>
        <sz val="10"/>
        <rFont val="Corbel"/>
        <family val="2"/>
      </rPr>
      <t>who feel informed</t>
    </r>
    <r>
      <rPr>
        <sz val="10"/>
        <rFont val="Corbel"/>
        <family val="2"/>
      </rPr>
      <t xml:space="preserve"> about the WASH services available to them</t>
    </r>
  </si>
  <si>
    <t>Yearly</t>
  </si>
  <si>
    <t>#_Existing_protected/fenced_ponds</t>
  </si>
  <si>
    <t>#_Functioning_water_points_at_school</t>
  </si>
  <si>
    <t>#_Functioning_protected_hand_dug_well/open_well</t>
  </si>
  <si>
    <t>#_Functioning_Tube_wells/boreholes/hand_pumps_including_community's_own_hand_pumps</t>
  </si>
  <si>
    <t>#_of_people_accessing_to_other_types_of_un-improved_water_sources_(river,_spring)</t>
  </si>
  <si>
    <t>WATER_Comments</t>
  </si>
  <si>
    <t>#_of_sanitary_fly-proof_HH_latrines</t>
  </si>
  <si>
    <t>Availability_of_drainage_in_school_compound_(Yes_or_No)</t>
  </si>
  <si>
    <t>#_of_Functioning_latrines_in_school</t>
  </si>
  <si>
    <t>#_of_PWD_at_school</t>
  </si>
  <si>
    <t>#_of_PWD_at_village</t>
  </si>
  <si>
    <t>#_of_PWD_with_adapted_sanitation_option_at_HH_level_</t>
  </si>
  <si>
    <t>#_of_PWD_with_access_to_adapted_sanitation_option_at_School</t>
  </si>
  <si>
    <t>SANITATION_Comment</t>
  </si>
  <si>
    <t>#_of_Men_who_received_appropirate/community_tailored_hygiene_messages</t>
  </si>
  <si>
    <t>#_of_Women_who_received_appropirate/community_tailored_hygiene_messages</t>
  </si>
  <si>
    <t>#_of_Boys_who_received_appropirate/community_tailored_hygiene_messages</t>
  </si>
  <si>
    <t>#_of_Girls_who_received_appropirate/community_tailored_hygiene_messages</t>
  </si>
  <si>
    <t>#_of_students_(boys)_who_received_appropirate_hygiene_messages</t>
  </si>
  <si>
    <t>#_of_students_(girls)_who_received_appropirate_hygiene_messages</t>
  </si>
  <si>
    <t>#_of_functional_handwashing_facilities_at_school</t>
  </si>
  <si>
    <t>%_of_affected_people_surveyed_who_feel_informed_about_the_WASH_services_available_to_them</t>
  </si>
  <si>
    <t>%_of_people_surveryed_who_know_how_to_and_feel_comfortable_to_make_suggestions_or_complaints</t>
  </si>
  <si>
    <t>#_of_functional_handwashing_facilities_at_HH_level</t>
  </si>
  <si>
    <t># of functional handwashing facilities at HH level</t>
  </si>
  <si>
    <t>HYGIENE_Comments</t>
  </si>
  <si>
    <t>V15, 16, 17, 18, 19</t>
  </si>
  <si>
    <t># Functioning protected hand dug well/open well during the reporting period.
# Functioning Tube wells/boreholes/hand pumps including community's own hand pumps during the reporting period.
# Existing protected/fenced ponds
# of people accessing to other types of un-improved water sources (river, spring) during the reporting period.
# Functioning water points at school</t>
  </si>
  <si>
    <r>
      <t xml:space="preserve">
</t>
    </r>
    <r>
      <rPr>
        <b/>
        <sz val="12"/>
        <color rgb="FF2C2C2C"/>
        <rFont val="Gill Sans MT"/>
        <family val="2"/>
      </rPr>
      <t>Village:</t>
    </r>
    <r>
      <rPr>
        <sz val="12"/>
        <color rgb="FF2C2C2C"/>
        <rFont val="Gill Sans MT"/>
        <family val="2"/>
      </rPr>
      <t xml:space="preserve"> Hand dug well/open well 250 PPL, Hand Pump 250 PPL, Pond=15L/P/D </t>
    </r>
  </si>
  <si>
    <t>V21, 23, 25, 27</t>
  </si>
  <si>
    <t xml:space="preserve"># of sanitary fly-proof HH latrines
# of Functioning latrines in school
# of persons with disabilities with adapted sanitation option at HH level 
# of person with disabilities with access to adapted sanitation option at School
</t>
  </si>
  <si>
    <t xml:space="preserve">
Village:HH latrine; 6 PPL:1
</t>
  </si>
  <si>
    <t>V29, 30, 31, 32, 33, 34</t>
  </si>
  <si>
    <t xml:space="preserve"># of Men who received appropirate/community tailored hygiene messages
# of Women who received appropirate/community tailored hygiene messages
# of Boys who received appropirate/community tailored hygiene messages
# of Girls who received appropirate/community tailored hygiene messages
# of students (boys) who received appropirate hygiene messages
# of students (girls) who received appropirate hygiene messages
</t>
  </si>
  <si>
    <t>Village name</t>
  </si>
  <si>
    <t>#of students in school</t>
  </si>
  <si>
    <t>Person work days lost due to access restrictions to the village</t>
  </si>
  <si>
    <t>Total number of people who is accessing to other types of un-improved water sources (river, spring) during the reporting period.</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</si>
  <si>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</si>
  <si>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</si>
  <si>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</si>
  <si>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</si>
  <si>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Village  Name</t>
  </si>
  <si>
    <t># people access to functional handwashing facilities</t>
  </si>
  <si>
    <t># people reached by regular dedicated hygiene promotion</t>
  </si>
  <si>
    <t>Village with School</t>
  </si>
  <si>
    <t>x3</t>
  </si>
  <si>
    <t>Men</t>
  </si>
  <si>
    <t>Women</t>
  </si>
  <si>
    <t>Boys</t>
  </si>
  <si>
    <t>Girls</t>
  </si>
  <si>
    <t>Count of Village  Name</t>
  </si>
  <si>
    <t>Village-Overall HRP Target</t>
  </si>
  <si>
    <t>Village-Overall reached</t>
  </si>
  <si>
    <t>Targeted population in humanitarian situations accessing appropriate hygiene education in schools, temporary learning spaces and other child friendly spaces</t>
  </si>
  <si>
    <t xml:space="preserve">  #of students in school</t>
  </si>
  <si>
    <t>HPM</t>
  </si>
  <si>
    <t>Ku La Thein</t>
  </si>
  <si>
    <t>Hpa Yar Pyin</t>
  </si>
  <si>
    <t>Pi Htu</t>
  </si>
  <si>
    <t>War Lan</t>
  </si>
  <si>
    <t>War Lan Kone</t>
  </si>
  <si>
    <t>PIN/MHDO, UNICEF/WFP, WVI/MHDO</t>
  </si>
  <si>
    <t>Malteser, PIN/MHDO, UNICEF/WFP, WVI/MHDO,</t>
  </si>
  <si>
    <t>Sum of #_of_sanitary_fly-proof_HH_latrines</t>
  </si>
  <si>
    <t>Count of Availability_of_drainage_in_school_compound_(Yes_or_No)</t>
  </si>
  <si>
    <t>Count of Village with School</t>
  </si>
  <si>
    <t>Village With No School</t>
  </si>
  <si>
    <t>Sum of #of students in school</t>
  </si>
  <si>
    <t>Sum of #_of_Functioning_latrines_in_school</t>
  </si>
  <si>
    <t>Required latrines in school</t>
  </si>
  <si>
    <t xml:space="preserve"> # of students in school</t>
  </si>
  <si>
    <t xml:space="preserve"> # of hand washing stations for school</t>
  </si>
  <si>
    <t>Sum of #_of_functional_handwashing_facilities_at_school</t>
  </si>
  <si>
    <t>Sum of #_Functioning_water_points_at_school</t>
  </si>
  <si>
    <t xml:space="preserve"> # of latrines in schools</t>
  </si>
  <si>
    <t xml:space="preserve">  Total PoP </t>
  </si>
  <si>
    <t>No drainage in school compound</t>
  </si>
  <si>
    <t>Drainage in school compound</t>
  </si>
  <si>
    <t>Reached</t>
  </si>
  <si>
    <t>No Reached</t>
  </si>
  <si>
    <t>Sum of #_of_functional_handwashing_facilities_at_HH_level</t>
  </si>
  <si>
    <t>Displaced</t>
  </si>
  <si>
    <t>HH</t>
  </si>
  <si>
    <t>Population</t>
  </si>
  <si>
    <t>% Emergency Latrine Gap</t>
  </si>
  <si>
    <t>% Hygiene item gap</t>
  </si>
  <si>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</si>
  <si>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</si>
  <si>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t># of affected households receiving a sufficient quantity of soap during the reporting period</t>
  </si>
  <si>
    <t># of affected women and girls receiving a sufficient quantity of sanitary pads during the reporting period</t>
  </si>
  <si>
    <t>#_of_affected_households_receiving_a_sufficient_quantity_of_soap</t>
  </si>
  <si>
    <t>#_of_affected_women_and_girls_receiving_a_sufficient_quantity_of_sanitary_pads</t>
  </si>
  <si>
    <t>AAP</t>
  </si>
  <si>
    <t>Min Te</t>
  </si>
  <si>
    <t>Myar Lee Kan</t>
  </si>
  <si>
    <t>Tha Zin</t>
  </si>
  <si>
    <t>Taw Pan Zin</t>
  </si>
  <si>
    <t># People with access to soap</t>
  </si>
  <si>
    <t># People with access to Sanity Pads</t>
  </si>
  <si>
    <t># People received regular supply of hygiene items</t>
  </si>
  <si>
    <t xml:space="preserve"> # People received regular supply of hygiene items</t>
  </si>
  <si>
    <t>Danish Committee for UNICEF</t>
  </si>
  <si>
    <t>Oak Ta Ma</t>
  </si>
  <si>
    <t>Chaung Du</t>
  </si>
  <si>
    <t>Nar Yi Kan</t>
  </si>
  <si>
    <t>Shwe Pyi Thar</t>
  </si>
  <si>
    <t>Min Gan 1</t>
  </si>
  <si>
    <t>Par Taw</t>
  </si>
  <si>
    <t>Ta Yar Thee Su Ward</t>
  </si>
  <si>
    <t>MMR012001701508</t>
  </si>
  <si>
    <t>MMR012001701522</t>
  </si>
  <si>
    <t>Aung Min Ga Lar Ward</t>
  </si>
  <si>
    <t>MMR012001701530</t>
  </si>
  <si>
    <t>MMR012001701532</t>
  </si>
  <si>
    <t>U Sun Taung</t>
  </si>
  <si>
    <t>Yin Dar</t>
  </si>
  <si>
    <t>Q3_2019</t>
  </si>
  <si>
    <t>Nan Tet</t>
  </si>
  <si>
    <t>Nan Kya (Nan Kyar)</t>
  </si>
  <si>
    <t>Kyauk Kyat</t>
  </si>
  <si>
    <t>Taung U</t>
  </si>
  <si>
    <t>Hteik Wa Pyin</t>
  </si>
  <si>
    <t>Bu Ywet Ma Nyoe</t>
  </si>
  <si>
    <t>Chaung Hpyar</t>
  </si>
  <si>
    <t>Need to get the updated WASH data from MIAG for the townhips in nRS</t>
  </si>
  <si>
    <t>2019-3rd Qtr 4W by site DASHBOARD</t>
  </si>
  <si>
    <t>UNICEF,CDN</t>
  </si>
  <si>
    <t>Danish Committee for UNICEF,MHF</t>
  </si>
  <si>
    <t>Danish Committee for UNICEF,GIZ</t>
  </si>
  <si>
    <t>5/1/2017,10-1-2018</t>
  </si>
  <si>
    <t>6/30/2019,9-30-19</t>
  </si>
  <si>
    <t>5/1/2017,8-1-2018</t>
  </si>
  <si>
    <t>6/30/2019,7-31-20</t>
  </si>
  <si>
    <t>5/1/2017,10-1-18</t>
  </si>
  <si>
    <t>OXSI (Oxfam),ACF</t>
  </si>
  <si>
    <t>DFID/HARP.eu</t>
  </si>
  <si>
    <t>10/1/2017,1-1-17</t>
  </si>
  <si>
    <t>9/30/2020,12-21-21</t>
  </si>
  <si>
    <t xml:space="preserve">UNICEF, </t>
  </si>
  <si>
    <t xml:space="preserve"> NA </t>
  </si>
  <si>
    <t xml:space="preserve">OFDA </t>
  </si>
  <si>
    <t xml:space="preserve">                             -  </t>
  </si>
  <si>
    <t>Ah Shey</t>
  </si>
  <si>
    <t>Kyee Kan Pyin (South)</t>
  </si>
  <si>
    <t>Kan Thar Yar(Upper)</t>
  </si>
  <si>
    <t>Kan Thar Yar(Lower)</t>
  </si>
  <si>
    <t>Kine Gyi (Myo)</t>
  </si>
  <si>
    <t>Min Gyi</t>
  </si>
  <si>
    <t>Da Pyu Chaung</t>
  </si>
  <si>
    <t>Inn Gyin Myaing (NaTaLa)</t>
  </si>
  <si>
    <t>Laung Chaung</t>
  </si>
  <si>
    <t>Nga Kyin Tauk</t>
  </si>
  <si>
    <t>PIN,WVI</t>
  </si>
  <si>
    <t xml:space="preserve">IOM,OFDA </t>
  </si>
  <si>
    <t>1/15/2019,8-1-19</t>
  </si>
  <si>
    <t>9/15/2019,12/31/20</t>
  </si>
  <si>
    <t>Pae Youne (NaTaLa)</t>
  </si>
  <si>
    <t>Inn Din</t>
  </si>
  <si>
    <t>Har Bi (West)</t>
  </si>
  <si>
    <t>Zay Kone Tan</t>
  </si>
  <si>
    <t>Tat Min Chaung (Muslim)</t>
  </si>
  <si>
    <t>Tat Min Chaung (Daing Net/Rakhine)</t>
  </si>
  <si>
    <t>Gu Dar Pyin</t>
  </si>
  <si>
    <t>Tha Peik Taung (Rakhine)</t>
  </si>
  <si>
    <t>Rakhine, Daing Net</t>
  </si>
  <si>
    <t>Malteser, PIN/MHDO, WVI/MHDO, UNICEF/WFP</t>
  </si>
  <si>
    <t>OXSI (Oxfam),ACF, OXSI (SI), UNICEF</t>
  </si>
  <si>
    <t>ACF, OXSI (SI), OXSI (Oxfam),UNICEF</t>
  </si>
  <si>
    <t xml:space="preserve">RAKHINE STATE - non-IDP Sites  (2019 - Qtr 3 - 4W Analysis, as of 30 September 2019) </t>
  </si>
  <si>
    <t>Nga Yant Chaung</t>
  </si>
  <si>
    <t>Dar Paing Sa Yar</t>
  </si>
  <si>
    <t>Mee Kyaung Khaung Swea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</si>
</sst>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_(* #,##0_);_(* \(#,##0\);_(* &quot;-&quot;??_);_(@_)"/>
    <numFmt numFmtId="165" formatCode="[$-409]d\-mmm\-yy;@"/>
    <numFmt numFmtId="166" formatCode="[$-409]d/mmm/yy;@"/>
    <numFmt numFmtId="167" formatCode="yyyy/mm/dd"/>
    <numFmt numFmtId="168" formatCode="[$-409]d\-mmm\-yyyy;@"/>
  </numFmts>
  <fonts count="142">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sz val="12"/>
      <color rgb="FF2C2C2C"/>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sz val="10"/>
      <color theme="1"/>
      <name val="Calibri"/>
      <family val="2"/>
      <scheme val="minor"/>
    </font>
    <font>
      <sz val="10"/>
      <color theme="1"/>
      <name val="Calibri"/>
      <family val="2"/>
      <scheme val="minor"/>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color rgb="FF2C2C2C"/>
      <name val="Zawgyi-One"/>
      <family val="2"/>
    </font>
    <font>
      <sz val="8"/>
      <name val="Zawgyi-One"/>
      <family val="2"/>
    </font>
    <font>
      <sz val="8"/>
      <color theme="1"/>
      <name val="Zawgyi-One"/>
      <family val="2"/>
    </font>
    <font>
      <b/>
      <sz val="10"/>
      <color theme="0"/>
      <name val="Corbel"/>
      <family val="2"/>
    </font>
    <font>
      <b/>
      <sz val="10"/>
      <color rgb="FF0070C0"/>
      <name val="Crobel"/>
    </font>
    <font>
      <b/>
      <sz val="14"/>
      <color theme="0"/>
      <name val="zawgyi1"/>
      <family val="2"/>
    </font>
    <font>
      <b/>
      <sz val="14"/>
      <color rgb="FFFFC000"/>
      <name val="zawgyi1"/>
      <family val="2"/>
    </font>
    <font>
      <sz val="10"/>
      <color rgb="FF2C2C2C"/>
      <name val="Corbel"/>
      <family val="2"/>
    </font>
    <font>
      <sz val="12"/>
      <name val="Calibri"/>
      <family val="2"/>
      <scheme val="minor"/>
    </font>
    <font>
      <b/>
      <sz val="11"/>
      <color theme="0"/>
      <name val="Calibri"/>
      <family val="2"/>
      <scheme val="minor"/>
    </font>
    <font>
      <b/>
      <sz val="10"/>
      <color theme="5"/>
      <name val="Crobel"/>
    </font>
    <font>
      <sz val="10"/>
      <color theme="1"/>
      <name val="Calibri"/>
      <family val="2"/>
      <scheme val="minor"/>
    </font>
    <font>
      <sz val="10"/>
      <color rgb="FF2C2C2C"/>
      <name val="Corbel"/>
      <family val="2"/>
    </font>
    <font>
      <sz val="11"/>
      <color theme="1"/>
      <name val="Calibri"/>
      <family val="2"/>
      <scheme val="minor"/>
    </font>
    <font>
      <sz val="10"/>
      <color indexed="8"/>
      <name val="Corbel"/>
      <family val="2"/>
    </font>
    <font>
      <sz val="10"/>
      <color theme="1"/>
      <name val="Calibri"/>
      <family val="2"/>
      <scheme val="minor"/>
    </font>
    <font>
      <b/>
      <u/>
      <sz val="10"/>
      <name val="Corbel"/>
      <family val="2"/>
    </font>
    <font>
      <sz val="10"/>
      <color theme="0"/>
      <name val="Corbel"/>
      <family val="2"/>
    </font>
    <font>
      <sz val="10"/>
      <color rgb="FF2C2C2C"/>
      <name val="Corbel"/>
      <family val="2"/>
    </font>
    <font>
      <sz val="11"/>
      <color theme="9" tint="-0.249977111117893"/>
      <name val="Calibri"/>
      <family val="2"/>
      <scheme val="minor"/>
    </font>
    <font>
      <b/>
      <sz val="16"/>
      <color theme="1"/>
      <name val="Calibri"/>
      <family val="2"/>
      <scheme val="minor"/>
    </font>
    <font>
      <b/>
      <i/>
      <sz val="12"/>
      <color theme="1"/>
      <name val="Calibri"/>
      <family val="2"/>
      <scheme val="minor"/>
    </font>
    <font>
      <b/>
      <sz val="10"/>
      <color theme="1"/>
      <name val="Calibri"/>
      <family val="2"/>
      <scheme val="minor"/>
    </font>
    <font>
      <b/>
      <sz val="11"/>
      <color theme="1"/>
      <name val="Calibri"/>
      <family val="2"/>
      <scheme val="minor"/>
    </font>
    <font>
      <b/>
      <sz val="20"/>
      <color rgb="FFFF0000"/>
      <name val="Times New Roman"/>
      <family val="1"/>
    </font>
    <font>
      <sz val="12"/>
      <color theme="1"/>
      <name val="Calibri"/>
      <family val="2"/>
      <scheme val="minor"/>
    </font>
    <font>
      <sz val="12"/>
      <color theme="0"/>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s>
  <fills count="50">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9" tint="-0.249977111117893"/>
        <bgColor theme="9" tint="-0.249977111117893"/>
      </patternFill>
    </fill>
    <fill>
      <patternFill patternType="solid">
        <fgColor theme="9" tint="0.79998168889431442"/>
        <bgColor theme="9" tint="0.79998168889431442"/>
      </patternFill>
    </fill>
    <fill>
      <patternFill patternType="solid">
        <fgColor rgb="FF0070C0"/>
        <bgColor theme="4" tint="0.79998168889431442"/>
      </patternFill>
    </fill>
    <fill>
      <patternFill patternType="solid">
        <fgColor rgb="FFFFFF00"/>
        <bgColor indexed="64"/>
      </patternFill>
    </fill>
  </fills>
  <borders count="144">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style="thin">
        <color indexed="64"/>
      </left>
      <right/>
      <top style="thin">
        <color indexed="64"/>
      </top>
      <bottom style="thin">
        <color indexed="64"/>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style="thin">
        <color theme="4"/>
      </left>
      <right style="thin">
        <color theme="4"/>
      </right>
      <top/>
      <bottom style="thin">
        <color theme="4"/>
      </bottom>
      <diagonal/>
    </border>
    <border>
      <left style="thin">
        <color indexed="64"/>
      </left>
      <right/>
      <top/>
      <bottom style="thin">
        <color theme="7" tint="-0.249977111117893"/>
      </bottom>
      <diagonal/>
    </border>
    <border>
      <left/>
      <right/>
      <top/>
      <bottom style="thin">
        <color theme="7" tint="-0.249977111117893"/>
      </bottom>
      <diagonal/>
    </border>
    <border>
      <left style="thin">
        <color theme="7" tint="-0.249977111117893"/>
      </left>
      <right/>
      <top style="thin">
        <color indexed="64"/>
      </top>
      <bottom style="thin">
        <color theme="7" tint="-0.249977111117893"/>
      </bottom>
      <diagonal/>
    </border>
    <border>
      <left/>
      <right/>
      <top style="thin">
        <color indexed="64"/>
      </top>
      <bottom style="thin">
        <color theme="7" tint="-0.249977111117893"/>
      </bottom>
      <diagonal/>
    </border>
    <border>
      <left style="thin">
        <color theme="7" tint="-0.249977111117893"/>
      </left>
      <right/>
      <top/>
      <bottom style="thin">
        <color theme="7" tint="-0.249977111117893"/>
      </bottom>
      <diagonal/>
    </border>
    <border>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double">
        <color theme="8"/>
      </top>
      <bottom/>
      <diagonal/>
    </border>
    <border>
      <left style="thin">
        <color theme="8"/>
      </left>
      <right style="thin">
        <color theme="8"/>
      </right>
      <top style="double">
        <color theme="8"/>
      </top>
      <bottom/>
      <diagonal/>
    </border>
    <border>
      <left style="thin">
        <color theme="8"/>
      </left>
      <right/>
      <top style="double">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14996795556505021"/>
      </left>
      <right/>
      <top style="thin">
        <color theme="0" tint="-0.14996795556505021"/>
      </top>
      <bottom style="thin">
        <color theme="0" tint="-0.14996795556505021"/>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right style="medium">
        <color rgb="FF0070C0"/>
      </right>
      <top/>
      <bottom/>
      <diagonal/>
    </border>
    <border>
      <left style="thin">
        <color theme="4"/>
      </left>
      <right style="thin">
        <color theme="4"/>
      </right>
      <top/>
      <bottom style="thin">
        <color theme="0"/>
      </bottom>
      <diagonal/>
    </border>
    <border>
      <left/>
      <right style="thin">
        <color theme="8"/>
      </right>
      <top/>
      <bottom style="double">
        <color theme="8"/>
      </bottom>
      <diagonal/>
    </border>
    <border>
      <left style="thin">
        <color theme="8"/>
      </left>
      <right style="thin">
        <color theme="8"/>
      </right>
      <top/>
      <bottom style="double">
        <color theme="8"/>
      </bottom>
      <diagonal/>
    </border>
    <border>
      <left style="thin">
        <color theme="8"/>
      </left>
      <right/>
      <top/>
      <bottom style="double">
        <color theme="8"/>
      </bottom>
      <diagonal/>
    </border>
    <border>
      <left style="thin">
        <color theme="0" tint="-0.249977111117893"/>
      </left>
      <right style="thin">
        <color theme="0" tint="-0.249977111117893"/>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medium">
        <color rgb="FF0070C0"/>
      </left>
      <right style="thin">
        <color rgb="FF0070C0"/>
      </right>
      <top/>
      <bottom/>
      <diagonal/>
    </border>
    <border>
      <left style="medium">
        <color rgb="FF0070C0"/>
      </left>
      <right/>
      <top/>
      <bottom/>
      <diagonal/>
    </border>
    <border>
      <left style="thin">
        <color rgb="FF0070C0"/>
      </left>
      <right style="thin">
        <color rgb="FF0070C0"/>
      </right>
      <top style="thin">
        <color rgb="FF0070C0"/>
      </top>
      <bottom/>
      <diagonal/>
    </border>
    <border>
      <left style="thin">
        <color rgb="FF0070C0"/>
      </left>
      <right style="medium">
        <color rgb="FF0070C0"/>
      </right>
      <top style="thin">
        <color rgb="FF0070C0"/>
      </top>
      <bottom/>
      <diagonal/>
    </border>
    <border>
      <left style="thin">
        <color rgb="FF0070C0"/>
      </left>
      <right style="thin">
        <color rgb="FF0070C0"/>
      </right>
      <top/>
      <bottom style="thin">
        <color rgb="FF0070C0"/>
      </bottom>
      <diagonal/>
    </border>
    <border>
      <left style="thin">
        <color rgb="FF0070C0"/>
      </left>
      <right style="medium">
        <color rgb="FF0070C0"/>
      </right>
      <top/>
      <bottom style="thin">
        <color rgb="FF0070C0"/>
      </bottom>
      <diagonal/>
    </border>
    <border>
      <left style="medium">
        <color rgb="FF0070C0"/>
      </left>
      <right/>
      <top style="thin">
        <color rgb="FF0070C0"/>
      </top>
      <bottom/>
      <diagonal/>
    </border>
    <border>
      <left style="medium">
        <color rgb="FF0070C0"/>
      </left>
      <right/>
      <top/>
      <bottom style="thin">
        <color rgb="FF0070C0"/>
      </bottom>
      <diagonal/>
    </border>
    <border>
      <left style="medium">
        <color rgb="FF0070C0"/>
      </left>
      <right style="thin">
        <color rgb="FF0070C0"/>
      </right>
      <top/>
      <bottom style="medium">
        <color rgb="FF0070C0"/>
      </bottom>
      <diagonal/>
    </border>
    <border>
      <left style="thin">
        <color theme="5"/>
      </left>
      <right style="thin">
        <color theme="5"/>
      </right>
      <top/>
      <bottom/>
      <diagonal/>
    </border>
    <border>
      <left style="thin">
        <color theme="5"/>
      </left>
      <right style="thin">
        <color theme="5"/>
      </right>
      <top/>
      <bottom style="thin">
        <color theme="5"/>
      </bottom>
      <diagonal/>
    </border>
    <border>
      <left/>
      <right style="thin">
        <color theme="9"/>
      </right>
      <top style="thin">
        <color theme="9" tint="0.59996337778862885"/>
      </top>
      <bottom/>
      <diagonal/>
    </border>
    <border>
      <left/>
      <right style="thin">
        <color theme="9"/>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style="thin">
        <color theme="9" tint="0.59996337778862885"/>
      </left>
      <right/>
      <top style="thin">
        <color theme="9" tint="0.59996337778862885"/>
      </top>
      <bottom style="thin">
        <color theme="9" tint="0.59996337778862885"/>
      </bottom>
      <diagonal/>
    </border>
    <border>
      <left style="thin">
        <color theme="0" tint="-0.24994659260841701"/>
      </left>
      <right style="dashed">
        <color theme="0" tint="-0.24994659260841701"/>
      </right>
      <top style="thin">
        <color theme="0" tint="-0.24994659260841701"/>
      </top>
      <bottom/>
      <diagonal/>
    </border>
    <border>
      <left/>
      <right/>
      <top/>
      <bottom style="thin">
        <color theme="9" tint="0.39994506668294322"/>
      </bottom>
      <diagonal/>
    </border>
    <border>
      <left style="thin">
        <color theme="0" tint="-0.24994659260841701"/>
      </left>
      <right style="dashed">
        <color theme="0" tint="-0.24994659260841701"/>
      </right>
      <top/>
      <bottom style="dashed">
        <color theme="0" tint="-0.24994659260841701"/>
      </bottom>
      <diagonal/>
    </border>
    <border>
      <left style="dashed">
        <color theme="0" tint="-0.24994659260841701"/>
      </left>
      <right style="dashed">
        <color theme="0" tint="-0.24994659260841701"/>
      </right>
      <top style="thin">
        <color theme="0" tint="-0.24994659260841701"/>
      </top>
      <bottom style="dashed">
        <color theme="0" tint="-0.24994659260841701"/>
      </bottom>
      <diagonal/>
    </border>
    <border>
      <left style="dashed">
        <color theme="0" tint="-0.24994659260841701"/>
      </left>
      <right/>
      <top style="thin">
        <color theme="0" tint="-0.24994659260841701"/>
      </top>
      <bottom style="dashed">
        <color theme="0" tint="-0.24994659260841701"/>
      </bottom>
      <diagonal/>
    </border>
    <border>
      <left/>
      <right style="dashed">
        <color theme="9" tint="0.39994506668294322"/>
      </right>
      <top style="thin">
        <color theme="9" tint="0.39994506668294322"/>
      </top>
      <bottom style="thin">
        <color theme="9" tint="0.39994506668294322"/>
      </bottom>
      <diagonal/>
    </border>
    <border>
      <left style="thin">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top style="dashed">
        <color theme="0" tint="-0.24994659260841701"/>
      </top>
      <bottom style="dashed">
        <color theme="0" tint="-0.24994659260841701"/>
      </bottom>
      <diagonal/>
    </border>
    <border>
      <left/>
      <right style="dashed">
        <color theme="9" tint="0.39994506668294322"/>
      </right>
      <top style="thin">
        <color theme="9" tint="0.39994506668294322"/>
      </top>
      <bottom style="dashed">
        <color theme="9" tint="0.39994506668294322"/>
      </bottom>
      <diagonal/>
    </border>
    <border>
      <left/>
      <right style="dashed">
        <color theme="9" tint="0.39994506668294322"/>
      </right>
      <top style="dashed">
        <color theme="9" tint="0.39994506668294322"/>
      </top>
      <bottom style="dashed">
        <color theme="9" tint="0.39994506668294322"/>
      </bottom>
      <diagonal/>
    </border>
    <border>
      <left style="thin">
        <color theme="0" tint="-0.24994659260841701"/>
      </left>
      <right style="dashed">
        <color theme="0" tint="-0.24994659260841701"/>
      </right>
      <top style="dashed">
        <color theme="0" tint="-0.24994659260841701"/>
      </top>
      <bottom/>
      <diagonal/>
    </border>
    <border>
      <left style="dashed">
        <color theme="0" tint="-0.24994659260841701"/>
      </left>
      <right style="dashed">
        <color theme="0" tint="-0.24994659260841701"/>
      </right>
      <top style="dashed">
        <color theme="0" tint="-0.24994659260841701"/>
      </top>
      <bottom/>
      <diagonal/>
    </border>
    <border>
      <left style="dashed">
        <color theme="0" tint="-0.24994659260841701"/>
      </left>
      <right/>
      <top style="dashed">
        <color theme="0" tint="-0.24994659260841701"/>
      </top>
      <bottom/>
      <diagonal/>
    </border>
    <border>
      <left/>
      <right style="dashed">
        <color theme="9" tint="0.39994506668294322"/>
      </right>
      <top style="dashed">
        <color theme="9" tint="0.39994506668294322"/>
      </top>
      <bottom/>
      <diagonal/>
    </border>
    <border>
      <left style="thin">
        <color theme="0" tint="-0.24994659260841701"/>
      </left>
      <right style="dashed">
        <color theme="0" tint="-0.24994659260841701"/>
      </right>
      <top style="dashed">
        <color theme="0" tint="-0.24994659260841701"/>
      </top>
      <bottom style="thin">
        <color theme="0" tint="-0.24994659260841701"/>
      </bottom>
      <diagonal/>
    </border>
    <border>
      <left style="dashed">
        <color theme="0" tint="-0.24994659260841701"/>
      </left>
      <right style="dashed">
        <color theme="0" tint="-0.24994659260841701"/>
      </right>
      <top style="dashed">
        <color theme="0" tint="-0.24994659260841701"/>
      </top>
      <bottom style="thin">
        <color theme="0" tint="-0.24994659260841701"/>
      </bottom>
      <diagonal/>
    </border>
    <border>
      <left/>
      <right style="dashed">
        <color theme="9" tint="0.39994506668294322"/>
      </right>
      <top style="dashed">
        <color theme="9" tint="0.39994506668294322"/>
      </top>
      <bottom style="thin">
        <color theme="9" tint="0.39994506668294322"/>
      </bottom>
      <diagonal/>
    </border>
    <border>
      <left style="dashed">
        <color theme="9" tint="0.39994506668294322"/>
      </left>
      <right style="thin">
        <color theme="0" tint="-0.24994659260841701"/>
      </right>
      <top style="thin">
        <color theme="9" tint="0.39994506668294322"/>
      </top>
      <bottom style="thin">
        <color theme="9" tint="0.39994506668294322"/>
      </bottom>
      <diagonal/>
    </border>
    <border>
      <left style="dashed">
        <color theme="9" tint="0.39994506668294322"/>
      </left>
      <right style="thin">
        <color theme="0" tint="-0.24994659260841701"/>
      </right>
      <top style="dashed">
        <color theme="9" tint="0.39994506668294322"/>
      </top>
      <bottom style="thin">
        <color theme="9" tint="0.39994506668294322"/>
      </bottom>
      <diagonal/>
    </border>
    <border>
      <left style="thin">
        <color theme="4"/>
      </left>
      <right style="thin">
        <color theme="8"/>
      </right>
      <top/>
      <bottom style="double">
        <color theme="8"/>
      </bottom>
      <diagonal/>
    </border>
  </borders>
  <cellStyleXfs count="43">
    <xf numFmtId="0" fontId="0" fillId="0" borderId="0"/>
    <xf numFmtId="9" fontId="13" fillId="0" borderId="0" applyFont="0" applyFill="0" applyBorder="0" applyAlignment="0" applyProtection="0"/>
    <xf numFmtId="0" fontId="14" fillId="0" borderId="0"/>
    <xf numFmtId="9"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4" fillId="0" borderId="0" applyFont="0" applyFill="0" applyBorder="0" applyAlignment="0" applyProtection="0"/>
    <xf numFmtId="166" fontId="14" fillId="0" borderId="0"/>
    <xf numFmtId="0" fontId="40" fillId="0" borderId="0"/>
    <xf numFmtId="0" fontId="40" fillId="0" borderId="0"/>
    <xf numFmtId="0" fontId="12" fillId="0" borderId="0"/>
    <xf numFmtId="9" fontId="12" fillId="0" borderId="0" applyFont="0" applyFill="0" applyBorder="0" applyAlignment="0" applyProtection="0"/>
    <xf numFmtId="0" fontId="61" fillId="0" borderId="30" applyNumberFormat="0" applyFill="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1" fillId="0" borderId="0"/>
    <xf numFmtId="9" fontId="11" fillId="0" borderId="0" applyFont="0" applyFill="0" applyBorder="0" applyAlignment="0" applyProtection="0"/>
    <xf numFmtId="0" fontId="40" fillId="0" borderId="0"/>
    <xf numFmtId="0" fontId="13" fillId="0" borderId="0"/>
    <xf numFmtId="0" fontId="45" fillId="24" borderId="0" applyNumberFormat="0" applyBorder="0" applyAlignment="0" applyProtection="0"/>
    <xf numFmtId="0" fontId="46" fillId="25" borderId="0" applyNumberFormat="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166"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166" fontId="9"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cellStyleXfs>
  <cellXfs count="901">
    <xf numFmtId="0" fontId="0" fillId="0" borderId="0" xfId="0"/>
    <xf numFmtId="0" fontId="17" fillId="2" borderId="1" xfId="0" applyFont="1" applyFill="1" applyBorder="1" applyAlignment="1">
      <alignment horizontal="left" vertical="center" readingOrder="1"/>
    </xf>
    <xf numFmtId="0" fontId="17" fillId="5" borderId="2" xfId="0" applyFont="1" applyFill="1" applyBorder="1" applyAlignment="1">
      <alignment horizontal="left" vertical="center" readingOrder="1"/>
    </xf>
    <xf numFmtId="0" fontId="17" fillId="8" borderId="2" xfId="0" applyFont="1" applyFill="1" applyBorder="1" applyAlignment="1">
      <alignment horizontal="left" vertical="center" readingOrder="1"/>
    </xf>
    <xf numFmtId="0" fontId="17" fillId="8" borderId="3" xfId="0" applyFont="1" applyFill="1" applyBorder="1" applyAlignment="1">
      <alignment horizontal="left" vertical="center" readingOrder="1"/>
    </xf>
    <xf numFmtId="0" fontId="17" fillId="9" borderId="2" xfId="0" applyFont="1" applyFill="1" applyBorder="1" applyAlignment="1">
      <alignment horizontal="left" vertical="center" readingOrder="1"/>
    </xf>
    <xf numFmtId="0" fontId="18" fillId="3" borderId="1" xfId="0" applyFont="1" applyFill="1" applyBorder="1" applyAlignment="1">
      <alignment horizontal="left" vertical="center" readingOrder="1"/>
    </xf>
    <xf numFmtId="0" fontId="18" fillId="4" borderId="2" xfId="0" applyFont="1" applyFill="1" applyBorder="1" applyAlignment="1">
      <alignment horizontal="left" vertical="center" readingOrder="1"/>
    </xf>
    <xf numFmtId="0" fontId="18" fillId="3" borderId="2" xfId="0" applyFont="1" applyFill="1" applyBorder="1" applyAlignment="1">
      <alignment horizontal="left" vertical="center" readingOrder="1"/>
    </xf>
    <xf numFmtId="0" fontId="18" fillId="3" borderId="3" xfId="0" applyFont="1" applyFill="1" applyBorder="1" applyAlignment="1">
      <alignment horizontal="left" vertical="center" readingOrder="1"/>
    </xf>
    <xf numFmtId="14" fontId="18" fillId="3" borderId="2" xfId="0" applyNumberFormat="1" applyFont="1" applyFill="1" applyBorder="1" applyAlignment="1">
      <alignment horizontal="left" vertical="center" readingOrder="1"/>
    </xf>
    <xf numFmtId="14" fontId="18" fillId="6" borderId="2" xfId="0" applyNumberFormat="1" applyFont="1" applyFill="1" applyBorder="1" applyAlignment="1">
      <alignment horizontal="left" vertical="center" readingOrder="1"/>
    </xf>
    <xf numFmtId="0" fontId="18" fillId="7" borderId="2" xfId="0" applyFont="1" applyFill="1" applyBorder="1" applyAlignment="1">
      <alignment horizontal="left" vertical="center" readingOrder="1"/>
    </xf>
    <xf numFmtId="0" fontId="21" fillId="7" borderId="2" xfId="0" applyFont="1" applyFill="1" applyBorder="1" applyAlignment="1">
      <alignment horizontal="left" vertical="top" wrapText="1" readingOrder="1"/>
    </xf>
    <xf numFmtId="14" fontId="21" fillId="6" borderId="1" xfId="0" applyNumberFormat="1" applyFont="1" applyFill="1" applyBorder="1" applyAlignment="1">
      <alignment horizontal="left" vertical="top" wrapText="1" readingOrder="1"/>
    </xf>
    <xf numFmtId="9" fontId="18" fillId="3" borderId="2" xfId="1" applyFont="1" applyFill="1" applyBorder="1" applyAlignment="1">
      <alignment horizontal="left" vertical="center" readingOrder="1"/>
    </xf>
    <xf numFmtId="9" fontId="18" fillId="6" borderId="1" xfId="1" applyFont="1" applyFill="1" applyBorder="1" applyAlignment="1">
      <alignment horizontal="left" vertical="top" wrapText="1" readingOrder="1"/>
    </xf>
    <xf numFmtId="0" fontId="26" fillId="0" borderId="0" xfId="0" applyFont="1"/>
    <xf numFmtId="0" fontId="24" fillId="0" borderId="0" xfId="0" applyFont="1"/>
    <xf numFmtId="0" fontId="29" fillId="0" borderId="0" xfId="0" applyFont="1" applyAlignment="1"/>
    <xf numFmtId="0" fontId="29" fillId="0" borderId="0" xfId="0" applyFont="1" applyFill="1" applyAlignment="1"/>
    <xf numFmtId="166" fontId="14" fillId="13" borderId="0" xfId="8" applyFill="1"/>
    <xf numFmtId="166" fontId="14" fillId="13" borderId="0" xfId="8" applyFill="1" applyAlignment="1">
      <alignment horizontal="center" vertical="center"/>
    </xf>
    <xf numFmtId="166" fontId="14" fillId="20" borderId="8" xfId="8" applyFill="1" applyBorder="1"/>
    <xf numFmtId="166" fontId="14" fillId="20" borderId="0" xfId="8" applyFill="1" applyBorder="1"/>
    <xf numFmtId="166" fontId="14" fillId="20" borderId="9" xfId="8" applyFill="1" applyBorder="1"/>
    <xf numFmtId="166" fontId="23" fillId="20" borderId="0" xfId="8" applyFont="1" applyFill="1" applyBorder="1"/>
    <xf numFmtId="166" fontId="14" fillId="20" borderId="10" xfId="8" applyFill="1" applyBorder="1"/>
    <xf numFmtId="166" fontId="14" fillId="20" borderId="11" xfId="8" applyFill="1" applyBorder="1"/>
    <xf numFmtId="166" fontId="14" fillId="20" borderId="12" xfId="8" applyFill="1" applyBorder="1"/>
    <xf numFmtId="0" fontId="18" fillId="0" borderId="0" xfId="0" applyFont="1" applyFill="1" applyBorder="1" applyAlignment="1">
      <alignment horizontal="left" vertical="center" readingOrder="1"/>
    </xf>
    <xf numFmtId="9" fontId="29" fillId="0" borderId="0" xfId="0" applyNumberFormat="1" applyFont="1" applyFill="1" applyAlignment="1"/>
    <xf numFmtId="9" fontId="29" fillId="0" borderId="0" xfId="1" applyFont="1" applyFill="1" applyAlignment="1"/>
    <xf numFmtId="1" fontId="29" fillId="0" borderId="0" xfId="0" applyNumberFormat="1" applyFont="1" applyFill="1" applyAlignment="1"/>
    <xf numFmtId="14" fontId="29" fillId="0" borderId="0" xfId="0" applyNumberFormat="1" applyFont="1" applyFill="1" applyAlignment="1"/>
    <xf numFmtId="1" fontId="29" fillId="0" borderId="0" xfId="1" applyNumberFormat="1" applyFont="1" applyFill="1" applyAlignment="1"/>
    <xf numFmtId="0" fontId="29" fillId="0" borderId="0" xfId="1" applyNumberFormat="1" applyFont="1" applyFill="1" applyAlignment="1"/>
    <xf numFmtId="0" fontId="29" fillId="0" borderId="0" xfId="0" applyNumberFormat="1" applyFont="1" applyFill="1" applyAlignment="1"/>
    <xf numFmtId="1" fontId="29" fillId="0" borderId="0" xfId="0" applyNumberFormat="1" applyFont="1" applyFill="1" applyAlignment="1">
      <alignment horizontal="left"/>
    </xf>
    <xf numFmtId="0" fontId="18" fillId="3" borderId="0" xfId="0" applyFont="1" applyFill="1" applyBorder="1" applyAlignment="1">
      <alignment horizontal="left" vertical="center" readingOrder="1"/>
    </xf>
    <xf numFmtId="0" fontId="18" fillId="0" borderId="1" xfId="0" applyFont="1" applyFill="1" applyBorder="1" applyAlignment="1">
      <alignment horizontal="left" vertical="center" readingOrder="1"/>
    </xf>
    <xf numFmtId="14" fontId="18" fillId="3" borderId="17" xfId="0" applyNumberFormat="1" applyFont="1" applyFill="1" applyBorder="1" applyAlignment="1">
      <alignment horizontal="left" vertical="center" readingOrder="1"/>
    </xf>
    <xf numFmtId="0" fontId="26" fillId="0" borderId="0" xfId="0" applyNumberFormat="1" applyFont="1"/>
    <xf numFmtId="1" fontId="26" fillId="0" borderId="0" xfId="0" applyNumberFormat="1" applyFont="1"/>
    <xf numFmtId="0" fontId="26" fillId="0" borderId="0" xfId="0" applyFont="1" applyAlignment="1">
      <alignment wrapText="1" readingOrder="1"/>
    </xf>
    <xf numFmtId="0" fontId="18" fillId="7" borderId="0" xfId="0" applyFont="1" applyFill="1" applyBorder="1" applyAlignment="1">
      <alignment horizontal="left" vertical="center" readingOrder="1"/>
    </xf>
    <xf numFmtId="0" fontId="17" fillId="9" borderId="14" xfId="0" applyFont="1" applyFill="1" applyBorder="1" applyAlignment="1">
      <alignment horizontal="left" vertical="center" readingOrder="1"/>
    </xf>
    <xf numFmtId="0" fontId="18" fillId="7" borderId="14" xfId="0" applyFont="1" applyFill="1" applyBorder="1" applyAlignment="1">
      <alignment horizontal="left" vertical="center" readingOrder="1"/>
    </xf>
    <xf numFmtId="0" fontId="43" fillId="2" borderId="1" xfId="0" applyFont="1" applyFill="1" applyBorder="1" applyAlignment="1">
      <alignment horizontal="left" vertical="center" readingOrder="1"/>
    </xf>
    <xf numFmtId="14" fontId="44" fillId="6" borderId="2" xfId="0" applyNumberFormat="1" applyFont="1" applyFill="1" applyBorder="1" applyAlignment="1">
      <alignment horizontal="left" vertical="center" readingOrder="1"/>
    </xf>
    <xf numFmtId="14" fontId="43" fillId="6" borderId="1" xfId="0" applyNumberFormat="1" applyFont="1" applyFill="1" applyBorder="1" applyAlignment="1">
      <alignment horizontal="left" vertical="top" wrapText="1" readingOrder="1"/>
    </xf>
    <xf numFmtId="0" fontId="44" fillId="3" borderId="2" xfId="0" applyFont="1" applyFill="1" applyBorder="1" applyAlignment="1">
      <alignment horizontal="left" vertical="center" readingOrder="1"/>
    </xf>
    <xf numFmtId="0" fontId="44" fillId="7" borderId="2" xfId="0" applyFont="1" applyFill="1" applyBorder="1" applyAlignment="1">
      <alignment horizontal="left" vertical="center" readingOrder="1"/>
    </xf>
    <xf numFmtId="0" fontId="44" fillId="7" borderId="2" xfId="0" applyFont="1" applyFill="1" applyBorder="1" applyAlignment="1">
      <alignment horizontal="left" vertical="top" wrapText="1" readingOrder="1"/>
    </xf>
    <xf numFmtId="0" fontId="18" fillId="3" borderId="15" xfId="0" applyFont="1" applyFill="1" applyBorder="1" applyAlignment="1">
      <alignment horizontal="left" vertical="center" readingOrder="1"/>
    </xf>
    <xf numFmtId="165" fontId="18" fillId="0" borderId="0" xfId="0" applyNumberFormat="1" applyFont="1" applyFill="1" applyAlignment="1">
      <alignment horizontal="left" vertical="center" readingOrder="1"/>
    </xf>
    <xf numFmtId="0" fontId="21" fillId="7" borderId="14" xfId="0" applyFont="1" applyFill="1" applyBorder="1" applyAlignment="1">
      <alignment horizontal="left" vertical="top" wrapText="1" readingOrder="1"/>
    </xf>
    <xf numFmtId="0" fontId="18" fillId="3" borderId="14" xfId="0" applyFont="1" applyFill="1" applyBorder="1" applyAlignment="1">
      <alignment horizontal="left" vertical="center" readingOrder="1"/>
    </xf>
    <xf numFmtId="0" fontId="59" fillId="0" borderId="0" xfId="0" applyFont="1"/>
    <xf numFmtId="0" fontId="59" fillId="0" borderId="0" xfId="0" applyFont="1" applyAlignment="1">
      <alignment wrapText="1"/>
    </xf>
    <xf numFmtId="164" fontId="59" fillId="0" borderId="24" xfId="4" applyNumberFormat="1" applyFont="1" applyBorder="1"/>
    <xf numFmtId="164" fontId="59" fillId="0" borderId="0" xfId="0" applyNumberFormat="1" applyFont="1"/>
    <xf numFmtId="0" fontId="24" fillId="0" borderId="20" xfId="0" applyFont="1" applyFill="1" applyBorder="1"/>
    <xf numFmtId="0" fontId="24" fillId="0" borderId="29" xfId="0" applyFont="1" applyFill="1" applyBorder="1"/>
    <xf numFmtId="0" fontId="24" fillId="0" borderId="27" xfId="0" applyFont="1" applyFill="1" applyBorder="1"/>
    <xf numFmtId="0" fontId="24" fillId="0" borderId="0" xfId="0" applyFont="1" applyBorder="1"/>
    <xf numFmtId="0" fontId="44" fillId="0" borderId="0" xfId="0" applyFont="1"/>
    <xf numFmtId="0" fontId="44" fillId="0" borderId="0" xfId="0" applyFont="1" applyAlignment="1"/>
    <xf numFmtId="9" fontId="59" fillId="0" borderId="0" xfId="1" applyFont="1"/>
    <xf numFmtId="0" fontId="26" fillId="0" borderId="0" xfId="0" applyNumberFormat="1" applyFont="1" applyAlignment="1">
      <alignment wrapText="1"/>
    </xf>
    <xf numFmtId="0" fontId="0" fillId="0" borderId="0" xfId="0" pivotButton="1"/>
    <xf numFmtId="0" fontId="26" fillId="0" borderId="0" xfId="0" applyFont="1" applyFill="1"/>
    <xf numFmtId="9" fontId="18" fillId="0" borderId="0" xfId="0" applyNumberFormat="1" applyFont="1" applyFill="1" applyBorder="1" applyAlignment="1">
      <alignment horizontal="left" vertical="center" readingOrder="1"/>
    </xf>
    <xf numFmtId="14" fontId="33" fillId="16" borderId="0" xfId="0" applyNumberFormat="1" applyFont="1" applyFill="1" applyBorder="1" applyAlignment="1">
      <alignment horizontal="left"/>
    </xf>
    <xf numFmtId="9" fontId="63" fillId="23" borderId="0" xfId="0" applyNumberFormat="1" applyFont="1" applyFill="1" applyBorder="1" applyAlignment="1">
      <alignment vertical="center"/>
    </xf>
    <xf numFmtId="0" fontId="26" fillId="0" borderId="0" xfId="0" applyFont="1" applyFill="1" applyBorder="1"/>
    <xf numFmtId="1" fontId="63" fillId="23" borderId="0" xfId="0" applyNumberFormat="1" applyFont="1" applyFill="1" applyBorder="1" applyAlignment="1">
      <alignment vertical="center"/>
    </xf>
    <xf numFmtId="0" fontId="66" fillId="10" borderId="24" xfId="0" applyFont="1" applyFill="1" applyBorder="1" applyAlignment="1">
      <alignment horizontal="center" vertical="top" wrapText="1"/>
    </xf>
    <xf numFmtId="0" fontId="59" fillId="7" borderId="24" xfId="0" applyFont="1" applyFill="1" applyBorder="1" applyAlignment="1">
      <alignment horizontal="center" vertical="top" wrapText="1"/>
    </xf>
    <xf numFmtId="0" fontId="59" fillId="11" borderId="24" xfId="0" applyFont="1" applyFill="1" applyBorder="1" applyAlignment="1">
      <alignment horizontal="center" vertical="top" wrapText="1"/>
    </xf>
    <xf numFmtId="164" fontId="59" fillId="0" borderId="24" xfId="4" applyNumberFormat="1" applyFont="1" applyBorder="1" applyAlignment="1">
      <alignment vertical="top" wrapText="1"/>
    </xf>
    <xf numFmtId="0" fontId="59" fillId="18" borderId="23" xfId="0" applyFont="1" applyFill="1" applyBorder="1" applyAlignment="1">
      <alignment horizontal="center"/>
    </xf>
    <xf numFmtId="0" fontId="59" fillId="18" borderId="25" xfId="0" applyFont="1" applyFill="1" applyBorder="1" applyAlignment="1">
      <alignment horizontal="center"/>
    </xf>
    <xf numFmtId="0" fontId="59" fillId="18" borderId="26" xfId="0" applyFont="1" applyFill="1" applyBorder="1" applyAlignment="1">
      <alignment horizontal="center"/>
    </xf>
    <xf numFmtId="0" fontId="67" fillId="33" borderId="36" xfId="0" applyFont="1" applyFill="1" applyBorder="1" applyAlignment="1">
      <alignment horizontal="center" vertical="center" wrapText="1"/>
    </xf>
    <xf numFmtId="0" fontId="67" fillId="33" borderId="32" xfId="0" applyFont="1" applyFill="1" applyBorder="1" applyAlignment="1">
      <alignment horizontal="center" vertical="center" wrapText="1"/>
    </xf>
    <xf numFmtId="0" fontId="67" fillId="33" borderId="37" xfId="0" applyFont="1" applyFill="1" applyBorder="1" applyAlignment="1">
      <alignment horizontal="center" vertical="center" wrapText="1"/>
    </xf>
    <xf numFmtId="0" fontId="60" fillId="0" borderId="33" xfId="0" applyFont="1" applyBorder="1" applyAlignment="1">
      <alignment horizontal="center" vertical="center"/>
    </xf>
    <xf numFmtId="0" fontId="67" fillId="0" borderId="34" xfId="0" applyFont="1" applyBorder="1" applyAlignment="1">
      <alignment horizontal="center" vertical="center" wrapText="1"/>
    </xf>
    <xf numFmtId="0" fontId="67" fillId="13" borderId="34" xfId="0" applyFont="1" applyFill="1" applyBorder="1" applyAlignment="1">
      <alignment horizontal="center" vertical="center" wrapText="1"/>
    </xf>
    <xf numFmtId="0" fontId="68" fillId="13" borderId="35" xfId="0" applyFont="1" applyFill="1" applyBorder="1" applyAlignment="1">
      <alignment horizontal="center" vertical="center" wrapText="1"/>
    </xf>
    <xf numFmtId="0" fontId="65" fillId="8" borderId="22" xfId="0" applyFont="1" applyFill="1" applyBorder="1" applyAlignment="1">
      <alignment horizontal="center" vertical="center" wrapText="1"/>
    </xf>
    <xf numFmtId="0" fontId="65" fillId="36" borderId="22" xfId="0" applyFont="1" applyFill="1" applyBorder="1" applyAlignment="1">
      <alignment horizontal="center" vertical="center" wrapText="1"/>
    </xf>
    <xf numFmtId="0" fontId="0" fillId="0" borderId="22" xfId="0" applyBorder="1"/>
    <xf numFmtId="0" fontId="59" fillId="0" borderId="22" xfId="0" applyFont="1" applyBorder="1"/>
    <xf numFmtId="0" fontId="65" fillId="14" borderId="22" xfId="0" applyFont="1" applyFill="1" applyBorder="1" applyAlignment="1">
      <alignment horizontal="center" vertical="center" wrapText="1"/>
    </xf>
    <xf numFmtId="0" fontId="0" fillId="37" borderId="22" xfId="0" applyFill="1" applyBorder="1"/>
    <xf numFmtId="164" fontId="65" fillId="14" borderId="22" xfId="4" applyNumberFormat="1" applyFont="1" applyFill="1" applyBorder="1" applyAlignment="1">
      <alignment horizontal="right" vertical="center"/>
    </xf>
    <xf numFmtId="164" fontId="65" fillId="8" borderId="22" xfId="4" applyNumberFormat="1" applyFont="1" applyFill="1" applyBorder="1" applyAlignment="1">
      <alignment horizontal="right" vertical="center"/>
    </xf>
    <xf numFmtId="164" fontId="65" fillId="36" borderId="22" xfId="4" applyNumberFormat="1" applyFont="1" applyFill="1" applyBorder="1" applyAlignment="1">
      <alignment horizontal="right" vertical="center"/>
    </xf>
    <xf numFmtId="0" fontId="26" fillId="27" borderId="0" xfId="0" applyFont="1" applyFill="1"/>
    <xf numFmtId="166" fontId="10" fillId="20" borderId="0" xfId="8" applyFont="1" applyFill="1" applyBorder="1"/>
    <xf numFmtId="0" fontId="59" fillId="0" borderId="0" xfId="0" applyFont="1" applyAlignment="1">
      <alignment horizontal="center" vertical="center" wrapText="1"/>
    </xf>
    <xf numFmtId="0" fontId="26" fillId="0" borderId="0" xfId="0" applyNumberFormat="1" applyFont="1" applyFill="1"/>
    <xf numFmtId="1" fontId="26" fillId="0" borderId="0" xfId="0" applyNumberFormat="1" applyFont="1" applyFill="1"/>
    <xf numFmtId="0" fontId="26" fillId="0" borderId="0" xfId="0" applyFont="1" applyFill="1" applyAlignment="1">
      <alignment wrapText="1" readingOrder="1"/>
    </xf>
    <xf numFmtId="0" fontId="0" fillId="0" borderId="0" xfId="0" applyFill="1"/>
    <xf numFmtId="14" fontId="26" fillId="0" borderId="0" xfId="0" applyNumberFormat="1" applyFont="1"/>
    <xf numFmtId="165" fontId="26" fillId="0" borderId="0" xfId="0" applyNumberFormat="1" applyFont="1"/>
    <xf numFmtId="165" fontId="26" fillId="0" borderId="0" xfId="0" applyNumberFormat="1" applyFont="1" applyFill="1"/>
    <xf numFmtId="0" fontId="71" fillId="8" borderId="0" xfId="0" applyFont="1" applyFill="1"/>
    <xf numFmtId="0" fontId="71" fillId="38" borderId="0" xfId="0" applyFont="1" applyFill="1"/>
    <xf numFmtId="0" fontId="10" fillId="0" borderId="0" xfId="0" applyFont="1"/>
    <xf numFmtId="0" fontId="23" fillId="0" borderId="0" xfId="0" applyFont="1"/>
    <xf numFmtId="0" fontId="10" fillId="0" borderId="0" xfId="0" applyFont="1" applyAlignment="1">
      <alignment horizontal="left"/>
    </xf>
    <xf numFmtId="9" fontId="10" fillId="0" borderId="0" xfId="0" applyNumberFormat="1" applyFont="1"/>
    <xf numFmtId="0" fontId="10" fillId="0" borderId="0" xfId="0" applyNumberFormat="1" applyFont="1"/>
    <xf numFmtId="0" fontId="10" fillId="0" borderId="0" xfId="0" applyFont="1" applyAlignment="1">
      <alignment wrapText="1"/>
    </xf>
    <xf numFmtId="164" fontId="10" fillId="0" borderId="0" xfId="0" applyNumberFormat="1" applyFont="1"/>
    <xf numFmtId="0" fontId="73" fillId="0" borderId="0" xfId="0" applyFont="1"/>
    <xf numFmtId="0" fontId="72" fillId="14" borderId="0" xfId="0" applyFont="1" applyFill="1"/>
    <xf numFmtId="1" fontId="10" fillId="0" borderId="0" xfId="0" applyNumberFormat="1" applyFont="1"/>
    <xf numFmtId="0" fontId="10" fillId="0" borderId="0" xfId="0" applyFont="1" applyFill="1"/>
    <xf numFmtId="0" fontId="10" fillId="0" borderId="0" xfId="0" applyFont="1" applyFill="1" applyBorder="1" applyAlignment="1">
      <alignment horizontal="left"/>
    </xf>
    <xf numFmtId="0" fontId="10" fillId="0" borderId="0" xfId="0" applyNumberFormat="1" applyFont="1" applyFill="1" applyBorder="1"/>
    <xf numFmtId="9" fontId="10" fillId="0" borderId="0" xfId="0" applyNumberFormat="1" applyFont="1" applyFill="1"/>
    <xf numFmtId="0" fontId="10" fillId="0" borderId="0" xfId="0" applyNumberFormat="1" applyFont="1" applyFill="1"/>
    <xf numFmtId="0" fontId="10" fillId="34" borderId="0" xfId="0" applyFont="1" applyFill="1"/>
    <xf numFmtId="0" fontId="23" fillId="10" borderId="0" xfId="0" applyFont="1" applyFill="1"/>
    <xf numFmtId="0" fontId="74" fillId="0" borderId="42" xfId="0" applyFont="1" applyBorder="1" applyAlignment="1">
      <alignment horizontal="left"/>
    </xf>
    <xf numFmtId="0" fontId="74" fillId="0" borderId="39" xfId="0" applyFont="1" applyBorder="1" applyAlignment="1">
      <alignment horizontal="left"/>
    </xf>
    <xf numFmtId="0" fontId="71" fillId="8" borderId="0" xfId="0" applyFont="1" applyFill="1" applyAlignment="1">
      <alignment horizontal="left"/>
    </xf>
    <xf numFmtId="9" fontId="71" fillId="8" borderId="0" xfId="0" applyNumberFormat="1" applyFont="1" applyFill="1"/>
    <xf numFmtId="0" fontId="71" fillId="8" borderId="0" xfId="0" applyNumberFormat="1" applyFont="1" applyFill="1"/>
    <xf numFmtId="0" fontId="69" fillId="0" borderId="0" xfId="0" applyFont="1"/>
    <xf numFmtId="0" fontId="62" fillId="0" borderId="0" xfId="0" applyFont="1"/>
    <xf numFmtId="0" fontId="72" fillId="29" borderId="46" xfId="0" applyFont="1" applyFill="1" applyBorder="1"/>
    <xf numFmtId="164" fontId="23" fillId="0" borderId="47" xfId="4" applyNumberFormat="1" applyFont="1" applyBorder="1"/>
    <xf numFmtId="164" fontId="75" fillId="0" borderId="48" xfId="4" applyNumberFormat="1" applyFont="1" applyBorder="1" applyAlignment="1">
      <alignment horizontal="left" wrapText="1"/>
    </xf>
    <xf numFmtId="164" fontId="75" fillId="0" borderId="49" xfId="4" applyNumberFormat="1" applyFont="1" applyBorder="1" applyAlignment="1">
      <alignment horizontal="left" wrapText="1"/>
    </xf>
    <xf numFmtId="0" fontId="75" fillId="0" borderId="50" xfId="0" applyFont="1" applyBorder="1" applyAlignment="1">
      <alignment horizontal="left"/>
    </xf>
    <xf numFmtId="0" fontId="75" fillId="0" borderId="0" xfId="0" applyFont="1" applyBorder="1" applyAlignment="1">
      <alignment horizontal="left"/>
    </xf>
    <xf numFmtId="0" fontId="75" fillId="0" borderId="0" xfId="0" applyNumberFormat="1" applyFont="1" applyBorder="1"/>
    <xf numFmtId="0" fontId="76" fillId="9" borderId="0" xfId="0" applyFont="1" applyFill="1"/>
    <xf numFmtId="0" fontId="72" fillId="32" borderId="0" xfId="0" applyFont="1" applyFill="1"/>
    <xf numFmtId="0" fontId="71" fillId="14" borderId="0" xfId="0" applyFont="1" applyFill="1"/>
    <xf numFmtId="0" fontId="71" fillId="9" borderId="0" xfId="0" applyFont="1" applyFill="1"/>
    <xf numFmtId="0" fontId="69" fillId="34" borderId="0" xfId="0" applyFont="1" applyFill="1"/>
    <xf numFmtId="0" fontId="71" fillId="32" borderId="0" xfId="0" applyFont="1" applyFill="1"/>
    <xf numFmtId="0" fontId="69" fillId="10" borderId="0" xfId="0" applyFont="1" applyFill="1"/>
    <xf numFmtId="0" fontId="78" fillId="0" borderId="0" xfId="0" applyFont="1"/>
    <xf numFmtId="0" fontId="33" fillId="21" borderId="0" xfId="0" applyNumberFormat="1" applyFont="1" applyFill="1" applyBorder="1" applyAlignment="1">
      <alignment horizontal="center"/>
    </xf>
    <xf numFmtId="0" fontId="67" fillId="0" borderId="33" xfId="0" applyFont="1" applyBorder="1" applyAlignment="1">
      <alignment vertical="center" wrapText="1"/>
    </xf>
    <xf numFmtId="0" fontId="67" fillId="0" borderId="34" xfId="0" applyFont="1" applyBorder="1" applyAlignment="1">
      <alignment vertical="center" wrapText="1"/>
    </xf>
    <xf numFmtId="0" fontId="65" fillId="14" borderId="24" xfId="0" applyFont="1" applyFill="1" applyBorder="1" applyAlignment="1">
      <alignment horizontal="center" vertical="top" wrapText="1"/>
    </xf>
    <xf numFmtId="164" fontId="65" fillId="14" borderId="24" xfId="4" applyNumberFormat="1" applyFont="1" applyFill="1" applyBorder="1" applyAlignment="1">
      <alignment horizontal="center" vertical="top" wrapText="1"/>
    </xf>
    <xf numFmtId="164" fontId="66" fillId="10" borderId="24" xfId="4" applyNumberFormat="1" applyFont="1" applyFill="1" applyBorder="1" applyAlignment="1">
      <alignment horizontal="center" vertical="top" wrapText="1"/>
    </xf>
    <xf numFmtId="164" fontId="59" fillId="7" borderId="24" xfId="4" applyNumberFormat="1" applyFont="1" applyFill="1" applyBorder="1" applyAlignment="1">
      <alignment horizontal="center" vertical="top" wrapText="1"/>
    </xf>
    <xf numFmtId="0" fontId="65" fillId="8" borderId="24" xfId="0" applyFont="1" applyFill="1" applyBorder="1" applyAlignment="1">
      <alignment horizontal="center" vertical="top" wrapText="1"/>
    </xf>
    <xf numFmtId="164" fontId="65" fillId="8" borderId="24" xfId="4" applyNumberFormat="1" applyFont="1" applyFill="1" applyBorder="1" applyAlignment="1">
      <alignment horizontal="center" vertical="top" wrapText="1"/>
    </xf>
    <xf numFmtId="0" fontId="65" fillId="9" borderId="24" xfId="0" applyFont="1" applyFill="1" applyBorder="1" applyAlignment="1">
      <alignment horizontal="center" vertical="top" wrapText="1"/>
    </xf>
    <xf numFmtId="164" fontId="65" fillId="9" borderId="24" xfId="4" applyNumberFormat="1" applyFont="1" applyFill="1" applyBorder="1"/>
    <xf numFmtId="164" fontId="59" fillId="11" borderId="24" xfId="4" applyNumberFormat="1" applyFont="1" applyFill="1" applyBorder="1"/>
    <xf numFmtId="9" fontId="66" fillId="10" borderId="24" xfId="1" applyFont="1" applyFill="1" applyBorder="1" applyAlignment="1">
      <alignment horizontal="center" vertical="top" wrapText="1"/>
    </xf>
    <xf numFmtId="9" fontId="59" fillId="7" borderId="24" xfId="1" applyFont="1" applyFill="1" applyBorder="1" applyAlignment="1">
      <alignment horizontal="center" vertical="top" wrapText="1"/>
    </xf>
    <xf numFmtId="9" fontId="59" fillId="11" borderId="24" xfId="1" applyFont="1" applyFill="1" applyBorder="1" applyAlignment="1">
      <alignment horizontal="center" vertical="top" wrapText="1"/>
    </xf>
    <xf numFmtId="9" fontId="65" fillId="14" borderId="24" xfId="1" applyFont="1" applyFill="1" applyBorder="1"/>
    <xf numFmtId="9" fontId="65" fillId="8" borderId="24" xfId="1" applyFont="1" applyFill="1" applyBorder="1"/>
    <xf numFmtId="9" fontId="65" fillId="9" borderId="24" xfId="1" applyFont="1" applyFill="1" applyBorder="1"/>
    <xf numFmtId="0" fontId="59" fillId="0" borderId="0" xfId="0" applyFont="1" applyFill="1"/>
    <xf numFmtId="0" fontId="79" fillId="26" borderId="53" xfId="0" applyFont="1" applyFill="1" applyBorder="1"/>
    <xf numFmtId="0" fontId="71" fillId="41" borderId="0" xfId="0" applyFont="1" applyFill="1" applyAlignment="1">
      <alignment vertical="center"/>
    </xf>
    <xf numFmtId="1" fontId="80" fillId="0" borderId="0" xfId="0" applyNumberFormat="1" applyFont="1" applyFill="1"/>
    <xf numFmtId="0" fontId="80" fillId="0" borderId="0" xfId="0" applyFont="1" applyFill="1"/>
    <xf numFmtId="0" fontId="80" fillId="0" borderId="0" xfId="0" applyNumberFormat="1" applyFont="1" applyFill="1" applyAlignment="1">
      <alignment wrapText="1" readingOrder="1"/>
    </xf>
    <xf numFmtId="165" fontId="80" fillId="0" borderId="0" xfId="0" applyNumberFormat="1" applyFont="1" applyFill="1"/>
    <xf numFmtId="0" fontId="80" fillId="0" borderId="0" xfId="0" applyFont="1" applyFill="1" applyAlignment="1">
      <alignment wrapText="1" readingOrder="1"/>
    </xf>
    <xf numFmtId="0" fontId="80" fillId="0" borderId="0" xfId="0" applyNumberFormat="1" applyFont="1" applyFill="1" applyBorder="1"/>
    <xf numFmtId="0" fontId="80" fillId="0" borderId="27" xfId="0" applyNumberFormat="1" applyFont="1" applyFill="1" applyBorder="1"/>
    <xf numFmtId="1" fontId="80" fillId="0" borderId="28" xfId="0" applyNumberFormat="1" applyFont="1" applyFill="1" applyBorder="1"/>
    <xf numFmtId="164" fontId="59" fillId="0" borderId="0" xfId="4" applyNumberFormat="1" applyFont="1"/>
    <xf numFmtId="0" fontId="84" fillId="0" borderId="0" xfId="0" applyFont="1"/>
    <xf numFmtId="164" fontId="74" fillId="0" borderId="43" xfId="4" applyNumberFormat="1" applyFont="1" applyBorder="1"/>
    <xf numFmtId="164" fontId="74" fillId="0" borderId="44" xfId="4" applyNumberFormat="1" applyFont="1" applyBorder="1"/>
    <xf numFmtId="164" fontId="74" fillId="0" borderId="45" xfId="4" applyNumberFormat="1" applyFont="1" applyBorder="1"/>
    <xf numFmtId="1" fontId="87" fillId="0" borderId="0" xfId="0" applyNumberFormat="1" applyFont="1" applyFill="1"/>
    <xf numFmtId="0" fontId="87" fillId="0" borderId="0" xfId="0" applyFont="1" applyFill="1"/>
    <xf numFmtId="0" fontId="87" fillId="0" borderId="0" xfId="0" applyNumberFormat="1" applyFont="1" applyFill="1" applyAlignment="1">
      <alignment wrapText="1" readingOrder="1"/>
    </xf>
    <xf numFmtId="165" fontId="87" fillId="0" borderId="0" xfId="0" applyNumberFormat="1" applyFont="1" applyFill="1"/>
    <xf numFmtId="0" fontId="87" fillId="0" borderId="0" xfId="0" applyFont="1" applyFill="1" applyAlignment="1">
      <alignment wrapText="1" readingOrder="1"/>
    </xf>
    <xf numFmtId="0" fontId="87" fillId="0" borderId="0" xfId="0" applyNumberFormat="1" applyFont="1" applyFill="1" applyBorder="1"/>
    <xf numFmtId="1" fontId="87" fillId="0" borderId="0" xfId="0" applyNumberFormat="1" applyFont="1" applyFill="1" applyBorder="1"/>
    <xf numFmtId="49" fontId="86" fillId="0" borderId="0" xfId="21" applyNumberFormat="1" applyFont="1" applyFill="1" applyBorder="1" applyAlignment="1">
      <alignment horizontal="left" vertical="center" wrapText="1"/>
    </xf>
    <xf numFmtId="1" fontId="88" fillId="0" borderId="0" xfId="0" applyNumberFormat="1" applyFont="1" applyFill="1"/>
    <xf numFmtId="0" fontId="88" fillId="0" borderId="0" xfId="0" applyFont="1" applyFill="1"/>
    <xf numFmtId="0" fontId="88" fillId="0" borderId="0" xfId="0" applyNumberFormat="1" applyFont="1" applyFill="1" applyAlignment="1">
      <alignment wrapText="1" readingOrder="1"/>
    </xf>
    <xf numFmtId="165" fontId="88" fillId="0" borderId="0" xfId="0" applyNumberFormat="1" applyFont="1" applyFill="1"/>
    <xf numFmtId="0" fontId="88" fillId="0" borderId="0" xfId="0" applyFont="1" applyFill="1" applyAlignment="1">
      <alignment wrapText="1" readingOrder="1"/>
    </xf>
    <xf numFmtId="0" fontId="88" fillId="0" borderId="0" xfId="0" applyNumberFormat="1" applyFont="1" applyFill="1" applyBorder="1"/>
    <xf numFmtId="1" fontId="88" fillId="0" borderId="0" xfId="0" applyNumberFormat="1" applyFont="1" applyFill="1" applyBorder="1"/>
    <xf numFmtId="0" fontId="84" fillId="0" borderId="29" xfId="0" applyFont="1" applyBorder="1"/>
    <xf numFmtId="0" fontId="84" fillId="31" borderId="29" xfId="0" applyFont="1" applyFill="1" applyBorder="1"/>
    <xf numFmtId="0" fontId="23" fillId="0" borderId="61" xfId="0" applyFont="1" applyFill="1" applyBorder="1" applyAlignment="1">
      <alignment horizontal="left" vertical="center"/>
    </xf>
    <xf numFmtId="164" fontId="77" fillId="0" borderId="62" xfId="0" applyNumberFormat="1" applyFont="1" applyFill="1" applyBorder="1" applyAlignment="1">
      <alignment vertical="center"/>
    </xf>
    <xf numFmtId="9" fontId="23" fillId="0" borderId="62" xfId="0" applyNumberFormat="1" applyFont="1" applyFill="1" applyBorder="1" applyAlignment="1">
      <alignment horizontal="center" vertical="center"/>
    </xf>
    <xf numFmtId="9" fontId="23" fillId="0" borderId="63" xfId="0" applyNumberFormat="1" applyFont="1" applyFill="1" applyBorder="1" applyAlignment="1">
      <alignment horizontal="center" vertical="center"/>
    </xf>
    <xf numFmtId="0" fontId="11" fillId="0" borderId="0" xfId="19" applyFont="1" applyAlignment="1">
      <alignment horizontal="left" vertical="center"/>
    </xf>
    <xf numFmtId="0" fontId="24" fillId="0" borderId="0" xfId="22" applyFont="1" applyAlignment="1">
      <alignment horizontal="left" vertical="center"/>
    </xf>
    <xf numFmtId="0" fontId="11" fillId="0" borderId="0" xfId="19" applyAlignment="1">
      <alignment horizontal="left" vertical="center"/>
    </xf>
    <xf numFmtId="0" fontId="47" fillId="24" borderId="67" xfId="23" applyFont="1" applyBorder="1" applyAlignment="1">
      <alignment horizontal="center" vertical="center" wrapText="1"/>
    </xf>
    <xf numFmtId="0" fontId="48" fillId="25" borderId="67" xfId="24" applyFont="1" applyBorder="1" applyAlignment="1">
      <alignment horizontal="center" vertical="center" wrapText="1"/>
    </xf>
    <xf numFmtId="0" fontId="49" fillId="26" borderId="67" xfId="22" applyFont="1" applyFill="1" applyBorder="1" applyAlignment="1">
      <alignment horizontal="center" vertical="center"/>
    </xf>
    <xf numFmtId="0" fontId="45" fillId="24" borderId="67" xfId="23" applyBorder="1" applyAlignment="1">
      <alignment horizontal="left" vertical="center"/>
    </xf>
    <xf numFmtId="0" fontId="46" fillId="25" borderId="67" xfId="24" applyBorder="1" applyAlignment="1">
      <alignment horizontal="left" vertical="center"/>
    </xf>
    <xf numFmtId="0" fontId="24" fillId="43" borderId="67" xfId="22" applyFont="1" applyFill="1" applyBorder="1" applyAlignment="1">
      <alignment horizontal="left" vertical="center"/>
    </xf>
    <xf numFmtId="0" fontId="25" fillId="18" borderId="67" xfId="19" applyFont="1" applyFill="1" applyBorder="1" applyAlignment="1">
      <alignment horizontal="left" vertical="center" wrapText="1" readingOrder="1"/>
    </xf>
    <xf numFmtId="0" fontId="53" fillId="5" borderId="67" xfId="23" applyFont="1" applyFill="1" applyBorder="1" applyAlignment="1">
      <alignment horizontal="left" vertical="center"/>
    </xf>
    <xf numFmtId="0" fontId="53" fillId="5" borderId="67" xfId="24" applyFont="1" applyFill="1" applyBorder="1" applyAlignment="1">
      <alignment horizontal="left" vertical="center"/>
    </xf>
    <xf numFmtId="0" fontId="50" fillId="26" borderId="67" xfId="22" applyFont="1" applyFill="1" applyBorder="1" applyAlignment="1">
      <alignment horizontal="left" vertical="center" wrapText="1"/>
    </xf>
    <xf numFmtId="1" fontId="25" fillId="18" borderId="67" xfId="19" applyNumberFormat="1" applyFont="1" applyFill="1" applyBorder="1" applyAlignment="1">
      <alignment horizontal="left" vertical="center" wrapText="1" readingOrder="1"/>
    </xf>
    <xf numFmtId="0" fontId="45" fillId="24" borderId="70" xfId="23" applyBorder="1" applyAlignment="1">
      <alignment horizontal="left" vertical="center"/>
    </xf>
    <xf numFmtId="0" fontId="46" fillId="25" borderId="70" xfId="24" applyBorder="1" applyAlignment="1">
      <alignment horizontal="left" vertical="center"/>
    </xf>
    <xf numFmtId="9" fontId="25" fillId="18" borderId="67" xfId="19" applyNumberFormat="1" applyFont="1" applyFill="1" applyBorder="1" applyAlignment="1">
      <alignment horizontal="left" vertical="center" wrapText="1" readingOrder="1"/>
    </xf>
    <xf numFmtId="9" fontId="25" fillId="18" borderId="67" xfId="20" applyNumberFormat="1" applyFont="1" applyFill="1" applyBorder="1" applyAlignment="1">
      <alignment horizontal="left" vertical="center" wrapText="1" readingOrder="1"/>
    </xf>
    <xf numFmtId="0" fontId="54" fillId="8" borderId="67" xfId="23" applyFont="1" applyFill="1" applyBorder="1" applyAlignment="1">
      <alignment horizontal="left" vertical="center"/>
    </xf>
    <xf numFmtId="0" fontId="54" fillId="8" borderId="67" xfId="24" applyFont="1" applyFill="1" applyBorder="1" applyAlignment="1">
      <alignment horizontal="left" vertical="center"/>
    </xf>
    <xf numFmtId="0" fontId="51" fillId="26" borderId="67" xfId="22" applyFont="1" applyFill="1" applyBorder="1" applyAlignment="1">
      <alignment horizontal="left" vertical="center" wrapText="1"/>
    </xf>
    <xf numFmtId="1" fontId="25" fillId="7" borderId="67" xfId="19" applyNumberFormat="1" applyFont="1" applyFill="1" applyBorder="1" applyAlignment="1">
      <alignment horizontal="left" vertical="center" wrapText="1" readingOrder="1"/>
    </xf>
    <xf numFmtId="0" fontId="55" fillId="36" borderId="67" xfId="23" applyFont="1" applyFill="1" applyBorder="1" applyAlignment="1">
      <alignment horizontal="left" vertical="center"/>
    </xf>
    <xf numFmtId="0" fontId="55" fillId="36" borderId="67" xfId="24" applyFont="1" applyFill="1" applyBorder="1" applyAlignment="1">
      <alignment horizontal="left" vertical="center"/>
    </xf>
    <xf numFmtId="0" fontId="52" fillId="26" borderId="67" xfId="22" applyFont="1" applyFill="1" applyBorder="1" applyAlignment="1">
      <alignment horizontal="left" vertical="center" wrapText="1"/>
    </xf>
    <xf numFmtId="0" fontId="76" fillId="36" borderId="67" xfId="23" applyFont="1" applyFill="1" applyBorder="1" applyAlignment="1">
      <alignment horizontal="left" vertical="center" wrapText="1"/>
    </xf>
    <xf numFmtId="0" fontId="24" fillId="43" borderId="70" xfId="22" applyFont="1" applyFill="1" applyBorder="1" applyAlignment="1">
      <alignment horizontal="left" vertical="center"/>
    </xf>
    <xf numFmtId="0" fontId="13" fillId="0" borderId="0" xfId="22" applyAlignment="1">
      <alignment vertical="top" wrapText="1"/>
    </xf>
    <xf numFmtId="0" fontId="38" fillId="0" borderId="0" xfId="22" applyFont="1" applyAlignment="1">
      <alignment vertical="top" wrapText="1"/>
    </xf>
    <xf numFmtId="0" fontId="13" fillId="0" borderId="0" xfId="22" applyAlignment="1">
      <alignment wrapText="1"/>
    </xf>
    <xf numFmtId="0" fontId="19" fillId="12" borderId="4" xfId="22" applyFont="1" applyFill="1" applyBorder="1" applyAlignment="1">
      <alignment vertical="top" wrapText="1"/>
    </xf>
    <xf numFmtId="0" fontId="22" fillId="10" borderId="4" xfId="22" applyFont="1" applyFill="1" applyBorder="1" applyAlignment="1">
      <alignment horizontal="left" vertical="top" wrapText="1"/>
    </xf>
    <xf numFmtId="0" fontId="22" fillId="10" borderId="4" xfId="22" applyFont="1" applyFill="1" applyBorder="1" applyAlignment="1">
      <alignment horizontal="left" vertical="center" wrapText="1"/>
    </xf>
    <xf numFmtId="0" fontId="20" fillId="7" borderId="4" xfId="22" applyFont="1" applyFill="1" applyBorder="1" applyAlignment="1">
      <alignment vertical="top" wrapText="1"/>
    </xf>
    <xf numFmtId="0" fontId="20" fillId="11" borderId="4" xfId="22" applyFont="1" applyFill="1" applyBorder="1" applyAlignment="1">
      <alignment vertical="top" wrapText="1"/>
    </xf>
    <xf numFmtId="9" fontId="13" fillId="0" borderId="0" xfId="22" applyNumberFormat="1" applyAlignment="1">
      <alignment vertical="top" wrapText="1"/>
    </xf>
    <xf numFmtId="0" fontId="17" fillId="44" borderId="67" xfId="22" applyNumberFormat="1" applyFont="1" applyFill="1" applyBorder="1" applyAlignment="1">
      <alignment horizontal="center" vertical="center"/>
    </xf>
    <xf numFmtId="0" fontId="17" fillId="2" borderId="67" xfId="22" applyNumberFormat="1" applyFont="1" applyFill="1" applyBorder="1" applyAlignment="1">
      <alignment horizontal="center" vertical="center"/>
    </xf>
    <xf numFmtId="0" fontId="17" fillId="37" borderId="67" xfId="22" applyNumberFormat="1" applyFont="1" applyFill="1" applyBorder="1" applyAlignment="1">
      <alignment horizontal="center" vertical="center"/>
    </xf>
    <xf numFmtId="0" fontId="58" fillId="27" borderId="67" xfId="22" applyNumberFormat="1" applyFont="1" applyFill="1" applyBorder="1" applyAlignment="1">
      <alignment horizontal="center" vertical="center" wrapText="1"/>
    </xf>
    <xf numFmtId="14" fontId="57" fillId="12" borderId="67" xfId="19" applyNumberFormat="1" applyFont="1" applyFill="1" applyBorder="1" applyAlignment="1">
      <alignment horizontal="center" vertical="center" wrapText="1"/>
    </xf>
    <xf numFmtId="14" fontId="57" fillId="22" borderId="67" xfId="19" applyNumberFormat="1" applyFont="1" applyFill="1" applyBorder="1" applyAlignment="1">
      <alignment horizontal="center" vertical="center" wrapText="1"/>
    </xf>
    <xf numFmtId="14" fontId="18" fillId="17" borderId="67" xfId="19" applyNumberFormat="1" applyFont="1" applyFill="1" applyBorder="1" applyAlignment="1">
      <alignment horizontal="center" vertical="center" wrapText="1" readingOrder="1"/>
    </xf>
    <xf numFmtId="0" fontId="33" fillId="14" borderId="0" xfId="0" applyFont="1" applyFill="1" applyBorder="1" applyAlignment="1"/>
    <xf numFmtId="1" fontId="33" fillId="8" borderId="0" xfId="0" applyNumberFormat="1" applyFont="1" applyFill="1" applyBorder="1" applyAlignment="1"/>
    <xf numFmtId="0" fontId="17" fillId="9" borderId="71" xfId="22" applyNumberFormat="1" applyFont="1" applyFill="1" applyBorder="1" applyAlignment="1">
      <alignment horizontal="center" vertical="center"/>
    </xf>
    <xf numFmtId="0" fontId="92" fillId="37" borderId="67" xfId="22" applyNumberFormat="1" applyFont="1" applyFill="1" applyBorder="1" applyAlignment="1">
      <alignment horizontal="left" vertical="center"/>
    </xf>
    <xf numFmtId="0" fontId="17" fillId="6" borderId="67" xfId="22" applyNumberFormat="1" applyFont="1" applyFill="1" applyBorder="1" applyAlignment="1">
      <alignment horizontal="center" vertical="center"/>
    </xf>
    <xf numFmtId="0" fontId="92" fillId="6" borderId="67" xfId="22" applyNumberFormat="1" applyFont="1" applyFill="1" applyBorder="1" applyAlignment="1">
      <alignment horizontal="left" vertical="center"/>
    </xf>
    <xf numFmtId="14" fontId="57" fillId="17" borderId="13" xfId="0" applyNumberFormat="1" applyFont="1" applyFill="1" applyBorder="1" applyAlignment="1">
      <alignment horizontal="left" vertical="top" wrapText="1" readingOrder="1"/>
    </xf>
    <xf numFmtId="0" fontId="58" fillId="22" borderId="18" xfId="0" applyNumberFormat="1" applyFont="1" applyFill="1" applyBorder="1" applyAlignment="1">
      <alignment horizontal="left" vertical="top" wrapText="1" readingOrder="1"/>
    </xf>
    <xf numFmtId="0" fontId="58" fillId="22" borderId="19" xfId="0" applyNumberFormat="1" applyFont="1" applyFill="1" applyBorder="1" applyAlignment="1">
      <alignment horizontal="left" vertical="top" wrapText="1" readingOrder="1"/>
    </xf>
    <xf numFmtId="0" fontId="58" fillId="22" borderId="2" xfId="0" applyNumberFormat="1" applyFont="1" applyFill="1" applyBorder="1" applyAlignment="1">
      <alignment horizontal="left" vertical="center" wrapText="1" readingOrder="1"/>
    </xf>
    <xf numFmtId="0" fontId="56" fillId="0" borderId="0" xfId="0" applyFont="1" applyAlignment="1">
      <alignment vertical="top" wrapText="1"/>
    </xf>
    <xf numFmtId="0" fontId="93" fillId="18" borderId="67" xfId="19" applyFont="1" applyFill="1" applyBorder="1" applyAlignment="1">
      <alignment horizontal="left" vertical="center" wrapText="1" readingOrder="1"/>
    </xf>
    <xf numFmtId="1" fontId="93" fillId="18" borderId="67" xfId="19" applyNumberFormat="1" applyFont="1" applyFill="1" applyBorder="1" applyAlignment="1">
      <alignment horizontal="left" vertical="center" wrapText="1" readingOrder="1"/>
    </xf>
    <xf numFmtId="0" fontId="94" fillId="18" borderId="67" xfId="19" applyFont="1" applyFill="1" applyBorder="1" applyAlignment="1">
      <alignment horizontal="left" vertical="center" wrapText="1" readingOrder="1"/>
    </xf>
    <xf numFmtId="0" fontId="93" fillId="18" borderId="67" xfId="19" applyFont="1" applyFill="1" applyBorder="1" applyAlignment="1">
      <alignment horizontal="left" vertical="center" wrapText="1"/>
    </xf>
    <xf numFmtId="1" fontId="94" fillId="18" borderId="67" xfId="19" applyNumberFormat="1" applyFont="1" applyFill="1" applyBorder="1" applyAlignment="1">
      <alignment horizontal="left" vertical="center" wrapText="1" readingOrder="1"/>
    </xf>
    <xf numFmtId="1" fontId="94" fillId="7" borderId="67" xfId="19" applyNumberFormat="1" applyFont="1" applyFill="1" applyBorder="1" applyAlignment="1">
      <alignment horizontal="left" vertical="center" wrapText="1" readingOrder="1"/>
    </xf>
    <xf numFmtId="0" fontId="93" fillId="28" borderId="67" xfId="19" applyFont="1" applyFill="1" applyBorder="1" applyAlignment="1">
      <alignment horizontal="left" vertical="center" wrapText="1"/>
    </xf>
    <xf numFmtId="14" fontId="94" fillId="7" borderId="67" xfId="19" applyNumberFormat="1" applyFont="1" applyFill="1" applyBorder="1" applyAlignment="1">
      <alignment horizontal="left" vertical="center" wrapText="1" readingOrder="1"/>
    </xf>
    <xf numFmtId="0" fontId="94" fillId="11" borderId="67" xfId="20" applyNumberFormat="1" applyFont="1" applyFill="1" applyBorder="1" applyAlignment="1">
      <alignment horizontal="left" vertical="center" wrapText="1" readingOrder="1"/>
    </xf>
    <xf numFmtId="1" fontId="94" fillId="11" borderId="67" xfId="19" applyNumberFormat="1" applyFont="1" applyFill="1" applyBorder="1" applyAlignment="1">
      <alignment horizontal="left" vertical="center" wrapText="1" readingOrder="1"/>
    </xf>
    <xf numFmtId="0" fontId="93" fillId="0" borderId="67" xfId="19" applyFont="1" applyFill="1" applyBorder="1" applyAlignment="1">
      <alignment horizontal="left" vertical="center" wrapText="1"/>
    </xf>
    <xf numFmtId="0" fontId="93" fillId="30" borderId="67" xfId="20" applyNumberFormat="1" applyFont="1" applyFill="1" applyBorder="1" applyAlignment="1">
      <alignment horizontal="left" vertical="center" wrapText="1" readingOrder="1"/>
    </xf>
    <xf numFmtId="14" fontId="94" fillId="17" borderId="67" xfId="19" applyNumberFormat="1" applyFont="1" applyFill="1" applyBorder="1" applyAlignment="1">
      <alignment horizontal="left" vertical="center" wrapText="1" readingOrder="1"/>
    </xf>
    <xf numFmtId="0" fontId="96" fillId="16" borderId="67" xfId="19" applyFont="1" applyFill="1" applyBorder="1" applyAlignment="1">
      <alignment horizontal="center" vertical="center" wrapText="1"/>
    </xf>
    <xf numFmtId="0" fontId="99" fillId="22" borderId="2" xfId="0" applyNumberFormat="1" applyFont="1" applyFill="1" applyBorder="1" applyAlignment="1">
      <alignment horizontal="left" vertical="center" wrapText="1" readingOrder="1"/>
    </xf>
    <xf numFmtId="0" fontId="97" fillId="0" borderId="0" xfId="0" applyFont="1" applyAlignment="1"/>
    <xf numFmtId="0" fontId="46" fillId="25" borderId="68" xfId="24" applyBorder="1" applyAlignment="1">
      <alignment horizontal="left" vertical="center"/>
    </xf>
    <xf numFmtId="0" fontId="24" fillId="43" borderId="68" xfId="22" applyFont="1" applyFill="1" applyBorder="1" applyAlignment="1">
      <alignment horizontal="left" vertical="center"/>
    </xf>
    <xf numFmtId="0" fontId="53" fillId="5" borderId="0" xfId="23" applyFont="1" applyFill="1" applyBorder="1" applyAlignment="1">
      <alignment horizontal="left" vertical="center"/>
    </xf>
    <xf numFmtId="0" fontId="53" fillId="5" borderId="0" xfId="24" applyFont="1" applyFill="1" applyBorder="1" applyAlignment="1">
      <alignment horizontal="left" vertical="center"/>
    </xf>
    <xf numFmtId="0" fontId="50" fillId="26" borderId="0" xfId="22" applyFont="1" applyFill="1" applyBorder="1" applyAlignment="1">
      <alignment horizontal="left" vertical="center" wrapText="1"/>
    </xf>
    <xf numFmtId="14" fontId="25" fillId="18" borderId="67" xfId="19" applyNumberFormat="1" applyFont="1" applyFill="1" applyBorder="1" applyAlignment="1">
      <alignment horizontal="left" vertical="center" wrapText="1" readingOrder="1"/>
    </xf>
    <xf numFmtId="0" fontId="25" fillId="10" borderId="67" xfId="19" applyFont="1" applyFill="1" applyBorder="1" applyAlignment="1">
      <alignment horizontal="left" vertical="center" wrapText="1"/>
    </xf>
    <xf numFmtId="14" fontId="93" fillId="18" borderId="67" xfId="19" applyNumberFormat="1" applyFont="1" applyFill="1" applyBorder="1" applyAlignment="1">
      <alignment horizontal="left" vertical="center" wrapText="1" readingOrder="1"/>
    </xf>
    <xf numFmtId="9" fontId="25" fillId="11" borderId="67" xfId="19" applyNumberFormat="1" applyFont="1" applyFill="1" applyBorder="1" applyAlignment="1">
      <alignment horizontal="left" vertical="center" wrapText="1" readingOrder="1"/>
    </xf>
    <xf numFmtId="0" fontId="45" fillId="24" borderId="69" xfId="23" applyBorder="1" applyAlignment="1">
      <alignment horizontal="left" vertical="center"/>
    </xf>
    <xf numFmtId="0" fontId="45" fillId="24" borderId="74" xfId="23" applyBorder="1" applyAlignment="1">
      <alignment horizontal="left" vertical="center"/>
    </xf>
    <xf numFmtId="1" fontId="25" fillId="18" borderId="67" xfId="20" applyNumberFormat="1" applyFont="1" applyFill="1" applyBorder="1" applyAlignment="1">
      <alignment horizontal="left" vertical="center" wrapText="1" readingOrder="1"/>
    </xf>
    <xf numFmtId="0" fontId="100" fillId="22" borderId="2" xfId="0" applyNumberFormat="1" applyFont="1" applyFill="1" applyBorder="1" applyAlignment="1">
      <alignment horizontal="left" vertical="center" wrapText="1" readingOrder="1"/>
    </xf>
    <xf numFmtId="0" fontId="107" fillId="0" borderId="0" xfId="0" applyFont="1" applyAlignment="1"/>
    <xf numFmtId="0" fontId="17" fillId="2" borderId="67" xfId="22" applyNumberFormat="1" applyFont="1" applyFill="1" applyBorder="1" applyAlignment="1">
      <alignment horizontal="center" vertical="center" wrapText="1"/>
    </xf>
    <xf numFmtId="0" fontId="17" fillId="6" borderId="67" xfId="22" applyNumberFormat="1" applyFont="1" applyFill="1" applyBorder="1" applyAlignment="1">
      <alignment horizontal="center" vertical="center" wrapText="1"/>
    </xf>
    <xf numFmtId="0" fontId="17" fillId="37" borderId="67" xfId="22" applyNumberFormat="1" applyFont="1" applyFill="1" applyBorder="1" applyAlignment="1">
      <alignment horizontal="center" vertical="center" wrapText="1"/>
    </xf>
    <xf numFmtId="0" fontId="17" fillId="44" borderId="67" xfId="22" applyNumberFormat="1" applyFont="1" applyFill="1" applyBorder="1" applyAlignment="1">
      <alignment horizontal="center" vertical="center" wrapText="1"/>
    </xf>
    <xf numFmtId="0" fontId="27" fillId="22" borderId="2" xfId="0" applyNumberFormat="1" applyFont="1" applyFill="1" applyBorder="1" applyAlignment="1">
      <alignment horizontal="left" vertical="center" wrapText="1" readingOrder="1"/>
    </xf>
    <xf numFmtId="0" fontId="29" fillId="0" borderId="0" xfId="0" applyFont="1" applyAlignment="1">
      <alignment wrapText="1"/>
    </xf>
    <xf numFmtId="0" fontId="109" fillId="0" borderId="0" xfId="19" applyFont="1" applyAlignment="1">
      <alignment horizontal="left" vertical="center"/>
    </xf>
    <xf numFmtId="0" fontId="25" fillId="0" borderId="0" xfId="22" applyFont="1" applyAlignment="1">
      <alignment horizontal="left" vertical="center"/>
    </xf>
    <xf numFmtId="0" fontId="27" fillId="16" borderId="67" xfId="22" applyFont="1" applyFill="1" applyBorder="1" applyAlignment="1">
      <alignment horizontal="center" vertical="center" wrapText="1"/>
    </xf>
    <xf numFmtId="0" fontId="27" fillId="16" borderId="67" xfId="19" applyFont="1" applyFill="1" applyBorder="1" applyAlignment="1">
      <alignment horizontal="center" vertical="center" wrapText="1"/>
    </xf>
    <xf numFmtId="0" fontId="109" fillId="0" borderId="0" xfId="19" applyFont="1" applyAlignment="1">
      <alignment horizontal="center" vertical="center"/>
    </xf>
    <xf numFmtId="0" fontId="27" fillId="2" borderId="67" xfId="22" applyNumberFormat="1" applyFont="1" applyFill="1" applyBorder="1" applyAlignment="1">
      <alignment horizontal="left" vertical="center" indent="1" readingOrder="1"/>
    </xf>
    <xf numFmtId="14" fontId="25" fillId="17" borderId="67" xfId="19" applyNumberFormat="1" applyFont="1" applyFill="1" applyBorder="1" applyAlignment="1">
      <alignment horizontal="left" vertical="center" wrapText="1" readingOrder="1"/>
    </xf>
    <xf numFmtId="0" fontId="25" fillId="0" borderId="67" xfId="19" applyFont="1" applyFill="1" applyBorder="1" applyAlignment="1">
      <alignment horizontal="left" vertical="center" wrapText="1"/>
    </xf>
    <xf numFmtId="0" fontId="27" fillId="14" borderId="67" xfId="22" applyNumberFormat="1" applyFont="1" applyFill="1" applyBorder="1" applyAlignment="1">
      <alignment horizontal="left" vertical="center" indent="1" readingOrder="1"/>
    </xf>
    <xf numFmtId="1" fontId="25" fillId="18" borderId="70" xfId="20" applyNumberFormat="1" applyFont="1" applyFill="1" applyBorder="1" applyAlignment="1">
      <alignment horizontal="left" vertical="center" wrapText="1" readingOrder="1"/>
    </xf>
    <xf numFmtId="0" fontId="25" fillId="18" borderId="70" xfId="19" applyFont="1" applyFill="1" applyBorder="1" applyAlignment="1">
      <alignment horizontal="left" vertical="center" wrapText="1" readingOrder="1"/>
    </xf>
    <xf numFmtId="1" fontId="25" fillId="18" borderId="70" xfId="19" applyNumberFormat="1" applyFont="1" applyFill="1" applyBorder="1" applyAlignment="1">
      <alignment horizontal="left" vertical="center" wrapText="1" readingOrder="1"/>
    </xf>
    <xf numFmtId="0" fontId="27" fillId="38" borderId="67" xfId="22" applyNumberFormat="1" applyFont="1" applyFill="1" applyBorder="1" applyAlignment="1">
      <alignment horizontal="left" vertical="center" indent="1" readingOrder="1"/>
    </xf>
    <xf numFmtId="0" fontId="25" fillId="28" borderId="67" xfId="19" applyFont="1" applyFill="1" applyBorder="1" applyAlignment="1">
      <alignment horizontal="left" vertical="center" wrapText="1"/>
    </xf>
    <xf numFmtId="1" fontId="25" fillId="7" borderId="67" xfId="20" applyNumberFormat="1" applyFont="1" applyFill="1" applyBorder="1" applyAlignment="1">
      <alignment horizontal="left" vertical="center" wrapText="1" readingOrder="1"/>
    </xf>
    <xf numFmtId="14" fontId="25" fillId="7" borderId="67" xfId="19" applyNumberFormat="1" applyFont="1" applyFill="1" applyBorder="1" applyAlignment="1">
      <alignment horizontal="left" vertical="center" wrapText="1" readingOrder="1"/>
    </xf>
    <xf numFmtId="0" fontId="25" fillId="7" borderId="67" xfId="19" applyFont="1" applyFill="1" applyBorder="1" applyAlignment="1">
      <alignment horizontal="left" vertical="center" wrapText="1" readingOrder="1"/>
    </xf>
    <xf numFmtId="0" fontId="27" fillId="9" borderId="67" xfId="22" applyNumberFormat="1" applyFont="1" applyFill="1" applyBorder="1" applyAlignment="1">
      <alignment horizontal="left" vertical="center" indent="1" readingOrder="1"/>
    </xf>
    <xf numFmtId="0" fontId="25" fillId="11" borderId="67" xfId="20" applyNumberFormat="1" applyFont="1" applyFill="1" applyBorder="1" applyAlignment="1">
      <alignment horizontal="left" vertical="center" wrapText="1" readingOrder="1"/>
    </xf>
    <xf numFmtId="1" fontId="25" fillId="11" borderId="67" xfId="19" applyNumberFormat="1" applyFont="1" applyFill="1" applyBorder="1" applyAlignment="1">
      <alignment horizontal="left" vertical="center" wrapText="1" readingOrder="1"/>
    </xf>
    <xf numFmtId="0" fontId="25" fillId="30" borderId="67" xfId="19" applyFont="1" applyFill="1" applyBorder="1" applyAlignment="1">
      <alignment horizontal="left" vertical="center" wrapText="1"/>
    </xf>
    <xf numFmtId="9" fontId="25" fillId="11" borderId="70" xfId="19" applyNumberFormat="1" applyFont="1" applyFill="1" applyBorder="1" applyAlignment="1">
      <alignment horizontal="left" vertical="center" wrapText="1" readingOrder="1"/>
    </xf>
    <xf numFmtId="0" fontId="25" fillId="30" borderId="70" xfId="19" applyFont="1" applyFill="1" applyBorder="1" applyAlignment="1">
      <alignment horizontal="left" vertical="center" wrapText="1"/>
    </xf>
    <xf numFmtId="0" fontId="58" fillId="0" borderId="0" xfId="19" applyFont="1" applyAlignment="1">
      <alignment horizontal="left" vertical="center"/>
    </xf>
    <xf numFmtId="0" fontId="25" fillId="0" borderId="0" xfId="19" applyFont="1" applyAlignment="1">
      <alignment horizontal="left" vertical="center"/>
    </xf>
    <xf numFmtId="0" fontId="111" fillId="0" borderId="0" xfId="19" applyFont="1" applyAlignment="1">
      <alignment horizontal="left" vertical="center"/>
    </xf>
    <xf numFmtId="0" fontId="111" fillId="0" borderId="0" xfId="19" applyFont="1" applyAlignment="1">
      <alignment horizontal="center" vertical="center"/>
    </xf>
    <xf numFmtId="0" fontId="27" fillId="14" borderId="69" xfId="22" applyNumberFormat="1" applyFont="1" applyFill="1" applyBorder="1" applyAlignment="1">
      <alignment horizontal="left" vertical="center" indent="1" readingOrder="1"/>
    </xf>
    <xf numFmtId="0" fontId="111" fillId="0" borderId="0" xfId="19" applyFont="1" applyBorder="1" applyAlignment="1">
      <alignment horizontal="left" vertical="center"/>
    </xf>
    <xf numFmtId="0" fontId="95" fillId="0" borderId="0" xfId="19" applyFont="1" applyAlignment="1">
      <alignment horizontal="left" vertical="center"/>
    </xf>
    <xf numFmtId="0" fontId="93" fillId="0" borderId="0" xfId="19" applyFont="1" applyAlignment="1">
      <alignment horizontal="left" vertical="center"/>
    </xf>
    <xf numFmtId="0" fontId="94" fillId="0" borderId="0" xfId="19" applyFont="1" applyAlignment="1">
      <alignment horizontal="left" vertical="center"/>
    </xf>
    <xf numFmtId="14" fontId="18" fillId="17" borderId="67" xfId="19" applyNumberFormat="1" applyFont="1" applyFill="1" applyBorder="1" applyAlignment="1">
      <alignment horizontal="center" vertical="center" wrapText="1"/>
    </xf>
    <xf numFmtId="14" fontId="18" fillId="7" borderId="67" xfId="19" applyNumberFormat="1" applyFont="1" applyFill="1" applyBorder="1" applyAlignment="1">
      <alignment horizontal="center" vertical="center" wrapText="1"/>
    </xf>
    <xf numFmtId="14" fontId="18" fillId="27" borderId="67" xfId="19" applyNumberFormat="1" applyFont="1" applyFill="1" applyBorder="1" applyAlignment="1">
      <alignment horizontal="center" vertical="center" wrapText="1"/>
    </xf>
    <xf numFmtId="14" fontId="18" fillId="22" borderId="67" xfId="19" applyNumberFormat="1" applyFont="1" applyFill="1" applyBorder="1" applyAlignment="1">
      <alignment horizontal="center" vertical="center" wrapText="1"/>
    </xf>
    <xf numFmtId="0" fontId="25" fillId="18" borderId="75" xfId="19" applyFont="1" applyFill="1" applyBorder="1" applyAlignment="1">
      <alignment horizontal="center" vertical="center" wrapText="1"/>
    </xf>
    <xf numFmtId="14" fontId="112" fillId="17" borderId="67" xfId="19" applyNumberFormat="1" applyFont="1" applyFill="1" applyBorder="1" applyAlignment="1">
      <alignment horizontal="center" vertical="center" wrapText="1"/>
    </xf>
    <xf numFmtId="14" fontId="112" fillId="7" borderId="67" xfId="19" applyNumberFormat="1" applyFont="1" applyFill="1" applyBorder="1" applyAlignment="1">
      <alignment horizontal="center" vertical="center" wrapText="1"/>
    </xf>
    <xf numFmtId="14" fontId="112" fillId="27" borderId="67" xfId="19" applyNumberFormat="1" applyFont="1" applyFill="1" applyBorder="1" applyAlignment="1">
      <alignment horizontal="center" vertical="center" wrapText="1"/>
    </xf>
    <xf numFmtId="14" fontId="112" fillId="22" borderId="67" xfId="19" applyNumberFormat="1" applyFont="1" applyFill="1" applyBorder="1" applyAlignment="1">
      <alignment horizontal="center" vertical="center" wrapText="1"/>
    </xf>
    <xf numFmtId="0" fontId="113" fillId="18" borderId="72" xfId="19" applyFont="1" applyFill="1" applyBorder="1" applyAlignment="1">
      <alignment horizontal="center" vertical="center" wrapText="1"/>
    </xf>
    <xf numFmtId="1" fontId="114" fillId="7" borderId="67" xfId="19" applyNumberFormat="1" applyFont="1" applyFill="1" applyBorder="1" applyAlignment="1">
      <alignment horizontal="center" vertical="center" wrapText="1"/>
    </xf>
    <xf numFmtId="1" fontId="114" fillId="7" borderId="67" xfId="20" applyNumberFormat="1" applyFont="1" applyFill="1" applyBorder="1" applyAlignment="1">
      <alignment horizontal="center" vertical="center" wrapText="1"/>
    </xf>
    <xf numFmtId="1" fontId="113" fillId="7" borderId="67" xfId="19" applyNumberFormat="1" applyFont="1" applyFill="1" applyBorder="1" applyAlignment="1">
      <alignment horizontal="center" vertical="center" wrapText="1"/>
    </xf>
    <xf numFmtId="0" fontId="112" fillId="7" borderId="67" xfId="19" applyFont="1" applyFill="1" applyBorder="1" applyAlignment="1">
      <alignment horizontal="center" vertical="center" wrapText="1"/>
    </xf>
    <xf numFmtId="0" fontId="114" fillId="7" borderId="67" xfId="19" applyFont="1" applyFill="1" applyBorder="1" applyAlignment="1">
      <alignment horizontal="center" vertical="center" wrapText="1"/>
    </xf>
    <xf numFmtId="1" fontId="114" fillId="11" borderId="67" xfId="19" applyNumberFormat="1" applyFont="1" applyFill="1" applyBorder="1" applyAlignment="1">
      <alignment horizontal="center" vertical="center" wrapText="1"/>
    </xf>
    <xf numFmtId="1" fontId="112" fillId="11" borderId="67" xfId="19" applyNumberFormat="1" applyFont="1" applyFill="1" applyBorder="1" applyAlignment="1">
      <alignment horizontal="center" vertical="center" wrapText="1"/>
    </xf>
    <xf numFmtId="9" fontId="114" fillId="11" borderId="67" xfId="19" applyNumberFormat="1" applyFont="1" applyFill="1" applyBorder="1" applyAlignment="1">
      <alignment horizontal="center" vertical="center" wrapText="1"/>
    </xf>
    <xf numFmtId="1" fontId="101" fillId="18" borderId="78" xfId="0" applyNumberFormat="1" applyFont="1" applyFill="1" applyBorder="1" applyAlignment="1">
      <alignment vertical="top" wrapText="1"/>
    </xf>
    <xf numFmtId="0" fontId="101" fillId="18" borderId="78" xfId="0" applyFont="1" applyFill="1" applyBorder="1" applyAlignment="1">
      <alignment vertical="top" wrapText="1"/>
    </xf>
    <xf numFmtId="0" fontId="115" fillId="5" borderId="78" xfId="0" applyFont="1" applyFill="1" applyBorder="1" applyAlignment="1">
      <alignment horizontal="center" vertical="center" wrapText="1"/>
    </xf>
    <xf numFmtId="0" fontId="101" fillId="18" borderId="80" xfId="0" applyFont="1" applyFill="1" applyBorder="1" applyAlignment="1">
      <alignment vertical="top" wrapText="1"/>
    </xf>
    <xf numFmtId="0" fontId="91" fillId="18" borderId="82" xfId="0" applyFont="1" applyFill="1" applyBorder="1" applyAlignment="1">
      <alignment vertical="top" wrapText="1"/>
    </xf>
    <xf numFmtId="1" fontId="91" fillId="18" borderId="83" xfId="0" applyNumberFormat="1" applyFont="1" applyFill="1" applyBorder="1" applyAlignment="1">
      <alignment vertical="top" wrapText="1"/>
    </xf>
    <xf numFmtId="0" fontId="115" fillId="5" borderId="84" xfId="0" applyFont="1" applyFill="1" applyBorder="1" applyAlignment="1">
      <alignment horizontal="center" vertical="center" wrapText="1"/>
    </xf>
    <xf numFmtId="0" fontId="91" fillId="18" borderId="76" xfId="0" applyFont="1" applyFill="1" applyBorder="1" applyAlignment="1">
      <alignment vertical="top" wrapText="1"/>
    </xf>
    <xf numFmtId="1" fontId="101" fillId="18" borderId="84" xfId="0" applyNumberFormat="1" applyFont="1" applyFill="1" applyBorder="1" applyAlignment="1">
      <alignment vertical="top" wrapText="1"/>
    </xf>
    <xf numFmtId="1" fontId="116" fillId="18" borderId="78" xfId="0" applyNumberFormat="1" applyFont="1" applyFill="1" applyBorder="1" applyAlignment="1">
      <alignment vertical="top" wrapText="1"/>
    </xf>
    <xf numFmtId="1" fontId="116" fillId="18" borderId="84" xfId="0" applyNumberFormat="1" applyFont="1" applyFill="1" applyBorder="1" applyAlignment="1">
      <alignment vertical="top" wrapText="1"/>
    </xf>
    <xf numFmtId="1" fontId="91" fillId="5" borderId="77" xfId="0" applyNumberFormat="1" applyFont="1" applyFill="1" applyBorder="1" applyAlignment="1">
      <alignment vertical="top" wrapText="1"/>
    </xf>
    <xf numFmtId="0" fontId="28" fillId="5" borderId="78" xfId="0" applyFont="1" applyFill="1" applyBorder="1" applyAlignment="1">
      <alignment vertical="center" wrapText="1"/>
    </xf>
    <xf numFmtId="0" fontId="91" fillId="18" borderId="78" xfId="0" applyFont="1" applyFill="1" applyBorder="1" applyAlignment="1">
      <alignment vertical="top" wrapText="1"/>
    </xf>
    <xf numFmtId="9" fontId="91" fillId="18" borderId="78" xfId="0" applyNumberFormat="1" applyFont="1" applyFill="1" applyBorder="1" applyAlignment="1">
      <alignment vertical="top" wrapText="1"/>
    </xf>
    <xf numFmtId="0" fontId="28" fillId="5" borderId="84" xfId="0" applyFont="1" applyFill="1" applyBorder="1" applyAlignment="1">
      <alignment vertical="center" wrapText="1"/>
    </xf>
    <xf numFmtId="1" fontId="91" fillId="18" borderId="84" xfId="0" applyNumberFormat="1" applyFont="1" applyFill="1" applyBorder="1" applyAlignment="1">
      <alignment vertical="top" wrapText="1"/>
    </xf>
    <xf numFmtId="1" fontId="101" fillId="18" borderId="80" xfId="0" applyNumberFormat="1" applyFont="1" applyFill="1" applyBorder="1" applyAlignment="1">
      <alignment vertical="top" wrapText="1"/>
    </xf>
    <xf numFmtId="0" fontId="28" fillId="5" borderId="80" xfId="0" applyFont="1" applyFill="1" applyBorder="1" applyAlignment="1">
      <alignment vertical="center" wrapText="1"/>
    </xf>
    <xf numFmtId="1" fontId="91" fillId="18" borderId="89" xfId="0" applyNumberFormat="1" applyFont="1" applyFill="1" applyBorder="1" applyAlignment="1">
      <alignment vertical="top" wrapText="1"/>
    </xf>
    <xf numFmtId="0" fontId="101" fillId="18" borderId="81" xfId="0" applyFont="1" applyFill="1" applyBorder="1" applyAlignment="1">
      <alignment vertical="top" wrapText="1"/>
    </xf>
    <xf numFmtId="1" fontId="91" fillId="18" borderId="85" xfId="0" applyNumberFormat="1" applyFont="1" applyFill="1" applyBorder="1" applyAlignment="1">
      <alignment vertical="top" wrapText="1"/>
    </xf>
    <xf numFmtId="0" fontId="101" fillId="6" borderId="78" xfId="0" applyFont="1" applyFill="1" applyBorder="1" applyAlignment="1">
      <alignment vertical="top" wrapText="1"/>
    </xf>
    <xf numFmtId="1" fontId="101" fillId="6" borderId="78" xfId="0" applyNumberFormat="1" applyFont="1" applyFill="1" applyBorder="1" applyAlignment="1">
      <alignment vertical="top" wrapText="1"/>
    </xf>
    <xf numFmtId="1" fontId="103" fillId="6" borderId="78" xfId="0" applyNumberFormat="1" applyFont="1" applyFill="1" applyBorder="1" applyAlignment="1">
      <alignment vertical="top" wrapText="1"/>
    </xf>
    <xf numFmtId="0" fontId="28" fillId="8" borderId="78" xfId="0" applyFont="1" applyFill="1" applyBorder="1" applyAlignment="1">
      <alignment vertical="center" wrapText="1"/>
    </xf>
    <xf numFmtId="1" fontId="28" fillId="8" borderId="78" xfId="0" applyNumberFormat="1" applyFont="1" applyFill="1" applyBorder="1" applyAlignment="1">
      <alignment vertical="center" wrapText="1"/>
    </xf>
    <xf numFmtId="1" fontId="33" fillId="8" borderId="78" xfId="0" applyNumberFormat="1" applyFont="1" applyFill="1" applyBorder="1" applyAlignment="1">
      <alignment vertical="center" wrapText="1"/>
    </xf>
    <xf numFmtId="0" fontId="91" fillId="6" borderId="78" xfId="0" applyFont="1" applyFill="1" applyBorder="1" applyAlignment="1">
      <alignment vertical="top" wrapText="1"/>
    </xf>
    <xf numFmtId="1" fontId="101" fillId="6" borderId="84" xfId="0" applyNumberFormat="1" applyFont="1" applyFill="1" applyBorder="1" applyAlignment="1">
      <alignment vertical="top" wrapText="1"/>
    </xf>
    <xf numFmtId="0" fontId="28" fillId="8" borderId="84" xfId="0" applyFont="1" applyFill="1" applyBorder="1" applyAlignment="1">
      <alignment vertical="center" wrapText="1"/>
    </xf>
    <xf numFmtId="1" fontId="91" fillId="6" borderId="84" xfId="0" applyNumberFormat="1" applyFont="1" applyFill="1" applyBorder="1" applyAlignment="1">
      <alignment vertical="top" wrapText="1"/>
    </xf>
    <xf numFmtId="1" fontId="101" fillId="6" borderId="80" xfId="0" applyNumberFormat="1" applyFont="1" applyFill="1" applyBorder="1" applyAlignment="1">
      <alignment vertical="top" wrapText="1"/>
    </xf>
    <xf numFmtId="0" fontId="101" fillId="6" borderId="81" xfId="0" applyFont="1" applyFill="1" applyBorder="1" applyAlignment="1">
      <alignment vertical="top" wrapText="1"/>
    </xf>
    <xf numFmtId="0" fontId="28" fillId="8" borderId="80" xfId="0" applyFont="1" applyFill="1" applyBorder="1" applyAlignment="1">
      <alignment vertical="center" wrapText="1"/>
    </xf>
    <xf numFmtId="0" fontId="28" fillId="8" borderId="81" xfId="0" applyFont="1" applyFill="1" applyBorder="1" applyAlignment="1">
      <alignment vertical="center" wrapText="1"/>
    </xf>
    <xf numFmtId="1" fontId="91" fillId="6" borderId="82" xfId="0" applyNumberFormat="1" applyFont="1" applyFill="1" applyBorder="1" applyAlignment="1">
      <alignment vertical="top" wrapText="1"/>
    </xf>
    <xf numFmtId="0" fontId="91" fillId="6" borderId="83" xfId="0" applyFont="1" applyFill="1" applyBorder="1" applyAlignment="1">
      <alignment vertical="top" wrapText="1"/>
    </xf>
    <xf numFmtId="1" fontId="101" fillId="9" borderId="78" xfId="0" applyNumberFormat="1" applyFont="1" applyFill="1" applyBorder="1" applyAlignment="1">
      <alignment vertical="top" wrapText="1"/>
    </xf>
    <xf numFmtId="1" fontId="98" fillId="9" borderId="78" xfId="0" applyNumberFormat="1" applyFont="1" applyFill="1" applyBorder="1" applyAlignment="1">
      <alignment vertical="top" wrapText="1"/>
    </xf>
    <xf numFmtId="1" fontId="117" fillId="9" borderId="78" xfId="0" applyNumberFormat="1" applyFont="1" applyFill="1" applyBorder="1" applyAlignment="1">
      <alignment horizontal="center" vertical="center"/>
    </xf>
    <xf numFmtId="1" fontId="34" fillId="9" borderId="78" xfId="1" applyNumberFormat="1" applyFont="1" applyFill="1" applyBorder="1" applyAlignment="1">
      <alignment vertical="center" wrapText="1"/>
    </xf>
    <xf numFmtId="1" fontId="36" fillId="9" borderId="78" xfId="0" applyNumberFormat="1" applyFont="1" applyFill="1" applyBorder="1" applyAlignment="1">
      <alignment horizontal="center" vertical="center" wrapText="1"/>
    </xf>
    <xf numFmtId="1" fontId="91" fillId="9" borderId="78" xfId="0" applyNumberFormat="1" applyFont="1" applyFill="1" applyBorder="1" applyAlignment="1">
      <alignment vertical="top" wrapText="1"/>
    </xf>
    <xf numFmtId="1" fontId="105" fillId="9" borderId="78" xfId="0" applyNumberFormat="1" applyFont="1" applyFill="1" applyBorder="1" applyAlignment="1">
      <alignment vertical="top" wrapText="1"/>
    </xf>
    <xf numFmtId="1" fontId="118" fillId="9" borderId="78" xfId="0" applyNumberFormat="1" applyFont="1" applyFill="1" applyBorder="1" applyAlignment="1">
      <alignment horizontal="center" vertical="center"/>
    </xf>
    <xf numFmtId="9" fontId="101" fillId="9" borderId="84" xfId="1" applyNumberFormat="1" applyFont="1" applyFill="1" applyBorder="1" applyAlignment="1">
      <alignment vertical="top" wrapText="1"/>
    </xf>
    <xf numFmtId="9" fontId="98" fillId="9" borderId="84" xfId="1" applyNumberFormat="1" applyFont="1" applyFill="1" applyBorder="1" applyAlignment="1">
      <alignment vertical="top" wrapText="1"/>
    </xf>
    <xf numFmtId="1" fontId="36" fillId="9" borderId="84" xfId="0" applyNumberFormat="1" applyFont="1" applyFill="1" applyBorder="1" applyAlignment="1">
      <alignment horizontal="center" vertical="center" wrapText="1"/>
    </xf>
    <xf numFmtId="1" fontId="91" fillId="19" borderId="84" xfId="0" applyNumberFormat="1" applyFont="1" applyFill="1" applyBorder="1" applyAlignment="1">
      <alignment vertical="top" wrapText="1"/>
    </xf>
    <xf numFmtId="1" fontId="101" fillId="9" borderId="79" xfId="0" applyNumberFormat="1" applyFont="1" applyFill="1" applyBorder="1" applyAlignment="1">
      <alignment vertical="top" wrapText="1"/>
    </xf>
    <xf numFmtId="1" fontId="98" fillId="9" borderId="79" xfId="0" applyNumberFormat="1" applyFont="1" applyFill="1" applyBorder="1" applyAlignment="1">
      <alignment vertical="top" wrapText="1"/>
    </xf>
    <xf numFmtId="1" fontId="36" fillId="9" borderId="79" xfId="0" applyNumberFormat="1" applyFont="1" applyFill="1" applyBorder="1" applyAlignment="1">
      <alignment horizontal="center" vertical="center" wrapText="1"/>
    </xf>
    <xf numFmtId="1" fontId="91" fillId="19" borderId="79" xfId="0" applyNumberFormat="1" applyFont="1" applyFill="1" applyBorder="1" applyAlignment="1">
      <alignment vertical="top" wrapText="1"/>
    </xf>
    <xf numFmtId="9" fontId="98" fillId="9" borderId="98" xfId="1" applyNumberFormat="1" applyFont="1" applyFill="1" applyBorder="1" applyAlignment="1">
      <alignment vertical="top" wrapText="1"/>
    </xf>
    <xf numFmtId="9" fontId="101" fillId="9" borderId="98" xfId="1" applyNumberFormat="1" applyFont="1" applyFill="1" applyBorder="1" applyAlignment="1">
      <alignment vertical="top" wrapText="1"/>
    </xf>
    <xf numFmtId="1" fontId="36" fillId="9" borderId="98" xfId="0" applyNumberFormat="1" applyFont="1" applyFill="1" applyBorder="1" applyAlignment="1">
      <alignment horizontal="center" vertical="center" wrapText="1"/>
    </xf>
    <xf numFmtId="9" fontId="91" fillId="9" borderId="99" xfId="0" applyNumberFormat="1" applyFont="1" applyFill="1" applyBorder="1" applyAlignment="1">
      <alignment vertical="top" wrapText="1"/>
    </xf>
    <xf numFmtId="9" fontId="25" fillId="11" borderId="67" xfId="19" applyNumberFormat="1" applyFont="1" applyFill="1" applyBorder="1" applyAlignment="1">
      <alignment horizontal="center" vertical="center" wrapText="1"/>
    </xf>
    <xf numFmtId="1" fontId="91" fillId="5" borderId="78" xfId="0" applyNumberFormat="1" applyFont="1" applyFill="1" applyBorder="1" applyAlignment="1">
      <alignment horizontal="center" vertical="center" wrapText="1"/>
    </xf>
    <xf numFmtId="0" fontId="91" fillId="8" borderId="78" xfId="0" applyFont="1" applyFill="1" applyBorder="1" applyAlignment="1">
      <alignment horizontal="center" vertical="center" wrapText="1"/>
    </xf>
    <xf numFmtId="1" fontId="91" fillId="9" borderId="78" xfId="0" applyNumberFormat="1" applyFont="1" applyFill="1" applyBorder="1" applyAlignment="1">
      <alignment horizontal="center" vertical="center" wrapText="1"/>
    </xf>
    <xf numFmtId="0" fontId="59" fillId="0" borderId="0" xfId="0" applyFont="1" applyFill="1" applyBorder="1"/>
    <xf numFmtId="0" fontId="59" fillId="45" borderId="0" xfId="0" applyFont="1" applyFill="1"/>
    <xf numFmtId="0" fontId="0" fillId="45" borderId="0" xfId="0" applyFill="1"/>
    <xf numFmtId="0" fontId="30" fillId="45" borderId="0" xfId="0" applyFont="1" applyFill="1"/>
    <xf numFmtId="167" fontId="119" fillId="0" borderId="0" xfId="0" applyNumberFormat="1" applyFont="1" applyFill="1" applyAlignment="1">
      <alignment horizontal="left" vertical="center" readingOrder="1"/>
    </xf>
    <xf numFmtId="0" fontId="26" fillId="0" borderId="0" xfId="0" applyFont="1" applyFill="1"/>
    <xf numFmtId="1" fontId="26" fillId="0" borderId="0" xfId="0" applyNumberFormat="1" applyFont="1" applyFill="1"/>
    <xf numFmtId="0" fontId="26" fillId="0" borderId="0" xfId="0" applyFont="1" applyFill="1" applyAlignment="1">
      <alignment wrapText="1" readingOrder="1"/>
    </xf>
    <xf numFmtId="165" fontId="26" fillId="0" borderId="0" xfId="0" applyNumberFormat="1" applyFont="1" applyFill="1"/>
    <xf numFmtId="0" fontId="119" fillId="0" borderId="0" xfId="1" applyNumberFormat="1" applyFont="1" applyFill="1" applyAlignment="1">
      <alignment horizontal="left" vertical="center" readingOrder="1"/>
    </xf>
    <xf numFmtId="0" fontId="119" fillId="0" borderId="0" xfId="0" applyFont="1" applyFill="1" applyAlignment="1">
      <alignment horizontal="left" vertical="center" readingOrder="1"/>
    </xf>
    <xf numFmtId="1" fontId="119" fillId="0" borderId="0" xfId="0" applyNumberFormat="1" applyFont="1" applyFill="1" applyAlignment="1">
      <alignment horizontal="left" vertical="center" readingOrder="1"/>
    </xf>
    <xf numFmtId="164" fontId="119" fillId="0" borderId="0" xfId="4" applyNumberFormat="1" applyFont="1" applyFill="1" applyAlignment="1">
      <alignment horizontal="left" vertical="center" readingOrder="1"/>
    </xf>
    <xf numFmtId="1" fontId="119" fillId="0" borderId="0" xfId="1" applyNumberFormat="1" applyFont="1" applyFill="1" applyAlignment="1">
      <alignment horizontal="left" vertical="center" readingOrder="1"/>
    </xf>
    <xf numFmtId="9" fontId="119" fillId="0" borderId="0" xfId="1" applyFont="1" applyFill="1" applyAlignment="1">
      <alignment horizontal="left" vertical="center" readingOrder="1"/>
    </xf>
    <xf numFmtId="9" fontId="119" fillId="0" borderId="0" xfId="1" applyNumberFormat="1" applyFont="1" applyFill="1" applyAlignment="1">
      <alignment horizontal="left" vertical="center" readingOrder="1"/>
    </xf>
    <xf numFmtId="9" fontId="119" fillId="0" borderId="0" xfId="0" applyNumberFormat="1" applyFont="1" applyFill="1" applyAlignment="1">
      <alignment horizontal="left" vertical="center" readingOrder="1"/>
    </xf>
    <xf numFmtId="0" fontId="119" fillId="0" borderId="0" xfId="0" applyNumberFormat="1" applyFont="1" applyFill="1" applyAlignment="1">
      <alignment horizontal="left" vertical="center" readingOrder="1"/>
    </xf>
    <xf numFmtId="168" fontId="119" fillId="0" borderId="0" xfId="0" applyNumberFormat="1" applyFont="1" applyFill="1" applyAlignment="1">
      <alignment horizontal="left" vertical="center" readingOrder="1"/>
    </xf>
    <xf numFmtId="165" fontId="119" fillId="0" borderId="0" xfId="0" applyNumberFormat="1" applyFont="1" applyFill="1" applyAlignment="1">
      <alignment horizontal="left" vertical="center" readingOrder="1"/>
    </xf>
    <xf numFmtId="1" fontId="26" fillId="0" borderId="0" xfId="0" applyNumberFormat="1" applyFont="1" applyFill="1" applyBorder="1" applyAlignment="1">
      <alignment wrapText="1"/>
    </xf>
    <xf numFmtId="0" fontId="26" fillId="0" borderId="0" xfId="0" applyFont="1" applyFill="1" applyAlignment="1">
      <alignment wrapText="1"/>
    </xf>
    <xf numFmtId="0" fontId="26" fillId="0" borderId="0" xfId="0" applyNumberFormat="1" applyFont="1" applyFill="1" applyAlignment="1">
      <alignment wrapText="1"/>
    </xf>
    <xf numFmtId="0" fontId="0" fillId="0" borderId="0" xfId="0"/>
    <xf numFmtId="14" fontId="18" fillId="3" borderId="2" xfId="0" applyNumberFormat="1" applyFont="1" applyFill="1" applyBorder="1" applyAlignment="1">
      <alignment horizontal="left" vertical="center" readingOrder="1"/>
    </xf>
    <xf numFmtId="0" fontId="42" fillId="0" borderId="0" xfId="9" applyFont="1" applyFill="1" applyBorder="1" applyAlignment="1">
      <alignment horizontal="right"/>
    </xf>
    <xf numFmtId="0" fontId="0" fillId="0" borderId="0" xfId="0" pivotButton="1"/>
    <xf numFmtId="0" fontId="26" fillId="0" borderId="0" xfId="0" applyFont="1" applyFill="1"/>
    <xf numFmtId="0" fontId="26" fillId="0" borderId="0" xfId="0" applyFont="1" applyFill="1" applyBorder="1"/>
    <xf numFmtId="0" fontId="64" fillId="0" borderId="0" xfId="0" applyNumberFormat="1" applyFont="1" applyFill="1"/>
    <xf numFmtId="0" fontId="26" fillId="0" borderId="0" xfId="0" applyNumberFormat="1" applyFont="1" applyFill="1"/>
    <xf numFmtId="1" fontId="26" fillId="0" borderId="0" xfId="0" applyNumberFormat="1" applyFont="1" applyFill="1"/>
    <xf numFmtId="0" fontId="26" fillId="0" borderId="0" xfId="0" applyFont="1" applyFill="1" applyAlignment="1">
      <alignment wrapText="1" readingOrder="1"/>
    </xf>
    <xf numFmtId="0" fontId="26" fillId="0" borderId="16" xfId="0" applyFont="1" applyFill="1" applyBorder="1"/>
    <xf numFmtId="0" fontId="26" fillId="0" borderId="0" xfId="0" applyNumberFormat="1" applyFont="1" applyFill="1" applyBorder="1"/>
    <xf numFmtId="1" fontId="26" fillId="0" borderId="0" xfId="0" applyNumberFormat="1" applyFont="1" applyFill="1" applyBorder="1"/>
    <xf numFmtId="0" fontId="0" fillId="0" borderId="0" xfId="0" applyFill="1"/>
    <xf numFmtId="0" fontId="26" fillId="0" borderId="0" xfId="0" applyNumberFormat="1" applyFont="1" applyFill="1" applyAlignment="1">
      <alignment wrapText="1" readingOrder="1"/>
    </xf>
    <xf numFmtId="0" fontId="42" fillId="0" borderId="0" xfId="9" applyFont="1" applyFill="1" applyAlignment="1"/>
    <xf numFmtId="0" fontId="42" fillId="0" borderId="0" xfId="0" applyNumberFormat="1" applyFont="1" applyFill="1" applyBorder="1" applyAlignment="1"/>
    <xf numFmtId="0" fontId="26" fillId="0" borderId="21" xfId="0" applyFont="1" applyFill="1" applyBorder="1"/>
    <xf numFmtId="0" fontId="26" fillId="0" borderId="20" xfId="0" applyFont="1" applyFill="1" applyBorder="1"/>
    <xf numFmtId="0" fontId="26" fillId="0" borderId="28" xfId="0" applyFont="1" applyFill="1" applyBorder="1"/>
    <xf numFmtId="0" fontId="26" fillId="0" borderId="27" xfId="0" applyFont="1" applyFill="1" applyBorder="1"/>
    <xf numFmtId="165" fontId="26" fillId="0" borderId="0" xfId="0" applyNumberFormat="1" applyFont="1" applyFill="1"/>
    <xf numFmtId="0" fontId="26" fillId="0" borderId="27" xfId="0" applyNumberFormat="1" applyFont="1" applyFill="1" applyBorder="1"/>
    <xf numFmtId="1" fontId="26" fillId="0" borderId="28" xfId="0" applyNumberFormat="1" applyFont="1" applyFill="1" applyBorder="1"/>
    <xf numFmtId="1" fontId="41" fillId="0" borderId="0" xfId="0" applyNumberFormat="1" applyFont="1" applyFill="1" applyBorder="1" applyAlignment="1">
      <alignment horizontal="left" vertical="center" readingOrder="1"/>
    </xf>
    <xf numFmtId="0" fontId="81" fillId="0" borderId="0" xfId="9" applyFont="1" applyFill="1" applyBorder="1" applyAlignment="1">
      <alignment horizontal="right"/>
    </xf>
    <xf numFmtId="0" fontId="18" fillId="0" borderId="0" xfId="0" applyFont="1" applyFill="1" applyAlignment="1">
      <alignment horizontal="left" vertical="center" readingOrder="1"/>
    </xf>
    <xf numFmtId="1" fontId="18" fillId="0" borderId="0" xfId="0" applyNumberFormat="1" applyFont="1" applyFill="1" applyAlignment="1">
      <alignment horizontal="left" vertical="center" readingOrder="1"/>
    </xf>
    <xf numFmtId="1" fontId="26" fillId="0" borderId="21" xfId="0" applyNumberFormat="1" applyFont="1" applyFill="1" applyBorder="1"/>
    <xf numFmtId="0" fontId="0" fillId="0" borderId="0" xfId="0" applyFill="1" applyBorder="1"/>
    <xf numFmtId="168" fontId="18" fillId="0" borderId="0" xfId="0" applyNumberFormat="1" applyFont="1" applyFill="1" applyAlignment="1">
      <alignment horizontal="left" vertical="center" readingOrder="1"/>
    </xf>
    <xf numFmtId="9" fontId="18" fillId="0" borderId="0" xfId="1" applyNumberFormat="1" applyFont="1" applyFill="1" applyAlignment="1">
      <alignment horizontal="left" vertical="center" readingOrder="1"/>
    </xf>
    <xf numFmtId="0" fontId="59" fillId="0" borderId="0" xfId="0" pivotButton="1" applyFont="1"/>
    <xf numFmtId="0" fontId="72" fillId="40" borderId="0" xfId="0" applyFont="1" applyFill="1" applyAlignment="1">
      <alignment wrapText="1"/>
    </xf>
    <xf numFmtId="164" fontId="120" fillId="0" borderId="0" xfId="0" applyNumberFormat="1" applyFont="1" applyFill="1"/>
    <xf numFmtId="164" fontId="59" fillId="0" borderId="0" xfId="0" applyNumberFormat="1" applyFont="1" applyFill="1"/>
    <xf numFmtId="0" fontId="72" fillId="29" borderId="39" xfId="0" applyFont="1" applyFill="1" applyBorder="1"/>
    <xf numFmtId="1" fontId="91" fillId="19" borderId="0" xfId="0" applyNumberFormat="1" applyFont="1" applyFill="1" applyBorder="1" applyAlignment="1">
      <alignment vertical="top" wrapText="1"/>
    </xf>
    <xf numFmtId="0" fontId="10" fillId="0" borderId="0" xfId="0" pivotButton="1" applyFont="1"/>
    <xf numFmtId="0" fontId="10" fillId="0" borderId="0" xfId="0" pivotButton="1" applyFont="1" applyAlignment="1">
      <alignment wrapText="1"/>
    </xf>
    <xf numFmtId="0" fontId="121" fillId="40" borderId="0" xfId="0" applyFont="1" applyFill="1" applyAlignment="1"/>
    <xf numFmtId="0" fontId="76" fillId="0" borderId="0" xfId="0" applyFont="1"/>
    <xf numFmtId="0" fontId="28" fillId="8" borderId="78" xfId="0" applyFont="1" applyFill="1" applyBorder="1" applyAlignment="1">
      <alignment horizontal="center" vertical="center" wrapText="1"/>
    </xf>
    <xf numFmtId="164" fontId="75" fillId="0" borderId="51" xfId="4" applyNumberFormat="1" applyFont="1" applyBorder="1"/>
    <xf numFmtId="0" fontId="86" fillId="0" borderId="0" xfId="0" applyFont="1" applyFill="1" applyAlignment="1">
      <alignment vertical="center"/>
    </xf>
    <xf numFmtId="0" fontId="26" fillId="9" borderId="0" xfId="0" applyFont="1" applyFill="1"/>
    <xf numFmtId="0" fontId="64" fillId="0" borderId="0" xfId="0" applyFont="1" applyFill="1"/>
    <xf numFmtId="0" fontId="64" fillId="0" borderId="0" xfId="0" applyNumberFormat="1" applyFont="1" applyFill="1" applyBorder="1"/>
    <xf numFmtId="0" fontId="64" fillId="0" borderId="0" xfId="0" applyFont="1" applyFill="1" applyBorder="1"/>
    <xf numFmtId="0" fontId="72" fillId="40" borderId="0" xfId="0" applyFont="1" applyFill="1" applyAlignment="1"/>
    <xf numFmtId="1" fontId="80" fillId="0" borderId="0" xfId="0" applyNumberFormat="1" applyFont="1" applyFill="1" applyBorder="1"/>
    <xf numFmtId="0" fontId="80" fillId="0" borderId="0" xfId="0" applyNumberFormat="1" applyFont="1" applyFill="1" applyBorder="1" applyAlignment="1">
      <alignment wrapText="1" readingOrder="1"/>
    </xf>
    <xf numFmtId="0" fontId="23" fillId="0" borderId="40" xfId="0" applyFont="1" applyBorder="1" applyAlignment="1">
      <alignment horizontal="center" vertical="center" wrapText="1"/>
    </xf>
    <xf numFmtId="0" fontId="23" fillId="0" borderId="41" xfId="0" applyFont="1" applyBorder="1" applyAlignment="1">
      <alignment horizontal="center" vertical="center" wrapText="1"/>
    </xf>
    <xf numFmtId="0" fontId="73" fillId="0" borderId="0" xfId="0" applyFont="1" applyAlignment="1">
      <alignment wrapText="1"/>
    </xf>
    <xf numFmtId="0" fontId="10" fillId="0" borderId="0" xfId="0" applyFont="1" applyAlignment="1">
      <alignment horizontal="center" vertical="center" wrapText="1"/>
    </xf>
    <xf numFmtId="0" fontId="23" fillId="0" borderId="38" xfId="0" applyFont="1" applyBorder="1" applyAlignment="1">
      <alignment horizontal="center" vertical="center" wrapText="1"/>
    </xf>
    <xf numFmtId="0" fontId="73" fillId="0" borderId="0" xfId="0" applyFont="1" applyAlignment="1">
      <alignment horizontal="center" vertical="center" wrapText="1"/>
    </xf>
    <xf numFmtId="1" fontId="123" fillId="0" borderId="0" xfId="0" applyNumberFormat="1" applyFont="1" applyFill="1"/>
    <xf numFmtId="0" fontId="123" fillId="0" borderId="27" xfId="0" applyNumberFormat="1" applyFont="1" applyFill="1" applyBorder="1"/>
    <xf numFmtId="0" fontId="123" fillId="0" borderId="0" xfId="0" applyFont="1" applyFill="1"/>
    <xf numFmtId="0" fontId="123" fillId="0" borderId="0" xfId="0" applyNumberFormat="1" applyFont="1" applyFill="1" applyAlignment="1">
      <alignment wrapText="1" readingOrder="1"/>
    </xf>
    <xf numFmtId="165" fontId="123" fillId="0" borderId="0" xfId="0" applyNumberFormat="1" applyFont="1" applyFill="1"/>
    <xf numFmtId="165" fontId="123" fillId="0" borderId="0" xfId="0" applyNumberFormat="1" applyFont="1" applyFill="1" applyAlignment="1">
      <alignment wrapText="1" readingOrder="1"/>
    </xf>
    <xf numFmtId="0" fontId="123" fillId="0" borderId="0" xfId="0" applyFont="1" applyFill="1" applyAlignment="1">
      <alignment wrapText="1" readingOrder="1"/>
    </xf>
    <xf numFmtId="0" fontId="124" fillId="0" borderId="0" xfId="0" applyFont="1" applyFill="1" applyAlignment="1">
      <alignment horizontal="left" vertical="center" readingOrder="1"/>
    </xf>
    <xf numFmtId="0" fontId="124" fillId="0" borderId="0" xfId="1" applyNumberFormat="1" applyFont="1" applyFill="1" applyBorder="1" applyAlignment="1">
      <alignment horizontal="left" vertical="center" readingOrder="1"/>
    </xf>
    <xf numFmtId="1" fontId="124" fillId="0" borderId="0" xfId="0" applyNumberFormat="1" applyFont="1" applyFill="1" applyAlignment="1">
      <alignment horizontal="left" vertical="center" readingOrder="1"/>
    </xf>
    <xf numFmtId="168" fontId="124" fillId="0" borderId="0" xfId="0" applyNumberFormat="1" applyFont="1" applyFill="1" applyAlignment="1">
      <alignment horizontal="left" vertical="center" readingOrder="1"/>
    </xf>
    <xf numFmtId="165" fontId="124" fillId="0" borderId="0" xfId="0" applyNumberFormat="1" applyFont="1" applyFill="1" applyAlignment="1">
      <alignment horizontal="left" vertical="center" readingOrder="1"/>
    </xf>
    <xf numFmtId="164" fontId="124" fillId="0" borderId="0" xfId="4" applyNumberFormat="1" applyFont="1" applyFill="1" applyAlignment="1">
      <alignment horizontal="left" vertical="center" readingOrder="1"/>
    </xf>
    <xf numFmtId="0" fontId="124" fillId="0" borderId="0" xfId="0" applyNumberFormat="1" applyFont="1" applyFill="1" applyAlignment="1">
      <alignment horizontal="left" vertical="center" readingOrder="1"/>
    </xf>
    <xf numFmtId="9" fontId="124" fillId="0" borderId="0" xfId="1" applyFont="1" applyFill="1" applyAlignment="1">
      <alignment horizontal="left" vertical="center" readingOrder="1"/>
    </xf>
    <xf numFmtId="0" fontId="124" fillId="0" borderId="0" xfId="1" applyNumberFormat="1" applyFont="1" applyFill="1" applyAlignment="1">
      <alignment horizontal="left" vertical="center" readingOrder="1"/>
    </xf>
    <xf numFmtId="1" fontId="124" fillId="0" borderId="0" xfId="1" applyNumberFormat="1" applyFont="1" applyFill="1" applyAlignment="1">
      <alignment horizontal="left" vertical="center" readingOrder="1"/>
    </xf>
    <xf numFmtId="9" fontId="124" fillId="0" borderId="0" xfId="1" applyNumberFormat="1" applyFont="1" applyFill="1" applyAlignment="1">
      <alignment horizontal="left" vertical="center" readingOrder="1"/>
    </xf>
    <xf numFmtId="9" fontId="124" fillId="0" borderId="0" xfId="0" applyNumberFormat="1" applyFont="1" applyFill="1" applyAlignment="1">
      <alignment horizontal="left" vertical="center" readingOrder="1"/>
    </xf>
    <xf numFmtId="9" fontId="124" fillId="0" borderId="0" xfId="0" applyNumberFormat="1" applyFont="1" applyFill="1" applyBorder="1" applyAlignment="1">
      <alignment horizontal="left" vertical="center" readingOrder="1"/>
    </xf>
    <xf numFmtId="14" fontId="18" fillId="3" borderId="0" xfId="0" applyNumberFormat="1" applyFont="1" applyFill="1" applyBorder="1" applyAlignment="1">
      <alignment horizontal="left" vertical="center" readingOrder="1"/>
    </xf>
    <xf numFmtId="164" fontId="124" fillId="0" borderId="0" xfId="4" applyNumberFormat="1" applyFont="1" applyFill="1" applyAlignment="1">
      <alignment horizontal="left" vertical="top" readingOrder="1"/>
    </xf>
    <xf numFmtId="0" fontId="123" fillId="0" borderId="0" xfId="0" applyNumberFormat="1" applyFont="1" applyFill="1" applyBorder="1"/>
    <xf numFmtId="0" fontId="123" fillId="0" borderId="20" xfId="0" applyNumberFormat="1" applyFont="1" applyFill="1" applyBorder="1"/>
    <xf numFmtId="1" fontId="123" fillId="0" borderId="28" xfId="0" applyNumberFormat="1" applyFont="1" applyFill="1" applyBorder="1"/>
    <xf numFmtId="1" fontId="26" fillId="0" borderId="27" xfId="0" applyNumberFormat="1" applyFont="1" applyFill="1" applyBorder="1"/>
    <xf numFmtId="1" fontId="123" fillId="0" borderId="0" xfId="0" applyNumberFormat="1" applyFont="1" applyFill="1" applyBorder="1"/>
    <xf numFmtId="0" fontId="123" fillId="0" borderId="0" xfId="0" applyFont="1" applyFill="1" applyBorder="1"/>
    <xf numFmtId="0" fontId="123" fillId="0" borderId="0" xfId="0" applyNumberFormat="1" applyFont="1" applyFill="1" applyBorder="1" applyAlignment="1">
      <alignment wrapText="1" readingOrder="1"/>
    </xf>
    <xf numFmtId="0" fontId="74" fillId="0" borderId="53" xfId="0" applyFont="1" applyBorder="1"/>
    <xf numFmtId="0" fontId="74" fillId="0" borderId="39" xfId="0" applyFont="1" applyBorder="1"/>
    <xf numFmtId="0" fontId="78" fillId="0" borderId="0" xfId="0" pivotButton="1" applyFont="1"/>
    <xf numFmtId="0" fontId="23" fillId="31" borderId="39" xfId="0" applyFont="1" applyFill="1" applyBorder="1"/>
    <xf numFmtId="0" fontId="23" fillId="31" borderId="101" xfId="0" applyFont="1" applyFill="1" applyBorder="1"/>
    <xf numFmtId="0" fontId="23" fillId="0" borderId="39" xfId="0" applyFont="1" applyBorder="1"/>
    <xf numFmtId="0" fontId="23" fillId="0" borderId="53" xfId="0" applyFont="1" applyBorder="1"/>
    <xf numFmtId="0" fontId="72" fillId="29" borderId="101" xfId="0" applyFont="1" applyFill="1" applyBorder="1"/>
    <xf numFmtId="1" fontId="36" fillId="9" borderId="0" xfId="0" applyNumberFormat="1" applyFont="1" applyFill="1" applyBorder="1" applyAlignment="1">
      <alignment horizontal="center" vertical="center" wrapText="1"/>
    </xf>
    <xf numFmtId="0" fontId="8" fillId="0" borderId="0" xfId="0" applyFont="1"/>
    <xf numFmtId="166" fontId="7" fillId="20" borderId="0" xfId="8" applyFont="1" applyFill="1" applyBorder="1"/>
    <xf numFmtId="0" fontId="71" fillId="0" borderId="0" xfId="0" applyFont="1" applyFill="1" applyAlignment="1">
      <alignment vertical="center"/>
    </xf>
    <xf numFmtId="0" fontId="125" fillId="0" borderId="0" xfId="0" applyFont="1" applyAlignment="1">
      <alignment horizontal="left"/>
    </xf>
    <xf numFmtId="9" fontId="125" fillId="0" borderId="0" xfId="0" applyNumberFormat="1" applyFont="1"/>
    <xf numFmtId="0" fontId="6" fillId="0" borderId="0" xfId="0" applyFont="1"/>
    <xf numFmtId="0" fontId="6" fillId="0" borderId="0" xfId="0" applyFont="1" applyAlignment="1">
      <alignment horizontal="left"/>
    </xf>
    <xf numFmtId="0" fontId="6" fillId="0" borderId="0" xfId="0" applyNumberFormat="1" applyFont="1"/>
    <xf numFmtId="164" fontId="6" fillId="0" borderId="0" xfId="0" applyNumberFormat="1" applyFont="1"/>
    <xf numFmtId="9" fontId="6" fillId="0" borderId="0" xfId="0" applyNumberFormat="1" applyFont="1"/>
    <xf numFmtId="0" fontId="88" fillId="0" borderId="20" xfId="0" applyNumberFormat="1" applyFont="1" applyFill="1" applyBorder="1"/>
    <xf numFmtId="1" fontId="88" fillId="0" borderId="21" xfId="0" applyNumberFormat="1" applyFont="1" applyFill="1" applyBorder="1"/>
    <xf numFmtId="0" fontId="5" fillId="14" borderId="0" xfId="0" applyFont="1" applyFill="1" applyAlignment="1">
      <alignment horizontal="left"/>
    </xf>
    <xf numFmtId="164" fontId="5" fillId="14" borderId="0" xfId="0" applyNumberFormat="1" applyFont="1" applyFill="1"/>
    <xf numFmtId="9" fontId="5" fillId="14" borderId="0" xfId="0" applyNumberFormat="1" applyFont="1" applyFill="1"/>
    <xf numFmtId="0" fontId="71" fillId="0" borderId="0" xfId="0" applyFont="1" applyFill="1"/>
    <xf numFmtId="0" fontId="72" fillId="0" borderId="0" xfId="0" applyFont="1" applyFill="1"/>
    <xf numFmtId="0" fontId="5" fillId="0" borderId="0" xfId="0" applyFont="1" applyFill="1" applyAlignment="1">
      <alignment horizontal="left"/>
    </xf>
    <xf numFmtId="164" fontId="5" fillId="0" borderId="0" xfId="0" applyNumberFormat="1" applyFont="1" applyFill="1"/>
    <xf numFmtId="9" fontId="5" fillId="0" borderId="0" xfId="0" applyNumberFormat="1" applyFont="1" applyFill="1"/>
    <xf numFmtId="0" fontId="0" fillId="0" borderId="0" xfId="0" applyNumberFormat="1"/>
    <xf numFmtId="0" fontId="0" fillId="0" borderId="0" xfId="0"/>
    <xf numFmtId="14" fontId="18" fillId="3" borderId="2" xfId="0" applyNumberFormat="1" applyFont="1" applyFill="1" applyBorder="1" applyAlignment="1">
      <alignment horizontal="left" vertical="center" readingOrder="1"/>
    </xf>
    <xf numFmtId="0" fontId="29" fillId="0" borderId="0" xfId="0" applyFont="1" applyFill="1" applyAlignment="1"/>
    <xf numFmtId="0" fontId="18" fillId="0" borderId="0" xfId="0" applyFont="1" applyFill="1" applyBorder="1" applyAlignment="1">
      <alignment horizontal="left" vertical="center" readingOrder="1"/>
    </xf>
    <xf numFmtId="1" fontId="29" fillId="0" borderId="0" xfId="0" applyNumberFormat="1" applyFont="1" applyFill="1" applyAlignment="1"/>
    <xf numFmtId="0" fontId="29" fillId="0" borderId="0" xfId="1" applyNumberFormat="1" applyFont="1" applyFill="1" applyAlignment="1"/>
    <xf numFmtId="0" fontId="29" fillId="0" borderId="0" xfId="0" applyNumberFormat="1" applyFont="1" applyFill="1" applyAlignment="1"/>
    <xf numFmtId="9" fontId="18" fillId="0" borderId="0" xfId="0" applyNumberFormat="1" applyFont="1" applyFill="1" applyAlignment="1">
      <alignment horizontal="left" vertical="center" readingOrder="1"/>
    </xf>
    <xf numFmtId="9" fontId="18" fillId="0" borderId="0" xfId="1" applyFont="1" applyFill="1" applyAlignment="1">
      <alignment horizontal="left" vertical="center" readingOrder="1"/>
    </xf>
    <xf numFmtId="1" fontId="18" fillId="0" borderId="0" xfId="1" applyNumberFormat="1" applyFont="1" applyFill="1" applyAlignment="1">
      <alignment horizontal="left" vertical="center" readingOrder="1"/>
    </xf>
    <xf numFmtId="9" fontId="18" fillId="0" borderId="0" xfId="1" applyNumberFormat="1" applyFont="1" applyFill="1" applyAlignment="1">
      <alignment horizontal="left" vertical="center" readingOrder="1"/>
    </xf>
    <xf numFmtId="0" fontId="18" fillId="0" borderId="0" xfId="1" applyNumberFormat="1" applyFont="1" applyFill="1" applyAlignment="1">
      <alignment horizontal="left" vertical="center" readingOrder="1"/>
    </xf>
    <xf numFmtId="0" fontId="0" fillId="0" borderId="0" xfId="0" pivotButton="1"/>
    <xf numFmtId="0" fontId="26" fillId="0" borderId="0" xfId="0" applyFont="1" applyFill="1"/>
    <xf numFmtId="165" fontId="18" fillId="0" borderId="0" xfId="0" applyNumberFormat="1" applyFont="1" applyFill="1" applyBorder="1" applyAlignment="1">
      <alignment horizontal="left" vertical="center" readingOrder="1"/>
    </xf>
    <xf numFmtId="9" fontId="18" fillId="0" borderId="0" xfId="0" applyNumberFormat="1" applyFont="1" applyFill="1" applyBorder="1" applyAlignment="1">
      <alignment horizontal="left" vertical="center" readingOrder="1"/>
    </xf>
    <xf numFmtId="1" fontId="18" fillId="0" borderId="0" xfId="0" applyNumberFormat="1" applyFont="1" applyFill="1" applyBorder="1" applyAlignment="1">
      <alignment horizontal="left" vertical="center" readingOrder="1"/>
    </xf>
    <xf numFmtId="1" fontId="18" fillId="0" borderId="0" xfId="0" applyNumberFormat="1" applyFont="1" applyFill="1" applyAlignment="1">
      <alignment horizontal="left" vertical="center" readingOrder="1"/>
    </xf>
    <xf numFmtId="0" fontId="26" fillId="0" borderId="0" xfId="0" applyFont="1" applyFill="1" applyBorder="1"/>
    <xf numFmtId="0" fontId="64" fillId="0" borderId="0" xfId="0" applyNumberFormat="1" applyFont="1" applyFill="1"/>
    <xf numFmtId="0" fontId="26" fillId="0" borderId="0" xfId="0" applyNumberFormat="1" applyFont="1" applyFill="1"/>
    <xf numFmtId="1" fontId="26" fillId="0" borderId="0" xfId="0" applyNumberFormat="1" applyFont="1" applyFill="1"/>
    <xf numFmtId="0" fontId="26" fillId="0" borderId="0" xfId="0" applyFont="1" applyFill="1" applyAlignment="1">
      <alignment wrapText="1" readingOrder="1"/>
    </xf>
    <xf numFmtId="0" fontId="26" fillId="0" borderId="16" xfId="0" applyFont="1" applyFill="1" applyBorder="1"/>
    <xf numFmtId="0" fontId="26" fillId="0" borderId="0" xfId="0" applyNumberFormat="1" applyFont="1" applyFill="1" applyBorder="1"/>
    <xf numFmtId="1" fontId="26" fillId="0" borderId="0" xfId="0" applyNumberFormat="1" applyFont="1" applyFill="1" applyBorder="1"/>
    <xf numFmtId="0" fontId="26" fillId="0" borderId="0" xfId="0" applyFont="1" applyFill="1" applyBorder="1" applyAlignment="1">
      <alignment wrapText="1" readingOrder="1"/>
    </xf>
    <xf numFmtId="0" fontId="0" fillId="0" borderId="0" xfId="0" applyFill="1"/>
    <xf numFmtId="0" fontId="26" fillId="0" borderId="0" xfId="0" applyNumberFormat="1" applyFont="1" applyFill="1" applyAlignment="1">
      <alignment wrapText="1" readingOrder="1"/>
    </xf>
    <xf numFmtId="0" fontId="26" fillId="0" borderId="0" xfId="0" applyNumberFormat="1" applyFont="1" applyFill="1" applyBorder="1" applyAlignment="1">
      <alignment wrapText="1" readingOrder="1"/>
    </xf>
    <xf numFmtId="0" fontId="41" fillId="0" borderId="0" xfId="0" applyFont="1" applyFill="1" applyBorder="1" applyAlignment="1">
      <alignment horizontal="left" vertical="center" readingOrder="1"/>
    </xf>
    <xf numFmtId="0" fontId="41" fillId="0" borderId="0" xfId="0" applyNumberFormat="1" applyFont="1" applyFill="1" applyBorder="1" applyAlignment="1">
      <alignment horizontal="left" vertical="center" readingOrder="1"/>
    </xf>
    <xf numFmtId="0" fontId="42" fillId="0" borderId="0" xfId="9" applyFont="1" applyFill="1" applyAlignment="1"/>
    <xf numFmtId="0" fontId="26" fillId="0" borderId="21" xfId="0" applyFont="1" applyFill="1" applyBorder="1"/>
    <xf numFmtId="0" fontId="26" fillId="0" borderId="20" xfId="0" applyFont="1" applyFill="1" applyBorder="1"/>
    <xf numFmtId="0" fontId="26" fillId="0" borderId="20" xfId="0" applyNumberFormat="1" applyFont="1" applyFill="1" applyBorder="1"/>
    <xf numFmtId="1" fontId="26" fillId="0" borderId="20" xfId="0" applyNumberFormat="1" applyFont="1" applyFill="1" applyBorder="1"/>
    <xf numFmtId="0" fontId="26" fillId="0" borderId="28" xfId="0" applyFont="1" applyFill="1" applyBorder="1"/>
    <xf numFmtId="0" fontId="26" fillId="0" borderId="27" xfId="0" applyFont="1" applyFill="1" applyBorder="1"/>
    <xf numFmtId="0" fontId="18" fillId="0" borderId="0" xfId="0" applyNumberFormat="1" applyFont="1" applyFill="1" applyAlignment="1">
      <alignment horizontal="left" vertical="center" readingOrder="1"/>
    </xf>
    <xf numFmtId="165" fontId="26" fillId="0" borderId="0" xfId="0" applyNumberFormat="1" applyFont="1" applyFill="1"/>
    <xf numFmtId="165" fontId="26" fillId="0" borderId="0" xfId="0" applyNumberFormat="1" applyFont="1" applyFill="1" applyBorder="1"/>
    <xf numFmtId="165" fontId="41" fillId="0" borderId="0" xfId="0" applyNumberFormat="1" applyFont="1" applyFill="1" applyBorder="1" applyAlignment="1">
      <alignment horizontal="left" vertical="center" wrapText="1" readingOrder="1"/>
    </xf>
    <xf numFmtId="0" fontId="26" fillId="0" borderId="52" xfId="0" applyFont="1" applyFill="1" applyBorder="1"/>
    <xf numFmtId="0" fontId="81" fillId="0" borderId="0" xfId="9" applyFont="1" applyAlignment="1"/>
    <xf numFmtId="0" fontId="41" fillId="0" borderId="27" xfId="0" applyFont="1" applyFill="1" applyBorder="1" applyAlignment="1">
      <alignment horizontal="left" vertical="center" readingOrder="1"/>
    </xf>
    <xf numFmtId="0" fontId="81" fillId="0" borderId="0" xfId="9" applyFont="1" applyFill="1" applyBorder="1" applyAlignment="1"/>
    <xf numFmtId="0" fontId="26" fillId="0" borderId="0" xfId="0" applyFont="1" applyBorder="1"/>
    <xf numFmtId="0" fontId="18" fillId="0" borderId="0" xfId="1" applyNumberFormat="1" applyFont="1" applyFill="1" applyBorder="1" applyAlignment="1">
      <alignment horizontal="left" vertical="center" readingOrder="1"/>
    </xf>
    <xf numFmtId="0" fontId="26" fillId="0" borderId="27" xfId="0" applyNumberFormat="1" applyFont="1" applyFill="1" applyBorder="1"/>
    <xf numFmtId="1" fontId="26" fillId="0" borderId="28" xfId="0" applyNumberFormat="1" applyFont="1" applyFill="1" applyBorder="1"/>
    <xf numFmtId="49" fontId="86" fillId="0" borderId="0" xfId="0" applyNumberFormat="1" applyFont="1" applyFill="1" applyBorder="1" applyAlignment="1">
      <alignment horizontal="left" vertical="center"/>
    </xf>
    <xf numFmtId="0" fontId="86" fillId="0" borderId="0" xfId="0" applyFont="1" applyFill="1" applyBorder="1" applyAlignment="1">
      <alignment horizontal="left" vertical="center"/>
    </xf>
    <xf numFmtId="49" fontId="86" fillId="0" borderId="0" xfId="21" applyNumberFormat="1" applyFont="1" applyFill="1" applyBorder="1" applyAlignment="1">
      <alignment horizontal="left" vertical="center"/>
    </xf>
    <xf numFmtId="0" fontId="26" fillId="0" borderId="27" xfId="0" applyFont="1" applyFill="1" applyBorder="1" applyAlignment="1"/>
    <xf numFmtId="0" fontId="26" fillId="0" borderId="0" xfId="0" applyFont="1" applyFill="1" applyAlignment="1"/>
    <xf numFmtId="165" fontId="26" fillId="0" borderId="0" xfId="0" applyNumberFormat="1" applyFont="1" applyFill="1" applyAlignment="1"/>
    <xf numFmtId="0" fontId="26" fillId="0" borderId="0" xfId="0" applyFont="1" applyFill="1" applyAlignment="1">
      <alignment readingOrder="1"/>
    </xf>
    <xf numFmtId="49" fontId="64" fillId="42" borderId="28" xfId="0" applyNumberFormat="1" applyFont="1" applyFill="1" applyBorder="1" applyAlignment="1">
      <alignment horizontal="left" vertical="center"/>
    </xf>
    <xf numFmtId="0" fontId="86" fillId="42" borderId="28" xfId="0" applyFont="1" applyFill="1" applyBorder="1" applyAlignment="1">
      <alignment horizontal="left" vertical="center"/>
    </xf>
    <xf numFmtId="1" fontId="26" fillId="0" borderId="52" xfId="0" applyNumberFormat="1" applyFont="1" applyFill="1" applyBorder="1"/>
    <xf numFmtId="0" fontId="81" fillId="0" borderId="0" xfId="9" applyFont="1" applyFill="1" applyBorder="1" applyAlignment="1">
      <alignment horizontal="right"/>
    </xf>
    <xf numFmtId="164" fontId="18" fillId="0" borderId="0" xfId="4" applyNumberFormat="1" applyFont="1" applyFill="1" applyBorder="1" applyAlignment="1">
      <alignment horizontal="left" vertical="center" readingOrder="1"/>
    </xf>
    <xf numFmtId="164" fontId="18" fillId="0" borderId="0" xfId="4" applyNumberFormat="1" applyFont="1" applyFill="1" applyAlignment="1">
      <alignment horizontal="left" vertical="center" readingOrder="1"/>
    </xf>
    <xf numFmtId="167" fontId="18" fillId="0" borderId="0" xfId="0" applyNumberFormat="1" applyFont="1" applyFill="1" applyAlignment="1">
      <alignment horizontal="left" vertical="center" readingOrder="1"/>
    </xf>
    <xf numFmtId="0" fontId="25" fillId="0" borderId="0" xfId="19" applyFont="1" applyFill="1" applyBorder="1" applyAlignment="1">
      <alignment horizontal="center" vertical="center"/>
    </xf>
    <xf numFmtId="0" fontId="24" fillId="0" borderId="0" xfId="0" applyFont="1" applyFill="1" applyBorder="1" applyAlignment="1">
      <alignment horizontal="center" vertical="center"/>
    </xf>
    <xf numFmtId="0" fontId="126" fillId="0" borderId="0" xfId="9" applyFont="1" applyFill="1" applyBorder="1" applyAlignment="1">
      <alignment horizontal="center" vertical="center"/>
    </xf>
    <xf numFmtId="165" fontId="26" fillId="0" borderId="0" xfId="0" applyNumberFormat="1" applyFont="1" applyFill="1" applyAlignment="1">
      <alignment wrapText="1" readingOrder="1"/>
    </xf>
    <xf numFmtId="0" fontId="28" fillId="8" borderId="78" xfId="0" applyFont="1" applyFill="1" applyBorder="1" applyAlignment="1">
      <alignment horizontal="center" vertical="center" wrapText="1"/>
    </xf>
    <xf numFmtId="1" fontId="127" fillId="0" borderId="0" xfId="0" applyNumberFormat="1" applyFont="1" applyFill="1"/>
    <xf numFmtId="0" fontId="127" fillId="0" borderId="27" xfId="0" applyNumberFormat="1" applyFont="1" applyFill="1" applyBorder="1"/>
    <xf numFmtId="1" fontId="127" fillId="0" borderId="27" xfId="0" applyNumberFormat="1" applyFont="1" applyFill="1" applyBorder="1"/>
    <xf numFmtId="0" fontId="127" fillId="0" borderId="0" xfId="0" applyFont="1" applyFill="1"/>
    <xf numFmtId="0" fontId="127" fillId="0" borderId="0" xfId="0" applyNumberFormat="1" applyFont="1" applyFill="1" applyAlignment="1">
      <alignment wrapText="1" readingOrder="1"/>
    </xf>
    <xf numFmtId="165" fontId="127" fillId="0" borderId="0" xfId="0" applyNumberFormat="1" applyFont="1" applyFill="1"/>
    <xf numFmtId="0" fontId="25" fillId="18" borderId="67" xfId="19" applyFont="1" applyFill="1" applyBorder="1" applyAlignment="1">
      <alignment horizontal="left" vertical="center" wrapText="1"/>
    </xf>
    <xf numFmtId="0" fontId="25" fillId="11" borderId="67" xfId="19" applyFont="1" applyFill="1" applyBorder="1" applyAlignment="1">
      <alignment horizontal="left" vertical="center" wrapText="1"/>
    </xf>
    <xf numFmtId="9" fontId="25" fillId="34" borderId="70" xfId="19" applyNumberFormat="1" applyFont="1" applyFill="1" applyBorder="1" applyAlignment="1">
      <alignment horizontal="left" vertical="center" wrapText="1" readingOrder="1"/>
    </xf>
    <xf numFmtId="0" fontId="27" fillId="16" borderId="67" xfId="22" applyNumberFormat="1" applyFont="1" applyFill="1" applyBorder="1" applyAlignment="1">
      <alignment horizontal="left" vertical="center" indent="1" readingOrder="1"/>
    </xf>
    <xf numFmtId="0" fontId="129" fillId="0" borderId="0" xfId="22" applyFont="1" applyAlignment="1">
      <alignment horizontal="left" vertical="center"/>
    </xf>
    <xf numFmtId="0" fontId="129" fillId="43" borderId="67" xfId="22" applyFont="1" applyFill="1" applyBorder="1" applyAlignment="1">
      <alignment horizontal="left" vertical="center"/>
    </xf>
    <xf numFmtId="0" fontId="129" fillId="43" borderId="70" xfId="22" applyFont="1" applyFill="1" applyBorder="1" applyAlignment="1">
      <alignment horizontal="left" vertical="center"/>
    </xf>
    <xf numFmtId="0" fontId="115" fillId="38" borderId="67" xfId="22" applyNumberFormat="1" applyFont="1" applyFill="1" applyBorder="1" applyAlignment="1">
      <alignment horizontal="center" vertical="center" readingOrder="1"/>
    </xf>
    <xf numFmtId="0" fontId="115" fillId="9" borderId="67" xfId="22" applyNumberFormat="1" applyFont="1" applyFill="1" applyBorder="1" applyAlignment="1">
      <alignment horizontal="center" vertical="center" readingOrder="1"/>
    </xf>
    <xf numFmtId="0" fontId="115" fillId="16" borderId="67" xfId="22" applyNumberFormat="1" applyFont="1" applyFill="1" applyBorder="1" applyAlignment="1">
      <alignment horizontal="center" vertical="center" readingOrder="1"/>
    </xf>
    <xf numFmtId="0" fontId="115" fillId="14" borderId="67" xfId="22" applyNumberFormat="1" applyFont="1" applyFill="1" applyBorder="1" applyAlignment="1">
      <alignment horizontal="center" vertical="center" readingOrder="1"/>
    </xf>
    <xf numFmtId="1" fontId="34" fillId="9" borderId="78" xfId="1" applyNumberFormat="1" applyFont="1" applyFill="1" applyBorder="1" applyAlignment="1">
      <alignment horizontal="center" vertical="center"/>
    </xf>
    <xf numFmtId="1" fontId="28" fillId="9" borderId="78" xfId="0" applyNumberFormat="1" applyFont="1" applyFill="1" applyBorder="1" applyAlignment="1">
      <alignment horizontal="center" vertical="center" wrapText="1"/>
    </xf>
    <xf numFmtId="9" fontId="28" fillId="9" borderId="84" xfId="1" applyFont="1" applyFill="1" applyBorder="1" applyAlignment="1">
      <alignment horizontal="center" vertical="center" wrapText="1"/>
    </xf>
    <xf numFmtId="9" fontId="28" fillId="9" borderId="98" xfId="1" applyFont="1" applyFill="1" applyBorder="1" applyAlignment="1">
      <alignment horizontal="center" vertical="center" wrapText="1"/>
    </xf>
    <xf numFmtId="1" fontId="28" fillId="9" borderId="79" xfId="0" applyNumberFormat="1" applyFont="1" applyFill="1" applyBorder="1" applyAlignment="1">
      <alignment horizontal="center" vertical="center" wrapText="1"/>
    </xf>
    <xf numFmtId="0" fontId="27" fillId="22" borderId="2" xfId="0" applyNumberFormat="1" applyFont="1" applyFill="1" applyBorder="1" applyAlignment="1">
      <alignment horizontal="center" vertical="center" readingOrder="1"/>
    </xf>
    <xf numFmtId="0" fontId="29" fillId="0" borderId="0" xfId="0" applyFont="1" applyAlignment="1">
      <alignment horizontal="center"/>
    </xf>
    <xf numFmtId="49" fontId="119" fillId="0" borderId="0" xfId="4" applyNumberFormat="1" applyFont="1" applyFill="1" applyAlignment="1">
      <alignment horizontal="left" vertical="center" readingOrder="1"/>
    </xf>
    <xf numFmtId="49" fontId="18" fillId="0" borderId="0" xfId="4" applyNumberFormat="1" applyFont="1" applyFill="1" applyAlignment="1">
      <alignment horizontal="left" vertical="center" readingOrder="1"/>
    </xf>
    <xf numFmtId="49" fontId="18" fillId="0" borderId="0" xfId="4" applyNumberFormat="1" applyFont="1" applyFill="1" applyBorder="1" applyAlignment="1">
      <alignment horizontal="left" vertical="center" readingOrder="1"/>
    </xf>
    <xf numFmtId="49" fontId="124" fillId="0" borderId="0" xfId="4" applyNumberFormat="1" applyFont="1" applyFill="1" applyAlignment="1">
      <alignment horizontal="left" vertical="center" readingOrder="1"/>
    </xf>
    <xf numFmtId="0" fontId="17" fillId="14" borderId="105" xfId="22" applyNumberFormat="1" applyFont="1" applyFill="1" applyBorder="1" applyAlignment="1">
      <alignment horizontal="center" vertical="center" wrapText="1"/>
    </xf>
    <xf numFmtId="0" fontId="17" fillId="38" borderId="68" xfId="22" applyNumberFormat="1" applyFont="1" applyFill="1" applyBorder="1" applyAlignment="1">
      <alignment horizontal="center" vertical="center"/>
    </xf>
    <xf numFmtId="0" fontId="17" fillId="9" borderId="68" xfId="22" applyNumberFormat="1" applyFont="1" applyFill="1" applyBorder="1" applyAlignment="1">
      <alignment horizontal="center" vertical="center" wrapText="1"/>
    </xf>
    <xf numFmtId="9" fontId="129" fillId="16" borderId="105" xfId="19" applyNumberFormat="1" applyFont="1" applyFill="1" applyBorder="1" applyAlignment="1">
      <alignment horizontal="center" vertical="center" wrapText="1" readingOrder="1"/>
    </xf>
    <xf numFmtId="49" fontId="25" fillId="7" borderId="67" xfId="19" applyNumberFormat="1" applyFont="1" applyFill="1" applyBorder="1" applyAlignment="1">
      <alignment horizontal="left" vertical="center" wrapText="1" readingOrder="1"/>
    </xf>
    <xf numFmtId="9" fontId="18" fillId="0" borderId="0" xfId="1" applyFont="1" applyFill="1" applyBorder="1" applyAlignment="1">
      <alignment horizontal="left" vertical="center" readingOrder="1"/>
    </xf>
    <xf numFmtId="164" fontId="130" fillId="0" borderId="0" xfId="4" applyNumberFormat="1" applyFont="1" applyFill="1" applyBorder="1" applyAlignment="1">
      <alignment horizontal="left" vertical="center" readingOrder="1"/>
    </xf>
    <xf numFmtId="164" fontId="130" fillId="0" borderId="0" xfId="4" applyNumberFormat="1" applyFont="1" applyFill="1" applyAlignment="1">
      <alignment horizontal="left" vertical="center" readingOrder="1"/>
    </xf>
    <xf numFmtId="49" fontId="130" fillId="0" borderId="0" xfId="4" applyNumberFormat="1" applyFont="1" applyFill="1" applyAlignment="1">
      <alignment horizontal="left" vertical="center" readingOrder="1"/>
    </xf>
    <xf numFmtId="9" fontId="130" fillId="0" borderId="0" xfId="1" applyNumberFormat="1" applyFont="1" applyFill="1" applyAlignment="1">
      <alignment horizontal="left" vertical="center" readingOrder="1"/>
    </xf>
    <xf numFmtId="1" fontId="130" fillId="0" borderId="0" xfId="0" applyNumberFormat="1" applyFont="1" applyFill="1" applyAlignment="1">
      <alignment horizontal="left" vertical="center" readingOrder="1"/>
    </xf>
    <xf numFmtId="9" fontId="130" fillId="0" borderId="0" xfId="1" applyFont="1" applyFill="1" applyAlignment="1">
      <alignment horizontal="left" vertical="center" readingOrder="1"/>
    </xf>
    <xf numFmtId="9" fontId="130" fillId="0" borderId="0" xfId="0" applyNumberFormat="1" applyFont="1" applyFill="1" applyAlignment="1">
      <alignment horizontal="left" vertical="center" readingOrder="1"/>
    </xf>
    <xf numFmtId="1" fontId="130" fillId="0" borderId="0" xfId="1" applyNumberFormat="1" applyFont="1" applyFill="1" applyAlignment="1">
      <alignment horizontal="left" vertical="center" readingOrder="1"/>
    </xf>
    <xf numFmtId="9" fontId="130" fillId="0" borderId="0" xfId="0" applyNumberFormat="1" applyFont="1" applyFill="1" applyBorder="1" applyAlignment="1">
      <alignment horizontal="left" vertical="center" readingOrder="1"/>
    </xf>
    <xf numFmtId="0" fontId="130" fillId="0" borderId="0" xfId="1" applyNumberFormat="1" applyFont="1" applyFill="1" applyAlignment="1">
      <alignment horizontal="left" vertical="center" readingOrder="1"/>
    </xf>
    <xf numFmtId="0" fontId="130" fillId="0" borderId="0" xfId="0" applyNumberFormat="1" applyFont="1" applyFill="1" applyAlignment="1">
      <alignment horizontal="left" vertical="center" readingOrder="1"/>
    </xf>
    <xf numFmtId="164" fontId="79" fillId="14" borderId="78" xfId="4" applyNumberFormat="1" applyFont="1" applyFill="1" applyBorder="1" applyAlignment="1">
      <alignment vertical="center" wrapText="1"/>
    </xf>
    <xf numFmtId="164" fontId="79" fillId="14" borderId="78" xfId="4" applyNumberFormat="1" applyFont="1" applyFill="1" applyBorder="1" applyAlignment="1">
      <alignment vertical="center"/>
    </xf>
    <xf numFmtId="164" fontId="59" fillId="10" borderId="32" xfId="4" applyNumberFormat="1" applyFont="1" applyFill="1" applyBorder="1" applyAlignment="1">
      <alignment vertical="center" wrapText="1"/>
    </xf>
    <xf numFmtId="164" fontId="59" fillId="10" borderId="32" xfId="4" applyNumberFormat="1" applyFont="1" applyFill="1" applyBorder="1" applyAlignment="1">
      <alignment vertical="center"/>
    </xf>
    <xf numFmtId="164" fontId="59" fillId="10" borderId="37" xfId="4" applyNumberFormat="1" applyFont="1" applyFill="1" applyBorder="1" applyAlignment="1">
      <alignment vertical="center"/>
    </xf>
    <xf numFmtId="9" fontId="59" fillId="10" borderId="37" xfId="1" applyFont="1" applyFill="1" applyBorder="1" applyAlignment="1">
      <alignment vertical="center"/>
    </xf>
    <xf numFmtId="164" fontId="59" fillId="10" borderId="36" xfId="4" applyNumberFormat="1" applyFont="1" applyFill="1" applyBorder="1" applyAlignment="1">
      <alignment vertical="center"/>
    </xf>
    <xf numFmtId="164" fontId="59" fillId="10" borderId="110" xfId="4" applyNumberFormat="1" applyFont="1" applyFill="1" applyBorder="1" applyAlignment="1">
      <alignment vertical="center" wrapText="1"/>
    </xf>
    <xf numFmtId="164" fontId="59" fillId="10" borderId="110" xfId="4" applyNumberFormat="1" applyFont="1" applyFill="1" applyBorder="1" applyAlignment="1">
      <alignment vertical="center"/>
    </xf>
    <xf numFmtId="164" fontId="59" fillId="10" borderId="111" xfId="4" applyNumberFormat="1" applyFont="1" applyFill="1" applyBorder="1" applyAlignment="1">
      <alignment vertical="center"/>
    </xf>
    <xf numFmtId="9" fontId="59" fillId="10" borderId="111" xfId="1" applyFont="1" applyFill="1" applyBorder="1" applyAlignment="1">
      <alignment vertical="center"/>
    </xf>
    <xf numFmtId="164" fontId="59" fillId="10" borderId="106" xfId="4" applyNumberFormat="1" applyFont="1" applyFill="1" applyBorder="1" applyAlignment="1">
      <alignment vertical="center"/>
    </xf>
    <xf numFmtId="164" fontId="59" fillId="7" borderId="112" xfId="4" applyNumberFormat="1" applyFont="1" applyFill="1" applyBorder="1" applyAlignment="1">
      <alignment vertical="center" wrapText="1"/>
    </xf>
    <xf numFmtId="164" fontId="59" fillId="7" borderId="112" xfId="4" applyNumberFormat="1" applyFont="1" applyFill="1" applyBorder="1" applyAlignment="1">
      <alignment vertical="center"/>
    </xf>
    <xf numFmtId="164" fontId="120" fillId="7" borderId="113" xfId="4" applyNumberFormat="1" applyFont="1" applyFill="1" applyBorder="1" applyAlignment="1">
      <alignment vertical="center"/>
    </xf>
    <xf numFmtId="9" fontId="59" fillId="7" borderId="113" xfId="1" applyFont="1" applyFill="1" applyBorder="1" applyAlignment="1">
      <alignment vertical="center"/>
    </xf>
    <xf numFmtId="164" fontId="59" fillId="7" borderId="107" xfId="4" applyNumberFormat="1" applyFont="1" applyFill="1" applyBorder="1" applyAlignment="1">
      <alignment vertical="center"/>
    </xf>
    <xf numFmtId="164" fontId="59" fillId="7" borderId="113" xfId="4" applyNumberFormat="1" applyFont="1" applyFill="1" applyBorder="1" applyAlignment="1">
      <alignment vertical="center"/>
    </xf>
    <xf numFmtId="164" fontId="59" fillId="7" borderId="32" xfId="4" applyNumberFormat="1" applyFont="1" applyFill="1" applyBorder="1" applyAlignment="1">
      <alignment vertical="center" wrapText="1"/>
    </xf>
    <xf numFmtId="164" fontId="59" fillId="7" borderId="32" xfId="4" applyNumberFormat="1" applyFont="1" applyFill="1" applyBorder="1" applyAlignment="1">
      <alignment vertical="center"/>
    </xf>
    <xf numFmtId="164" fontId="120" fillId="7" borderId="37" xfId="4" applyNumberFormat="1" applyFont="1" applyFill="1" applyBorder="1" applyAlignment="1">
      <alignment vertical="center"/>
    </xf>
    <xf numFmtId="9" fontId="59" fillId="7" borderId="37" xfId="1" applyFont="1" applyFill="1" applyBorder="1" applyAlignment="1">
      <alignment vertical="center"/>
    </xf>
    <xf numFmtId="164" fontId="59" fillId="7" borderId="36" xfId="4" applyNumberFormat="1" applyFont="1" applyFill="1" applyBorder="1" applyAlignment="1">
      <alignment vertical="center"/>
    </xf>
    <xf numFmtId="164" fontId="59" fillId="7" borderId="37" xfId="4" applyNumberFormat="1" applyFont="1" applyFill="1" applyBorder="1" applyAlignment="1">
      <alignment vertical="center"/>
    </xf>
    <xf numFmtId="164" fontId="59" fillId="11" borderId="32" xfId="4" applyNumberFormat="1" applyFont="1" applyFill="1" applyBorder="1" applyAlignment="1">
      <alignment vertical="center" wrapText="1"/>
    </xf>
    <xf numFmtId="164" fontId="59" fillId="11" borderId="32" xfId="4" applyNumberFormat="1" applyFont="1" applyFill="1" applyBorder="1" applyAlignment="1">
      <alignment vertical="center"/>
    </xf>
    <xf numFmtId="164" fontId="120" fillId="11" borderId="37" xfId="4" applyNumberFormat="1" applyFont="1" applyFill="1" applyBorder="1" applyAlignment="1">
      <alignment vertical="center"/>
    </xf>
    <xf numFmtId="9" fontId="59" fillId="11" borderId="37" xfId="1" applyFont="1" applyFill="1" applyBorder="1" applyAlignment="1">
      <alignment vertical="center"/>
    </xf>
    <xf numFmtId="164" fontId="59" fillId="11" borderId="36" xfId="4" applyNumberFormat="1" applyFont="1" applyFill="1" applyBorder="1" applyAlignment="1">
      <alignment vertical="center"/>
    </xf>
    <xf numFmtId="164" fontId="59" fillId="11" borderId="37" xfId="4" applyNumberFormat="1" applyFont="1" applyFill="1" applyBorder="1" applyAlignment="1">
      <alignment vertical="center"/>
    </xf>
    <xf numFmtId="164" fontId="120" fillId="12" borderId="32" xfId="4" applyNumberFormat="1" applyFont="1" applyFill="1" applyBorder="1" applyAlignment="1">
      <alignment vertical="center" wrapText="1"/>
    </xf>
    <xf numFmtId="164" fontId="120" fillId="12" borderId="32" xfId="4" applyNumberFormat="1" applyFont="1" applyFill="1" applyBorder="1" applyAlignment="1">
      <alignment vertical="center"/>
    </xf>
    <xf numFmtId="164" fontId="120" fillId="12" borderId="37" xfId="4" applyNumberFormat="1" applyFont="1" applyFill="1" applyBorder="1" applyAlignment="1">
      <alignment vertical="center"/>
    </xf>
    <xf numFmtId="9" fontId="120" fillId="12" borderId="37" xfId="1" applyFont="1" applyFill="1" applyBorder="1" applyAlignment="1">
      <alignment vertical="center"/>
    </xf>
    <xf numFmtId="164" fontId="120" fillId="12" borderId="36" xfId="4" applyNumberFormat="1" applyFont="1" applyFill="1" applyBorder="1" applyAlignment="1">
      <alignment vertical="center"/>
    </xf>
    <xf numFmtId="164" fontId="79" fillId="8" borderId="32" xfId="4" applyNumberFormat="1" applyFont="1" applyFill="1" applyBorder="1" applyAlignment="1">
      <alignment vertical="center" wrapText="1"/>
    </xf>
    <xf numFmtId="164" fontId="79" fillId="8" borderId="32" xfId="4" applyNumberFormat="1" applyFont="1" applyFill="1" applyBorder="1" applyAlignment="1">
      <alignment vertical="center"/>
    </xf>
    <xf numFmtId="9" fontId="79" fillId="8" borderId="37" xfId="1" applyFont="1" applyFill="1" applyBorder="1" applyAlignment="1">
      <alignment vertical="center"/>
    </xf>
    <xf numFmtId="164" fontId="79" fillId="8" borderId="36" xfId="4" applyNumberFormat="1" applyFont="1" applyFill="1" applyBorder="1" applyAlignment="1">
      <alignment vertical="center"/>
    </xf>
    <xf numFmtId="164" fontId="79" fillId="8" borderId="37" xfId="4" applyNumberFormat="1" applyFont="1" applyFill="1" applyBorder="1" applyAlignment="1">
      <alignment vertical="center"/>
    </xf>
    <xf numFmtId="164" fontId="79" fillId="36" borderId="32" xfId="4" applyNumberFormat="1" applyFont="1" applyFill="1" applyBorder="1" applyAlignment="1">
      <alignment vertical="center" wrapText="1"/>
    </xf>
    <xf numFmtId="9" fontId="65" fillId="36" borderId="37" xfId="1" applyFont="1" applyFill="1" applyBorder="1" applyAlignment="1">
      <alignment vertical="center"/>
    </xf>
    <xf numFmtId="164" fontId="65" fillId="36" borderId="36" xfId="4" applyNumberFormat="1" applyFont="1" applyFill="1" applyBorder="1" applyAlignment="1">
      <alignment vertical="center"/>
    </xf>
    <xf numFmtId="164" fontId="65" fillId="36" borderId="32" xfId="4" applyNumberFormat="1" applyFont="1" applyFill="1" applyBorder="1" applyAlignment="1">
      <alignment vertical="center"/>
    </xf>
    <xf numFmtId="164" fontId="65" fillId="36" borderId="37" xfId="4" applyNumberFormat="1" applyFont="1" applyFill="1" applyBorder="1" applyAlignment="1">
      <alignment vertical="center"/>
    </xf>
    <xf numFmtId="164" fontId="65" fillId="26" borderId="0" xfId="4" applyNumberFormat="1" applyFont="1" applyFill="1" applyBorder="1" applyAlignment="1">
      <alignment vertical="center" wrapText="1"/>
    </xf>
    <xf numFmtId="164" fontId="65" fillId="26" borderId="0" xfId="4" applyNumberFormat="1" applyFont="1" applyFill="1" applyBorder="1" applyAlignment="1">
      <alignment vertical="center"/>
    </xf>
    <xf numFmtId="9" fontId="65" fillId="26" borderId="0" xfId="1" applyFont="1" applyFill="1" applyBorder="1" applyAlignment="1">
      <alignment vertical="center"/>
    </xf>
    <xf numFmtId="164" fontId="59" fillId="12" borderId="32" xfId="4" applyNumberFormat="1" applyFont="1" applyFill="1" applyBorder="1" applyAlignment="1">
      <alignment vertical="center"/>
    </xf>
    <xf numFmtId="0" fontId="23" fillId="0" borderId="62" xfId="0" applyFont="1" applyFill="1" applyBorder="1" applyAlignment="1">
      <alignment vertical="center" wrapText="1"/>
    </xf>
    <xf numFmtId="0" fontId="75" fillId="0" borderId="118" xfId="0" applyFont="1" applyBorder="1"/>
    <xf numFmtId="0" fontId="75" fillId="0" borderId="117" xfId="0" applyFont="1" applyBorder="1" applyAlignment="1">
      <alignment horizontal="left"/>
    </xf>
    <xf numFmtId="164" fontId="75" fillId="0" borderId="117" xfId="0" applyNumberFormat="1" applyFont="1" applyBorder="1"/>
    <xf numFmtId="0" fontId="75" fillId="0" borderId="118" xfId="0" applyFont="1" applyBorder="1" applyAlignment="1">
      <alignment horizontal="left"/>
    </xf>
    <xf numFmtId="164" fontId="75" fillId="0" borderId="118" xfId="0" applyNumberFormat="1" applyFont="1" applyBorder="1"/>
    <xf numFmtId="0" fontId="73" fillId="0" borderId="0" xfId="0" pivotButton="1" applyFont="1"/>
    <xf numFmtId="0" fontId="4" fillId="0" borderId="0" xfId="0" applyFont="1"/>
    <xf numFmtId="164" fontId="4" fillId="0" borderId="0" xfId="0" applyNumberFormat="1" applyFont="1"/>
    <xf numFmtId="0" fontId="131" fillId="0" borderId="119" xfId="0" applyFont="1" applyBorder="1" applyAlignment="1">
      <alignment horizontal="left"/>
    </xf>
    <xf numFmtId="0" fontId="131" fillId="0" borderId="121" xfId="0" applyNumberFormat="1" applyFont="1" applyBorder="1"/>
    <xf numFmtId="0" fontId="131" fillId="0" borderId="120" xfId="0" applyFont="1" applyBorder="1" applyAlignment="1">
      <alignment horizontal="left"/>
    </xf>
    <xf numFmtId="0" fontId="131" fillId="0" borderId="122" xfId="0" applyNumberFormat="1" applyFont="1" applyBorder="1"/>
    <xf numFmtId="0" fontId="85" fillId="41" borderId="0" xfId="0" applyFont="1" applyFill="1" applyAlignment="1">
      <alignment vertical="center"/>
    </xf>
    <xf numFmtId="0" fontId="59" fillId="0" borderId="65" xfId="0" applyFont="1" applyBorder="1" applyAlignment="1">
      <alignment vertical="center" wrapText="1"/>
    </xf>
    <xf numFmtId="0" fontId="79" fillId="35" borderId="66" xfId="0" applyFont="1" applyFill="1" applyBorder="1" applyAlignment="1">
      <alignment horizontal="center" vertical="center"/>
    </xf>
    <xf numFmtId="0" fontId="79" fillId="35" borderId="66" xfId="0" applyFont="1" applyFill="1" applyBorder="1" applyAlignment="1">
      <alignment horizontal="center" vertical="center" wrapText="1"/>
    </xf>
    <xf numFmtId="0" fontId="79" fillId="35" borderId="64" xfId="0" applyFont="1" applyFill="1" applyBorder="1" applyAlignment="1">
      <alignment horizontal="center" vertical="center" wrapText="1"/>
    </xf>
    <xf numFmtId="0" fontId="59" fillId="0" borderId="59" xfId="0" applyFont="1" applyFill="1" applyBorder="1" applyAlignment="1">
      <alignment vertical="center"/>
    </xf>
    <xf numFmtId="0" fontId="59" fillId="0" borderId="31" xfId="0" applyFont="1" applyFill="1" applyBorder="1" applyAlignment="1">
      <alignment vertical="center" wrapText="1"/>
    </xf>
    <xf numFmtId="164" fontId="59" fillId="0" borderId="31" xfId="4" applyNumberFormat="1" applyFont="1" applyFill="1" applyBorder="1" applyAlignment="1">
      <alignment vertical="center"/>
    </xf>
    <xf numFmtId="9" fontId="59" fillId="0" borderId="31" xfId="0" applyNumberFormat="1" applyFont="1" applyFill="1" applyBorder="1" applyAlignment="1">
      <alignment horizontal="center" vertical="center"/>
    </xf>
    <xf numFmtId="9" fontId="59" fillId="0" borderId="60" xfId="0" applyNumberFormat="1" applyFont="1" applyFill="1" applyBorder="1" applyAlignment="1">
      <alignment horizontal="center" vertical="center"/>
    </xf>
    <xf numFmtId="0" fontId="59" fillId="0" borderId="59" xfId="0" applyFont="1" applyFill="1" applyBorder="1" applyAlignment="1">
      <alignment horizontal="left" vertical="center"/>
    </xf>
    <xf numFmtId="0" fontId="59" fillId="0" borderId="102" xfId="0" applyFont="1" applyFill="1" applyBorder="1" applyAlignment="1">
      <alignment horizontal="left" vertical="center"/>
    </xf>
    <xf numFmtId="9" fontId="59" fillId="0" borderId="103" xfId="0" applyNumberFormat="1" applyFont="1" applyFill="1" applyBorder="1" applyAlignment="1">
      <alignment horizontal="center" vertical="center"/>
    </xf>
    <xf numFmtId="9" fontId="59" fillId="0" borderId="104" xfId="0" applyNumberFormat="1" applyFont="1" applyFill="1" applyBorder="1" applyAlignment="1">
      <alignment horizontal="center" vertical="center"/>
    </xf>
    <xf numFmtId="164" fontId="59" fillId="0" borderId="103" xfId="0" applyNumberFormat="1" applyFont="1" applyFill="1" applyBorder="1" applyAlignment="1">
      <alignment vertical="center"/>
    </xf>
    <xf numFmtId="0" fontId="3" fillId="0" borderId="0" xfId="0" applyFont="1"/>
    <xf numFmtId="164" fontId="79" fillId="48" borderId="126" xfId="4" applyNumberFormat="1" applyFont="1" applyFill="1" applyBorder="1" applyAlignment="1">
      <alignment horizontal="center" vertical="center"/>
    </xf>
    <xf numFmtId="164" fontId="79" fillId="48" borderId="127" xfId="4" applyNumberFormat="1" applyFont="1" applyFill="1" applyBorder="1" applyAlignment="1">
      <alignment horizontal="center" vertical="center"/>
    </xf>
    <xf numFmtId="0" fontId="79" fillId="8" borderId="128" xfId="0" applyFont="1" applyFill="1" applyBorder="1" applyAlignment="1">
      <alignment horizontal="center" vertical="center" wrapText="1"/>
    </xf>
    <xf numFmtId="164" fontId="59" fillId="0" borderId="129" xfId="4" applyNumberFormat="1" applyFont="1" applyBorder="1" applyAlignment="1">
      <alignment horizontal="left"/>
    </xf>
    <xf numFmtId="164" fontId="59" fillId="0" borderId="130" xfId="4" applyNumberFormat="1" applyFont="1" applyBorder="1"/>
    <xf numFmtId="164" fontId="59" fillId="0" borderId="131" xfId="4" applyNumberFormat="1" applyFont="1" applyBorder="1"/>
    <xf numFmtId="9" fontId="59" fillId="0" borderId="132" xfId="0" applyNumberFormat="1" applyFont="1" applyBorder="1"/>
    <xf numFmtId="9" fontId="59" fillId="0" borderId="133" xfId="0" applyNumberFormat="1" applyFont="1" applyBorder="1"/>
    <xf numFmtId="164" fontId="59" fillId="0" borderId="134" xfId="4" applyNumberFormat="1" applyFont="1" applyBorder="1" applyAlignment="1">
      <alignment horizontal="left"/>
    </xf>
    <xf numFmtId="164" fontId="59" fillId="0" borderId="135" xfId="4" applyNumberFormat="1" applyFont="1" applyBorder="1"/>
    <xf numFmtId="164" fontId="59" fillId="0" borderId="136" xfId="4" applyNumberFormat="1" applyFont="1" applyBorder="1"/>
    <xf numFmtId="9" fontId="59" fillId="0" borderId="137" xfId="0" applyNumberFormat="1" applyFont="1" applyBorder="1"/>
    <xf numFmtId="164" fontId="79" fillId="14" borderId="138" xfId="4" applyNumberFormat="1" applyFont="1" applyFill="1" applyBorder="1" applyAlignment="1">
      <alignment horizontal="left" vertical="center"/>
    </xf>
    <xf numFmtId="164" fontId="79" fillId="14" borderId="139" xfId="4" applyNumberFormat="1" applyFont="1" applyFill="1" applyBorder="1" applyAlignment="1">
      <alignment vertical="center"/>
    </xf>
    <xf numFmtId="9" fontId="60" fillId="47" borderId="140" xfId="0" applyNumberFormat="1" applyFont="1" applyFill="1" applyBorder="1" applyAlignment="1">
      <alignment vertical="center"/>
    </xf>
    <xf numFmtId="9" fontId="25" fillId="11" borderId="67" xfId="19" applyNumberFormat="1" applyFont="1" applyFill="1" applyBorder="1" applyAlignment="1">
      <alignment horizontal="left" vertical="center" wrapText="1"/>
    </xf>
    <xf numFmtId="0" fontId="17" fillId="16" borderId="0" xfId="22" applyNumberFormat="1" applyFont="1" applyFill="1" applyBorder="1" applyAlignment="1">
      <alignment horizontal="center" vertical="center"/>
    </xf>
    <xf numFmtId="49" fontId="18" fillId="0" borderId="0" xfId="4" applyNumberFormat="1" applyFont="1" applyFill="1" applyAlignment="1" applyProtection="1">
      <alignment horizontal="left" vertical="center" readingOrder="1"/>
      <protection locked="0"/>
    </xf>
    <xf numFmtId="1" fontId="91" fillId="19" borderId="78" xfId="0" applyNumberFormat="1" applyFont="1" applyFill="1" applyBorder="1" applyAlignment="1">
      <alignment vertical="top" wrapText="1"/>
    </xf>
    <xf numFmtId="0" fontId="26" fillId="49" borderId="0" xfId="0" applyFont="1" applyFill="1"/>
    <xf numFmtId="0" fontId="2" fillId="0" borderId="0" xfId="0" applyFont="1"/>
    <xf numFmtId="0" fontId="88" fillId="0" borderId="27" xfId="0" applyNumberFormat="1" applyFont="1" applyFill="1" applyBorder="1"/>
    <xf numFmtId="0" fontId="26" fillId="0" borderId="27" xfId="0" applyFont="1" applyFill="1" applyBorder="1" applyAlignment="1">
      <alignment wrapText="1"/>
    </xf>
    <xf numFmtId="1" fontId="88" fillId="0" borderId="28" xfId="0" applyNumberFormat="1" applyFont="1" applyFill="1" applyBorder="1"/>
    <xf numFmtId="0" fontId="80" fillId="0" borderId="0" xfId="0" applyFont="1" applyFill="1" applyBorder="1"/>
    <xf numFmtId="1" fontId="123" fillId="0" borderId="27" xfId="0" applyNumberFormat="1" applyFont="1" applyFill="1" applyBorder="1"/>
    <xf numFmtId="0" fontId="26" fillId="0" borderId="21" xfId="0" applyFont="1" applyFill="1" applyBorder="1" applyAlignment="1">
      <alignment wrapText="1"/>
    </xf>
    <xf numFmtId="0" fontId="88" fillId="0" borderId="0" xfId="0" applyFont="1" applyFill="1" applyBorder="1"/>
    <xf numFmtId="0" fontId="79" fillId="36" borderId="141" xfId="0" applyFont="1" applyFill="1" applyBorder="1" applyAlignment="1">
      <alignment horizontal="center" vertical="center" wrapText="1"/>
    </xf>
    <xf numFmtId="9" fontId="60" fillId="47" borderId="142" xfId="0" applyNumberFormat="1" applyFont="1" applyFill="1" applyBorder="1" applyAlignment="1">
      <alignment vertical="center"/>
    </xf>
    <xf numFmtId="0" fontId="133" fillId="10" borderId="0" xfId="0" applyFont="1" applyFill="1" applyAlignment="1">
      <alignment horizontal="left" vertical="center"/>
    </xf>
    <xf numFmtId="164" fontId="134" fillId="0" borderId="31" xfId="4" applyNumberFormat="1" applyFont="1" applyFill="1" applyBorder="1" applyAlignment="1">
      <alignment vertical="center"/>
    </xf>
    <xf numFmtId="9" fontId="135" fillId="0" borderId="31" xfId="0" applyNumberFormat="1" applyFont="1" applyFill="1" applyBorder="1" applyAlignment="1">
      <alignment horizontal="center" vertical="center"/>
    </xf>
    <xf numFmtId="9" fontId="135" fillId="0" borderId="60" xfId="0" applyNumberFormat="1" applyFont="1" applyFill="1" applyBorder="1" applyAlignment="1">
      <alignment horizontal="center" vertical="center"/>
    </xf>
    <xf numFmtId="0" fontId="1" fillId="0" borderId="31" xfId="0" applyFont="1" applyFill="1" applyBorder="1" applyAlignment="1">
      <alignment vertical="center" wrapText="1"/>
    </xf>
    <xf numFmtId="0" fontId="59" fillId="0" borderId="143" xfId="0" applyFont="1" applyFill="1" applyBorder="1" applyAlignment="1">
      <alignment vertical="center" wrapText="1"/>
    </xf>
    <xf numFmtId="0" fontId="136" fillId="0" borderId="0" xfId="0" applyFont="1"/>
    <xf numFmtId="0" fontId="137" fillId="0" borderId="0" xfId="0" pivotButton="1" applyFont="1"/>
    <xf numFmtId="0" fontId="137" fillId="0" borderId="0" xfId="0" applyFont="1"/>
    <xf numFmtId="3" fontId="137" fillId="0" borderId="0" xfId="0" applyNumberFormat="1" applyFont="1"/>
    <xf numFmtId="0" fontId="137" fillId="0" borderId="0" xfId="0" applyNumberFormat="1" applyFont="1"/>
    <xf numFmtId="0" fontId="137" fillId="0" borderId="0" xfId="0" applyFont="1" applyAlignment="1">
      <alignment wrapText="1"/>
    </xf>
    <xf numFmtId="0" fontId="138" fillId="14" borderId="0" xfId="0" applyFont="1" applyFill="1" applyAlignment="1">
      <alignment horizontal="center"/>
    </xf>
    <xf numFmtId="0" fontId="137" fillId="0" borderId="0" xfId="0" applyFont="1" applyAlignment="1">
      <alignment horizontal="left"/>
    </xf>
    <xf numFmtId="0" fontId="138" fillId="36" borderId="0" xfId="0" applyFont="1" applyFill="1" applyAlignment="1">
      <alignment horizontal="center" vertical="center" wrapText="1"/>
    </xf>
    <xf numFmtId="0" fontId="138" fillId="14" borderId="0" xfId="0" applyFont="1" applyFill="1" applyAlignment="1">
      <alignment horizontal="center" vertical="center" wrapText="1"/>
    </xf>
    <xf numFmtId="0" fontId="138" fillId="8" borderId="0" xfId="0" applyNumberFormat="1" applyFont="1" applyFill="1" applyAlignment="1">
      <alignment horizontal="center" vertical="center" wrapText="1"/>
    </xf>
    <xf numFmtId="0" fontId="138" fillId="8" borderId="0" xfId="0" applyFont="1" applyFill="1" applyAlignment="1">
      <alignment horizontal="center" vertical="center" wrapText="1"/>
    </xf>
    <xf numFmtId="164" fontId="138" fillId="14" borderId="0" xfId="0" applyNumberFormat="1" applyFont="1" applyFill="1" applyAlignment="1">
      <alignment horizontal="right" vertical="center"/>
    </xf>
    <xf numFmtId="164" fontId="138" fillId="36" borderId="0" xfId="0" applyNumberFormat="1" applyFont="1" applyFill="1" applyAlignment="1">
      <alignment horizontal="right" vertical="center"/>
    </xf>
    <xf numFmtId="164" fontId="138" fillId="14" borderId="0" xfId="0" applyNumberFormat="1" applyFont="1" applyFill="1"/>
    <xf numFmtId="0" fontId="137" fillId="0" borderId="0" xfId="0" pivotButton="1" applyFont="1" applyAlignment="1">
      <alignment wrapText="1"/>
    </xf>
    <xf numFmtId="0" fontId="139" fillId="26" borderId="0" xfId="0" applyFont="1" applyFill="1"/>
    <xf numFmtId="164" fontId="138" fillId="14" borderId="0" xfId="0" applyNumberFormat="1" applyFont="1" applyFill="1" applyAlignment="1">
      <alignment horizontal="center"/>
    </xf>
    <xf numFmtId="164" fontId="138" fillId="26" borderId="0" xfId="0" applyNumberFormat="1" applyFont="1" applyFill="1"/>
    <xf numFmtId="0" fontId="138" fillId="26" borderId="0" xfId="0" applyFont="1" applyFill="1" applyAlignment="1">
      <alignment horizontal="center" vertical="center" wrapText="1"/>
    </xf>
    <xf numFmtId="0" fontId="138" fillId="14" borderId="0" xfId="0" applyFont="1" applyFill="1" applyAlignment="1">
      <alignment horizontal="center" vertical="center"/>
    </xf>
    <xf numFmtId="164" fontId="138" fillId="8" borderId="0" xfId="0" applyNumberFormat="1" applyFont="1" applyFill="1" applyAlignment="1">
      <alignment horizontal="center"/>
    </xf>
    <xf numFmtId="0" fontId="138" fillId="39" borderId="0" xfId="0" applyFont="1" applyFill="1" applyAlignment="1">
      <alignment horizontal="center" vertical="center"/>
    </xf>
    <xf numFmtId="164" fontId="138" fillId="9" borderId="0" xfId="0" applyNumberFormat="1" applyFont="1" applyFill="1" applyAlignment="1">
      <alignment horizontal="center"/>
    </xf>
    <xf numFmtId="0" fontId="138" fillId="46" borderId="0" xfId="0" applyFont="1" applyFill="1" applyAlignment="1">
      <alignment horizontal="center" vertical="center"/>
    </xf>
    <xf numFmtId="164" fontId="137" fillId="12" borderId="0" xfId="0" applyNumberFormat="1" applyFont="1" applyFill="1"/>
    <xf numFmtId="0" fontId="137" fillId="12" borderId="0" xfId="0" applyFont="1" applyFill="1" applyAlignment="1">
      <alignment vertical="center" wrapText="1"/>
    </xf>
    <xf numFmtId="0" fontId="140" fillId="0" borderId="0" xfId="0" pivotButton="1" applyFont="1"/>
    <xf numFmtId="0" fontId="140" fillId="0" borderId="0" xfId="0" applyFont="1"/>
    <xf numFmtId="0" fontId="140" fillId="0" borderId="0" xfId="0" pivotButton="1" applyFont="1" applyAlignment="1">
      <alignment wrapText="1"/>
    </xf>
    <xf numFmtId="0" fontId="141" fillId="29" borderId="0" xfId="0" applyFont="1" applyFill="1"/>
    <xf numFmtId="0" fontId="140" fillId="0" borderId="0" xfId="0" applyNumberFormat="1" applyFont="1"/>
    <xf numFmtId="164" fontId="140" fillId="0" borderId="0" xfId="0" applyNumberFormat="1" applyFont="1"/>
    <xf numFmtId="0" fontId="140" fillId="0" borderId="0" xfId="0" applyFont="1" applyAlignment="1">
      <alignment horizontal="left"/>
    </xf>
    <xf numFmtId="0" fontId="141" fillId="29" borderId="0" xfId="0" applyFont="1" applyFill="1" applyAlignment="1">
      <alignment horizontal="left" vertical="center" wrapText="1"/>
    </xf>
    <xf numFmtId="0" fontId="141" fillId="40" borderId="0" xfId="0" applyFont="1" applyFill="1"/>
    <xf numFmtId="9" fontId="140" fillId="0" borderId="0" xfId="0" applyNumberFormat="1" applyFont="1"/>
    <xf numFmtId="0" fontId="140" fillId="0" borderId="0" xfId="0" applyFont="1" applyAlignment="1">
      <alignment horizontal="left" wrapText="1"/>
    </xf>
    <xf numFmtId="1" fontId="140" fillId="0" borderId="0" xfId="0" applyNumberFormat="1" applyFont="1"/>
    <xf numFmtId="0" fontId="140" fillId="0" borderId="0" xfId="0" applyFont="1" applyAlignment="1">
      <alignment wrapText="1"/>
    </xf>
    <xf numFmtId="0" fontId="140" fillId="0" borderId="0" xfId="0" pivotButton="1" applyFont="1" applyAlignment="1">
      <alignment horizontal="center" vertical="center" wrapText="1"/>
    </xf>
    <xf numFmtId="0" fontId="141" fillId="40" borderId="0" xfId="0" applyFont="1" applyFill="1" applyAlignment="1"/>
    <xf numFmtId="0" fontId="141" fillId="40" borderId="0" xfId="0" applyFont="1" applyFill="1" applyAlignment="1">
      <alignment wrapText="1"/>
    </xf>
    <xf numFmtId="0" fontId="137" fillId="0" borderId="0" xfId="0" pivotButton="1" applyFont="1" applyAlignment="1">
      <alignment horizontal="center" vertical="center" wrapText="1"/>
    </xf>
    <xf numFmtId="0" fontId="25" fillId="0" borderId="0" xfId="19" applyFont="1" applyFill="1" applyBorder="1" applyAlignment="1">
      <alignment horizontal="left" vertical="center"/>
    </xf>
    <xf numFmtId="0" fontId="126" fillId="0" borderId="0" xfId="9" applyFont="1" applyFill="1" applyBorder="1" applyAlignment="1">
      <alignment horizontal="left" vertical="center"/>
    </xf>
    <xf numFmtId="167" fontId="130" fillId="0" borderId="0" xfId="0" applyNumberFormat="1" applyFont="1" applyFill="1" applyBorder="1" applyAlignment="1">
      <alignment horizontal="left" vertical="center" readingOrder="1"/>
    </xf>
    <xf numFmtId="0" fontId="130" fillId="0" borderId="0" xfId="0" applyFont="1" applyFill="1" applyBorder="1" applyAlignment="1">
      <alignment horizontal="left" vertical="center" readingOrder="1"/>
    </xf>
    <xf numFmtId="0" fontId="130" fillId="0" borderId="0" xfId="9" applyFont="1" applyFill="1" applyBorder="1" applyAlignment="1">
      <alignment horizontal="left" vertical="center" readingOrder="1"/>
    </xf>
    <xf numFmtId="0" fontId="24" fillId="0" borderId="0" xfId="0" applyFont="1" applyFill="1" applyBorder="1" applyAlignment="1">
      <alignment vertical="center"/>
    </xf>
    <xf numFmtId="0" fontId="24" fillId="0" borderId="0" xfId="0" applyFont="1" applyFill="1" applyBorder="1" applyAlignment="1">
      <alignment horizontal="left" vertical="center"/>
    </xf>
    <xf numFmtId="166" fontId="30" fillId="15" borderId="5" xfId="8" applyFont="1" applyFill="1" applyBorder="1" applyAlignment="1">
      <alignment horizontal="center" vertical="center"/>
    </xf>
    <xf numFmtId="166" fontId="30" fillId="15" borderId="6" xfId="8" applyFont="1" applyFill="1" applyBorder="1" applyAlignment="1">
      <alignment horizontal="center" vertical="center"/>
    </xf>
    <xf numFmtId="166" fontId="30" fillId="15" borderId="7" xfId="8" applyFont="1" applyFill="1" applyBorder="1" applyAlignment="1">
      <alignment horizontal="center" vertical="center"/>
    </xf>
    <xf numFmtId="166" fontId="7" fillId="20" borderId="0" xfId="8" applyFont="1" applyFill="1" applyBorder="1" applyAlignment="1">
      <alignment horizontal="left" wrapText="1"/>
    </xf>
    <xf numFmtId="166" fontId="14" fillId="20" borderId="0" xfId="8" applyFill="1" applyBorder="1" applyAlignment="1">
      <alignment horizontal="left" wrapText="1"/>
    </xf>
    <xf numFmtId="166" fontId="14" fillId="20" borderId="9" xfId="8" applyFill="1" applyBorder="1" applyAlignment="1">
      <alignment horizontal="left" wrapText="1"/>
    </xf>
    <xf numFmtId="0" fontId="28" fillId="8" borderId="84" xfId="0" applyFont="1" applyFill="1" applyBorder="1" applyAlignment="1">
      <alignment horizontal="center" vertical="center" wrapText="1"/>
    </xf>
    <xf numFmtId="0" fontId="28" fillId="8" borderId="90" xfId="0" applyFont="1" applyFill="1" applyBorder="1" applyAlignment="1">
      <alignment horizontal="center" vertical="center" wrapText="1"/>
    </xf>
    <xf numFmtId="0" fontId="28" fillId="8" borderId="91" xfId="0" applyFont="1" applyFill="1" applyBorder="1" applyAlignment="1">
      <alignment horizontal="center" vertical="center" wrapText="1"/>
    </xf>
    <xf numFmtId="0" fontId="28" fillId="8" borderId="92" xfId="0" applyFont="1" applyFill="1" applyBorder="1" applyAlignment="1">
      <alignment horizontal="center" vertical="center" wrapText="1"/>
    </xf>
    <xf numFmtId="0" fontId="28" fillId="8" borderId="93" xfId="0" applyFont="1" applyFill="1" applyBorder="1" applyAlignment="1">
      <alignment horizontal="center" vertical="center" wrapText="1"/>
    </xf>
    <xf numFmtId="0" fontId="28" fillId="5" borderId="90" xfId="0" applyFont="1" applyFill="1" applyBorder="1" applyAlignment="1">
      <alignment horizontal="center" vertical="center"/>
    </xf>
    <xf numFmtId="0" fontId="28" fillId="5" borderId="96" xfId="0" applyFont="1" applyFill="1" applyBorder="1" applyAlignment="1">
      <alignment horizontal="center" vertical="center"/>
    </xf>
    <xf numFmtId="0" fontId="28" fillId="5" borderId="92" xfId="0" applyFont="1" applyFill="1" applyBorder="1" applyAlignment="1">
      <alignment horizontal="center" vertical="center"/>
    </xf>
    <xf numFmtId="0" fontId="28" fillId="5" borderId="97" xfId="0" applyFont="1" applyFill="1" applyBorder="1" applyAlignment="1">
      <alignment horizontal="center" vertical="center"/>
    </xf>
    <xf numFmtId="0" fontId="28" fillId="5" borderId="94" xfId="0" applyFont="1" applyFill="1" applyBorder="1" applyAlignment="1">
      <alignment horizontal="center" vertical="center"/>
    </xf>
    <xf numFmtId="0" fontId="28" fillId="5" borderId="95" xfId="0" applyFont="1" applyFill="1" applyBorder="1" applyAlignment="1">
      <alignment horizontal="center" vertical="center"/>
    </xf>
    <xf numFmtId="0" fontId="28" fillId="8" borderId="78" xfId="0" applyFont="1" applyFill="1" applyBorder="1" applyAlignment="1">
      <alignment horizontal="center" vertical="center" wrapText="1"/>
    </xf>
    <xf numFmtId="0" fontId="28" fillId="5" borderId="90" xfId="0" applyFont="1" applyFill="1" applyBorder="1" applyAlignment="1">
      <alignment horizontal="center" vertical="center" wrapText="1"/>
    </xf>
    <xf numFmtId="0" fontId="28" fillId="5" borderId="91" xfId="0" applyFont="1" applyFill="1" applyBorder="1" applyAlignment="1">
      <alignment horizontal="center" vertical="center" wrapText="1"/>
    </xf>
    <xf numFmtId="0" fontId="28" fillId="5" borderId="92" xfId="0" applyFont="1" applyFill="1" applyBorder="1" applyAlignment="1">
      <alignment horizontal="center" vertical="center" wrapText="1"/>
    </xf>
    <xf numFmtId="0" fontId="28" fillId="5" borderId="93" xfId="0" applyFont="1" applyFill="1" applyBorder="1" applyAlignment="1">
      <alignment horizontal="center" vertical="center" wrapText="1"/>
    </xf>
    <xf numFmtId="0" fontId="28" fillId="5" borderId="84" xfId="0" applyFont="1" applyFill="1" applyBorder="1" applyAlignment="1">
      <alignment horizontal="center" vertical="center" wrapText="1"/>
    </xf>
    <xf numFmtId="0" fontId="28" fillId="5" borderId="80" xfId="0" applyFont="1" applyFill="1" applyBorder="1" applyAlignment="1">
      <alignment horizontal="center" vertical="center" wrapText="1"/>
    </xf>
    <xf numFmtId="0" fontId="28" fillId="5" borderId="81" xfId="0" applyFont="1" applyFill="1" applyBorder="1" applyAlignment="1">
      <alignment horizontal="center" vertical="center" wrapText="1"/>
    </xf>
    <xf numFmtId="0" fontId="17" fillId="44" borderId="73" xfId="22" applyNumberFormat="1" applyFont="1" applyFill="1" applyBorder="1" applyAlignment="1">
      <alignment horizontal="center" vertical="center"/>
    </xf>
    <xf numFmtId="0" fontId="17" fillId="44" borderId="69" xfId="22" applyNumberFormat="1" applyFont="1" applyFill="1" applyBorder="1" applyAlignment="1">
      <alignment horizontal="center" vertical="center"/>
    </xf>
    <xf numFmtId="0" fontId="28" fillId="5" borderId="78" xfId="0" applyFont="1" applyFill="1" applyBorder="1" applyAlignment="1">
      <alignment horizontal="center" vertical="center"/>
    </xf>
    <xf numFmtId="0" fontId="28" fillId="5" borderId="85" xfId="0" applyFont="1" applyFill="1" applyBorder="1" applyAlignment="1">
      <alignment horizontal="center" vertical="center" wrapText="1"/>
    </xf>
    <xf numFmtId="0" fontId="28" fillId="5" borderId="86" xfId="0" applyFont="1" applyFill="1" applyBorder="1" applyAlignment="1">
      <alignment horizontal="center" vertical="center" wrapText="1"/>
    </xf>
    <xf numFmtId="0" fontId="28" fillId="5" borderId="87" xfId="0" applyFont="1" applyFill="1" applyBorder="1" applyAlignment="1">
      <alignment horizontal="center" vertical="center" wrapText="1"/>
    </xf>
    <xf numFmtId="0" fontId="28" fillId="5" borderId="88" xfId="0" applyFont="1" applyFill="1" applyBorder="1" applyAlignment="1">
      <alignment horizontal="center" vertical="center" wrapText="1"/>
    </xf>
    <xf numFmtId="0" fontId="108" fillId="0" borderId="0" xfId="19" applyFont="1" applyAlignment="1">
      <alignment horizontal="left" vertical="center"/>
    </xf>
    <xf numFmtId="0" fontId="129" fillId="15" borderId="68" xfId="22" applyFont="1" applyFill="1" applyBorder="1" applyAlignment="1">
      <alignment horizontal="center" vertical="center" wrapText="1"/>
    </xf>
    <xf numFmtId="0" fontId="129" fillId="15" borderId="105" xfId="22" applyFont="1" applyFill="1" applyBorder="1" applyAlignment="1">
      <alignment horizontal="center" vertical="center" wrapText="1"/>
    </xf>
    <xf numFmtId="0" fontId="129" fillId="15" borderId="70" xfId="22" applyFont="1" applyFill="1" applyBorder="1" applyAlignment="1">
      <alignment horizontal="center" vertical="center" wrapText="1"/>
    </xf>
    <xf numFmtId="0" fontId="129" fillId="8" borderId="68" xfId="22" applyFont="1" applyFill="1" applyBorder="1" applyAlignment="1">
      <alignment horizontal="center" vertical="center" wrapText="1"/>
    </xf>
    <xf numFmtId="0" fontId="129" fillId="8" borderId="105" xfId="22" applyFont="1" applyFill="1" applyBorder="1" applyAlignment="1">
      <alignment horizontal="center" vertical="center" wrapText="1"/>
    </xf>
    <xf numFmtId="0" fontId="129" fillId="8" borderId="70" xfId="22" applyFont="1" applyFill="1" applyBorder="1" applyAlignment="1">
      <alignment horizontal="center" vertical="center" wrapText="1"/>
    </xf>
    <xf numFmtId="0" fontId="129" fillId="9" borderId="68" xfId="22" applyFont="1" applyFill="1" applyBorder="1" applyAlignment="1">
      <alignment horizontal="center" vertical="center" wrapText="1"/>
    </xf>
    <xf numFmtId="0" fontId="129" fillId="9" borderId="105" xfId="22" applyFont="1" applyFill="1" applyBorder="1" applyAlignment="1">
      <alignment horizontal="center" vertical="center" wrapText="1"/>
    </xf>
    <xf numFmtId="0" fontId="129" fillId="9" borderId="70" xfId="22" applyFont="1" applyFill="1" applyBorder="1" applyAlignment="1">
      <alignment horizontal="center" vertical="center" wrapText="1"/>
    </xf>
    <xf numFmtId="0" fontId="110" fillId="0" borderId="0" xfId="19" applyFont="1" applyAlignment="1">
      <alignment horizontal="left" vertical="center"/>
    </xf>
    <xf numFmtId="0" fontId="67" fillId="0" borderId="34" xfId="0" applyFont="1" applyBorder="1" applyAlignment="1">
      <alignment horizontal="center" vertical="center" wrapText="1"/>
    </xf>
    <xf numFmtId="0" fontId="67" fillId="0" borderId="35" xfId="0" applyFont="1" applyBorder="1" applyAlignment="1">
      <alignment horizontal="center" vertical="center" wrapText="1"/>
    </xf>
    <xf numFmtId="0" fontId="60" fillId="2" borderId="54" xfId="0" applyFont="1" applyFill="1" applyBorder="1" applyAlignment="1">
      <alignment horizontal="center"/>
    </xf>
    <xf numFmtId="0" fontId="60" fillId="2" borderId="55" xfId="0" applyFont="1" applyFill="1" applyBorder="1" applyAlignment="1">
      <alignment horizontal="center"/>
    </xf>
    <xf numFmtId="0" fontId="65" fillId="14" borderId="56" xfId="0" applyFont="1" applyFill="1" applyBorder="1" applyAlignment="1">
      <alignment horizontal="center" vertical="top" wrapText="1"/>
    </xf>
    <xf numFmtId="0" fontId="65" fillId="14" borderId="57" xfId="0" applyFont="1" applyFill="1" applyBorder="1" applyAlignment="1">
      <alignment horizontal="center" vertical="top" wrapText="1"/>
    </xf>
    <xf numFmtId="0" fontId="65" fillId="8" borderId="58" xfId="0" applyFont="1" applyFill="1" applyBorder="1" applyAlignment="1">
      <alignment horizontal="center" vertical="top" wrapText="1"/>
    </xf>
    <xf numFmtId="0" fontId="65" fillId="8" borderId="55" xfId="0" applyFont="1" applyFill="1" applyBorder="1" applyAlignment="1">
      <alignment horizontal="center" vertical="top" wrapText="1"/>
    </xf>
    <xf numFmtId="0" fontId="65" fillId="9" borderId="58" xfId="0" applyFont="1" applyFill="1" applyBorder="1" applyAlignment="1">
      <alignment horizontal="center" vertical="top" wrapText="1"/>
    </xf>
    <xf numFmtId="0" fontId="65" fillId="9" borderId="55" xfId="0" applyFont="1" applyFill="1" applyBorder="1" applyAlignment="1">
      <alignment horizontal="center" vertical="top" wrapText="1"/>
    </xf>
    <xf numFmtId="0" fontId="65" fillId="8" borderId="106" xfId="0" applyFont="1" applyFill="1" applyBorder="1" applyAlignment="1">
      <alignment horizontal="center" vertical="top" wrapText="1"/>
    </xf>
    <xf numFmtId="0" fontId="65" fillId="8" borderId="108" xfId="0" applyFont="1" applyFill="1" applyBorder="1" applyAlignment="1">
      <alignment horizontal="center" vertical="top" wrapText="1"/>
    </xf>
    <xf numFmtId="0" fontId="65" fillId="8" borderId="107" xfId="0" applyFont="1" applyFill="1" applyBorder="1" applyAlignment="1">
      <alignment horizontal="center" vertical="top" wrapText="1"/>
    </xf>
    <xf numFmtId="0" fontId="65" fillId="14" borderId="114" xfId="0" applyFont="1" applyFill="1" applyBorder="1" applyAlignment="1">
      <alignment horizontal="center" vertical="center" wrapText="1"/>
    </xf>
    <xf numFmtId="0" fontId="65" fillId="14" borderId="109" xfId="0" applyFont="1" applyFill="1" applyBorder="1" applyAlignment="1">
      <alignment horizontal="center" vertical="center" wrapText="1"/>
    </xf>
    <xf numFmtId="0" fontId="65" fillId="14" borderId="115" xfId="0" applyFont="1" applyFill="1" applyBorder="1" applyAlignment="1">
      <alignment horizontal="center" vertical="center" wrapText="1"/>
    </xf>
    <xf numFmtId="0" fontId="65" fillId="36" borderId="106" xfId="0" applyFont="1" applyFill="1" applyBorder="1" applyAlignment="1">
      <alignment horizontal="center" vertical="top" wrapText="1"/>
    </xf>
    <xf numFmtId="0" fontId="65" fillId="36" borderId="108" xfId="0" applyFont="1" applyFill="1" applyBorder="1" applyAlignment="1">
      <alignment horizontal="center" vertical="top" wrapText="1"/>
    </xf>
    <xf numFmtId="0" fontId="65" fillId="36" borderId="107" xfId="0" applyFont="1" applyFill="1" applyBorder="1" applyAlignment="1">
      <alignment horizontal="center" vertical="top" wrapText="1"/>
    </xf>
    <xf numFmtId="0" fontId="120" fillId="12" borderId="106" xfId="0" applyFont="1" applyFill="1" applyBorder="1" applyAlignment="1">
      <alignment horizontal="center" vertical="top" wrapText="1"/>
    </xf>
    <xf numFmtId="0" fontId="120" fillId="12" borderId="108" xfId="0" applyFont="1" applyFill="1" applyBorder="1" applyAlignment="1">
      <alignment horizontal="center" vertical="top" wrapText="1"/>
    </xf>
    <xf numFmtId="0" fontId="120" fillId="12" borderId="116" xfId="0" applyFont="1" applyFill="1" applyBorder="1" applyAlignment="1">
      <alignment horizontal="center" vertical="top" wrapText="1"/>
    </xf>
    <xf numFmtId="0" fontId="120" fillId="12" borderId="107" xfId="0" applyFont="1" applyFill="1" applyBorder="1" applyAlignment="1">
      <alignment horizontal="center" vertical="top" wrapText="1"/>
    </xf>
    <xf numFmtId="0" fontId="59" fillId="12" borderId="100" xfId="0" applyFont="1" applyFill="1" applyBorder="1" applyAlignment="1">
      <alignment horizontal="center" vertical="center"/>
    </xf>
    <xf numFmtId="0" fontId="85" fillId="41" borderId="0" xfId="0" applyFont="1" applyFill="1" applyAlignment="1">
      <alignment horizontal="center" vertical="center"/>
    </xf>
    <xf numFmtId="164" fontId="79" fillId="48" borderId="123" xfId="4" applyNumberFormat="1" applyFont="1" applyFill="1" applyBorder="1" applyAlignment="1">
      <alignment horizontal="center" vertical="center"/>
    </xf>
    <xf numFmtId="164" fontId="79" fillId="48" borderId="125" xfId="4" applyNumberFormat="1" applyFont="1" applyFill="1" applyBorder="1" applyAlignment="1">
      <alignment horizontal="center" vertical="center"/>
    </xf>
    <xf numFmtId="0" fontId="85" fillId="14" borderId="0" xfId="0" applyFont="1" applyFill="1" applyAlignment="1">
      <alignment horizontal="center"/>
    </xf>
    <xf numFmtId="0" fontId="132" fillId="37" borderId="124" xfId="0" applyFont="1" applyFill="1" applyBorder="1" applyAlignment="1">
      <alignment horizontal="center" vertical="center"/>
    </xf>
    <xf numFmtId="164" fontId="70"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741">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8"/>
        </left>
        <right/>
        <top style="thin">
          <color theme="8"/>
        </top>
        <bottom style="thin">
          <color theme="8"/>
        </bottom>
      </border>
    </dxf>
    <dxf>
      <font>
        <b/>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0"/>
        <color theme="1"/>
        <name val="Calibri"/>
        <scheme val="minor"/>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right style="thin">
          <color theme="8"/>
        </right>
        <top style="thin">
          <color theme="8"/>
        </top>
        <bottom style="thin">
          <color theme="8"/>
        </bottom>
      </border>
    </dxf>
    <dxf>
      <border>
        <top style="thin">
          <color rgb="FF4472C4"/>
        </top>
      </border>
    </dxf>
    <dxf>
      <border diagonalUp="0" diagonalDown="0">
        <left style="thin">
          <color rgb="FF4472C4"/>
        </left>
        <right style="thin">
          <color rgb="FF4472C4"/>
        </right>
        <top style="thin">
          <color rgb="FF4472C4"/>
        </top>
        <bottom style="thin">
          <color rgb="FF4472C4"/>
        </bottom>
      </border>
    </dxf>
    <dxf>
      <fill>
        <patternFill patternType="none">
          <fgColor indexed="64"/>
          <bgColor auto="1"/>
        </patternFill>
      </fill>
    </dxf>
    <dxf>
      <border>
        <bottom style="thin">
          <color rgb="FF4472C4"/>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8"/>
        </left>
        <right style="thin">
          <color theme="8"/>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numFmt numFmtId="0" formatCode="Genera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patternType="solid">
          <fgColor indexed="64"/>
          <bgColor theme="0" tint="-0.249977111117893"/>
        </patternFill>
      </fill>
    </dxf>
    <dxf>
      <fill>
        <patternFill patternType="solid">
          <fgColor indexed="64"/>
          <bgColor theme="0" tint="-0.249977111117893"/>
        </patternFill>
      </fill>
    </dxf>
    <dxf>
      <numFmt numFmtId="164" formatCode="_(* #,##0_);_(* \(#,##0\);_(* &quot;-&quot;??_);_(@_)"/>
    </dxf>
    <dxf>
      <numFmt numFmtId="164" formatCode="_(* #,##0_);_(* \(#,##0\);_(* &quot;-&quot;??_);_(@_)"/>
    </dxf>
    <dxf>
      <fill>
        <patternFill patternType="solid">
          <fgColor indexed="64"/>
          <bgColor theme="0" tint="-0.249977111117893"/>
        </patternFill>
      </fill>
    </dxf>
    <dxf>
      <alignment wrapText="1"/>
    </dxf>
    <dxf>
      <alignment wrapText="1"/>
    </dxf>
    <dxf>
      <fill>
        <patternFill patternType="solid">
          <fgColor indexed="64"/>
          <bgColor theme="0" tint="-0.249977111117893"/>
        </patternFill>
      </fill>
      <alignment vertical="center"/>
    </dxf>
    <dxf>
      <alignment vertical="center"/>
    </dxf>
    <dxf>
      <fill>
        <patternFill patternType="solid">
          <bgColor theme="0" tint="-0.249977111117893"/>
        </patternFill>
      </fill>
    </dxf>
    <dxf>
      <fill>
        <patternFill patternType="solid">
          <bgColor theme="0" tint="-0.249977111117893"/>
        </patternFill>
      </fill>
    </dxf>
    <dxf>
      <fill>
        <patternFill>
          <bgColor theme="9" tint="-0.249977111117893"/>
        </patternFill>
      </fill>
    </dxf>
    <dxf>
      <fill>
        <patternFill>
          <bgColor theme="9" tint="-0.249977111117893"/>
        </patternFill>
      </fill>
    </dxf>
    <dxf>
      <fill>
        <patternFill>
          <bgColor theme="5" tint="-0.249977111117893"/>
        </patternFill>
      </fill>
    </dxf>
    <dxf>
      <fill>
        <patternFill>
          <bgColor theme="5" tint="-0.249977111117893"/>
        </patternFill>
      </fill>
    </dxf>
    <dxf>
      <fill>
        <patternFill>
          <fgColor theme="5" tint="-0.249977111117893"/>
        </patternFill>
      </fill>
    </dxf>
    <dxf>
      <fill>
        <patternFill>
          <fgColor theme="9" tint="-0.249977111117893"/>
        </patternFill>
      </fill>
    </dxf>
    <dxf>
      <alignment vertical="center"/>
    </dxf>
    <dxf>
      <numFmt numFmtId="164" formatCode="_(* #,##0_);_(* \(#,##0\);_(* &quot;-&quot;??_);_(@_)"/>
    </dxf>
    <dxf>
      <font>
        <color theme="0"/>
      </font>
      <numFmt numFmtId="164" formatCode="_(* #,##0_);_(* \(#,##0\);_(* &quot;-&quot;??_);_(@_)"/>
      <fill>
        <patternFill patternType="solid">
          <fgColor indexed="64"/>
          <bgColor theme="1"/>
        </patternFill>
      </fill>
    </dxf>
    <dxf>
      <font>
        <color theme="0"/>
      </font>
      <fill>
        <patternFill patternType="solid">
          <fgColor indexed="64"/>
          <bgColor rgb="FF0070C0"/>
        </patternFill>
      </fill>
      <alignment horizontal="center"/>
    </dxf>
    <dxf>
      <font>
        <color theme="0"/>
      </font>
      <fill>
        <patternFill patternType="solid">
          <fgColor indexed="64"/>
          <bgColor rgb="FF0070C0"/>
        </patternFill>
      </fill>
      <alignment horizontal="center"/>
    </dxf>
    <dxf>
      <font>
        <color theme="0"/>
      </font>
      <fill>
        <patternFill patternType="solid">
          <fgColor indexed="64"/>
          <bgColor theme="1"/>
        </patternFill>
      </fill>
      <alignment horizontal="center"/>
    </dxf>
    <dxf>
      <numFmt numFmtId="164" formatCode="_(* #,##0_);_(* \(#,##0\);_(* &quot;-&quot;??_);_(@_)"/>
    </dxf>
    <dxf>
      <font>
        <b/>
      </font>
    </dxf>
    <dxf>
      <font>
        <color theme="0"/>
      </font>
      <fill>
        <patternFill patternType="solid">
          <fgColor indexed="64"/>
          <bgColor theme="1"/>
        </patternFill>
      </fill>
    </dxf>
    <dxf>
      <font>
        <sz val="12"/>
      </font>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numFmt numFmtId="164" formatCode="_(* #,##0_);_(* \(#,##0\);_(* &quot;-&quot;??_);_(@_)"/>
      <fill>
        <patternFill patternType="solid">
          <fgColor indexed="64"/>
          <bgColor theme="9" tint="-0.499984740745262"/>
        </patternFill>
      </fill>
      <alignment horizontal="right" vertical="center"/>
    </dxf>
    <dxf>
      <font>
        <color theme="0"/>
      </font>
      <numFmt numFmtId="164" formatCode="_(* #,##0_);_(* \(#,##0\);_(* &quot;-&quot;??_);_(@_)"/>
      <fill>
        <patternFill patternType="solid">
          <fgColor indexed="64"/>
          <bgColor rgb="FF0070C0"/>
        </patternFill>
      </fill>
      <alignment horizontal="right" vertical="center"/>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theme="5" tint="-0.249977111117893"/>
        </patternFill>
      </fill>
      <alignment horizontal="center" vertical="center" wrapText="1"/>
    </dxf>
    <dxf>
      <fill>
        <patternFill>
          <fgColor indexed="64"/>
          <bgColor rgb="FF0070C0"/>
        </patternFill>
      </fill>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rgb="FFFFC000"/>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b/>
        <i val="0"/>
        <color rgb="FFFF0000"/>
      </font>
    </dxf>
    <dxf>
      <font>
        <b/>
        <i val="0"/>
        <color rgb="FFFF0000"/>
      </font>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740"/>
      <tableStyleElement type="headerRow" dxfId="739"/>
    </tableStyle>
    <tableStyle name="4W Style" pivot="0" table="0" count="1" xr9:uid="{00000000-0011-0000-FFFF-FFFF01000000}">
      <tableStyleElement type="wholeTable" dxfId="738"/>
    </tableStyle>
    <tableStyle name="CUSTOM" table="0" count="13" xr9:uid="{00000000-0011-0000-FFFF-FFFF02000000}">
      <tableStyleElement type="wholeTable" dxfId="737"/>
      <tableStyleElement type="headerRow" dxfId="736"/>
      <tableStyleElement type="totalRow" dxfId="735"/>
      <tableStyleElement type="firstColumn" dxfId="734"/>
      <tableStyleElement type="firstRowStripe" dxfId="733"/>
      <tableStyleElement type="secondRowStripe" dxfId="732"/>
      <tableStyleElement type="firstColumnStripe" dxfId="731"/>
      <tableStyleElement type="firstSubtotalRow" dxfId="730"/>
      <tableStyleElement type="secondSubtotalRow" dxfId="729"/>
      <tableStyleElement type="secondColumnSubheading" dxfId="728"/>
      <tableStyleElement type="thirdColumnSubheading" dxfId="727"/>
      <tableStyleElement type="firstRowSubheading" dxfId="726"/>
      <tableStyleElement type="secondRowSubheading" dxfId="725"/>
    </tableStyle>
    <tableStyle name="PivotStyleLight10 2" table="0" count="12" xr9:uid="{00000000-0011-0000-FFFF-FFFF03000000}">
      <tableStyleElement type="wholeTable" dxfId="724"/>
      <tableStyleElement type="headerRow" dxfId="723"/>
      <tableStyleElement type="totalRow" dxfId="722"/>
      <tableStyleElement type="firstColumn" dxfId="721"/>
      <tableStyleElement type="firstRowStripe" dxfId="720"/>
      <tableStyleElement type="firstColumnStripe" dxfId="719"/>
      <tableStyleElement type="firstSubtotalRow" dxfId="718"/>
      <tableStyleElement type="secondSubtotalRow" dxfId="717"/>
      <tableStyleElement type="secondColumnSubheading" dxfId="716"/>
      <tableStyleElement type="thirdColumnSubheading" dxfId="715"/>
      <tableStyleElement type="firstRowSubheading" dxfId="714"/>
      <tableStyleElement type="secondRowSubheading" dxfId="713"/>
    </tableStyle>
    <tableStyle name="PivotStyleLight14 2" table="0" count="12" xr9:uid="{00000000-0011-0000-FFFF-FFFF04000000}">
      <tableStyleElement type="wholeTable" dxfId="712"/>
      <tableStyleElement type="headerRow" dxfId="711"/>
      <tableStyleElement type="totalRow" dxfId="710"/>
      <tableStyleElement type="firstColumn" dxfId="709"/>
      <tableStyleElement type="firstRowStripe" dxfId="708"/>
      <tableStyleElement type="firstColumnStripe" dxfId="707"/>
      <tableStyleElement type="firstSubtotalRow" dxfId="706"/>
      <tableStyleElement type="secondSubtotalRow" dxfId="705"/>
      <tableStyleElement type="secondColumnSubheading" dxfId="704"/>
      <tableStyleElement type="thirdColumnSubheading" dxfId="703"/>
      <tableStyleElement type="firstRowSubheading" dxfId="702"/>
      <tableStyleElement type="secondRowSubheading" dxfId="701"/>
    </tableStyle>
    <tableStyle name="PivotStyleLight23 2" table="0" count="10" xr9:uid="{00000000-0011-0000-FFFF-FFFF05000000}">
      <tableStyleElement type="wholeTable" dxfId="700"/>
      <tableStyleElement type="headerRow" dxfId="699"/>
      <tableStyleElement type="totalRow" dxfId="698"/>
      <tableStyleElement type="firstColumn" dxfId="697"/>
      <tableStyleElement type="firstRowStripe" dxfId="696"/>
      <tableStyleElement type="firstColumnStripe" dxfId="695"/>
      <tableStyleElement type="firstSubtotalColumn" dxfId="694"/>
      <tableStyleElement type="firstSubtotalRow" dxfId="693"/>
      <tableStyleElement type="secondSubtotalRow" dxfId="692"/>
      <tableStyleElement type="pageFieldLabels" dxfId="691"/>
    </tableStyle>
    <tableStyle name="PivotStyleLight9 2" table="0" count="13" xr9:uid="{00000000-0011-0000-FFFF-FFFF06000000}">
      <tableStyleElement type="wholeTable" dxfId="690"/>
      <tableStyleElement type="headerRow" dxfId="689"/>
      <tableStyleElement type="totalRow" dxfId="688"/>
      <tableStyleElement type="firstColumn" dxfId="687"/>
      <tableStyleElement type="firstRowStripe" dxfId="686"/>
      <tableStyleElement type="secondRowStripe" dxfId="685"/>
      <tableStyleElement type="firstColumnStripe" dxfId="684"/>
      <tableStyleElement type="firstSubtotalRow" dxfId="683"/>
      <tableStyleElement type="secondSubtotalRow" dxfId="682"/>
      <tableStyleElement type="secondColumnSubheading" dxfId="681"/>
      <tableStyleElement type="thirdColumnSubheading" dxfId="680"/>
      <tableStyleElement type="firstRowSubheading" dxfId="679"/>
      <tableStyleElement type="secondRowSubheading" dxfId="678"/>
    </tableStyle>
    <tableStyle name="PivotTable Style 1" table="0" count="1" xr9:uid="{00000000-0011-0000-FFFF-FFFF07000000}">
      <tableStyleElement type="wholeTable" dxfId="677"/>
    </tableStyle>
    <tableStyle name="PivotTable Style a" table="0" count="7" xr9:uid="{00000000-0011-0000-FFFF-FFFF08000000}">
      <tableStyleElement type="wholeTable" dxfId="676"/>
      <tableStyleElement type="headerRow" dxfId="675"/>
      <tableStyleElement type="totalRow" dxfId="674"/>
      <tableStyleElement type="firstColumn" dxfId="673"/>
      <tableStyleElement type="secondSubtotalRow" dxfId="672"/>
      <tableStyleElement type="firstRowSubheading" dxfId="671"/>
      <tableStyleElement type="secondRowSubheading" dxfId="670"/>
    </tableStyle>
    <tableStyle name="Slicer Style 1" pivot="0" table="0" count="5" xr9:uid="{00000000-0011-0000-FFFF-FFFF09000000}">
      <tableStyleElement type="wholeTable" dxfId="669"/>
    </tableStyle>
  </tableStyles>
  <colors>
    <mruColors>
      <color rgb="FF44546A"/>
      <color rgb="FFD692D6"/>
      <color rgb="FFE4B6E4"/>
      <color rgb="FFD4E8C6"/>
      <color rgb="FF85C2FF"/>
      <color rgb="FF098A9B"/>
      <color rgb="FFFF898C"/>
      <color rgb="FFCDFF9B"/>
      <color rgb="FF009900"/>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07/relationships/slicerCache" Target="slicerCaches/slicerCache4.xml"/><Relationship Id="rId39" Type="http://schemas.openxmlformats.org/officeDocument/2006/relationships/styles" Target="styles.xml"/><Relationship Id="rId21" Type="http://schemas.openxmlformats.org/officeDocument/2006/relationships/externalLink" Target="externalLinks/externalLink6.xml"/><Relationship Id="rId34" Type="http://schemas.microsoft.com/office/2007/relationships/slicerCache" Target="slicerCaches/slicerCache1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microsoft.com/office/2007/relationships/slicerCache" Target="slicerCaches/slicerCache7.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32" Type="http://schemas.microsoft.com/office/2007/relationships/slicerCache" Target="slicerCaches/slicerCache10.xml"/><Relationship Id="rId37" Type="http://schemas.microsoft.com/office/2007/relationships/slicerCache" Target="slicerCaches/slicerCache1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microsoft.com/office/2007/relationships/slicerCache" Target="slicerCaches/slicerCache6.xml"/><Relationship Id="rId36" Type="http://schemas.microsoft.com/office/2007/relationships/slicerCache" Target="slicerCaches/slicerCache14.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microsoft.com/office/2007/relationships/slicerCache" Target="slicerCaches/slicerCache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5.xml"/><Relationship Id="rId30" Type="http://schemas.microsoft.com/office/2007/relationships/slicerCache" Target="slicerCaches/slicerCache8.xml"/><Relationship Id="rId35" Type="http://schemas.microsoft.com/office/2007/relationships/slicerCache" Target="slicerCaches/slicerCache1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07/relationships/slicerCache" Target="slicerCaches/slicerCache3.xml"/><Relationship Id="rId33" Type="http://schemas.microsoft.com/office/2007/relationships/slicerCache" Target="slicerCaches/slicerCache11.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women, men, boys and girls benefitting from safe/improved drinking water,r, meeting demand for domestic purposes, at minimum/agreed standards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HRP!$D$37</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HRP!$B$38:$B$39</c:f>
              <c:strCache>
                <c:ptCount val="2"/>
                <c:pt idx="0">
                  <c:v> Central Rakhine </c:v>
                </c:pt>
                <c:pt idx="1">
                  <c:v> Northern Rakhine </c:v>
                </c:pt>
              </c:strCache>
            </c:strRef>
          </c:cat>
          <c:val>
            <c:numRef>
              <c:f>HRP!$D$38:$D$39</c:f>
              <c:numCache>
                <c:formatCode>_(* #,##0_);_(* \(#,##0\);_(* "-"??_);_(@_)</c:formatCode>
                <c:ptCount val="2"/>
                <c:pt idx="0">
                  <c:v>53588</c:v>
                </c:pt>
                <c:pt idx="1">
                  <c:v>27546</c:v>
                </c:pt>
              </c:numCache>
            </c:numRef>
          </c:val>
          <c:extLst>
            <c:ext xmlns:c16="http://schemas.microsoft.com/office/drawing/2014/chart" uri="{C3380CC4-5D6E-409C-BE32-E72D297353CC}">
              <c16:uniqueId val="{00000001-B753-4CD1-A3E6-F95FDFA8B06B}"/>
            </c:ext>
          </c:extLst>
        </c:ser>
        <c:ser>
          <c:idx val="2"/>
          <c:order val="2"/>
          <c:tx>
            <c:strRef>
              <c:f>HRP!$E$37</c:f>
              <c:strCache>
                <c:ptCount val="1"/>
                <c:pt idx="0">
                  <c:v> Gap </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HRP!$B$38:$B$39</c:f>
              <c:strCache>
                <c:ptCount val="2"/>
                <c:pt idx="0">
                  <c:v> Central Rakhine </c:v>
                </c:pt>
                <c:pt idx="1">
                  <c:v> Northern Rakhine </c:v>
                </c:pt>
              </c:strCache>
            </c:strRef>
          </c:cat>
          <c:val>
            <c:numRef>
              <c:f>HRP!$E$38:$E$39</c:f>
              <c:numCache>
                <c:formatCode>_(* #,##0_);_(* \(#,##0\);_(* "-"??_);_(@_)</c:formatCode>
                <c:ptCount val="2"/>
                <c:pt idx="0">
                  <c:v>200884</c:v>
                </c:pt>
                <c:pt idx="1">
                  <c:v>88518</c:v>
                </c:pt>
              </c:numCache>
            </c:numRef>
          </c:val>
          <c:extLst>
            <c:ext xmlns:c16="http://schemas.microsoft.com/office/drawing/2014/chart" uri="{C3380CC4-5D6E-409C-BE32-E72D297353CC}">
              <c16:uniqueId val="{00000002-B753-4CD1-A3E6-F95FDFA8B06B}"/>
            </c:ext>
          </c:extLst>
        </c:ser>
        <c:dLbls>
          <c:showLegendKey val="0"/>
          <c:showVal val="0"/>
          <c:showCatName val="0"/>
          <c:showSerName val="0"/>
          <c:showPercent val="0"/>
          <c:showBubbleSize val="0"/>
        </c:dLbls>
        <c:gapWidth val="150"/>
        <c:overlap val="100"/>
        <c:axId val="99914656"/>
        <c:axId val="99911912"/>
        <c:extLst>
          <c:ext xmlns:c15="http://schemas.microsoft.com/office/drawing/2012/chart" uri="{02D57815-91ED-43cb-92C2-25804820EDAC}">
            <c15:filteredBarSeries>
              <c15:ser>
                <c:idx val="0"/>
                <c:order val="0"/>
                <c:tx>
                  <c:strRef>
                    <c:extLst>
                      <c:ext uri="{02D57815-91ED-43cb-92C2-25804820EDAC}">
                        <c15:formulaRef>
                          <c15:sqref>HRP!$C$37</c15:sqref>
                        </c15:formulaRef>
                      </c:ext>
                    </c:extLst>
                    <c:strCache>
                      <c:ptCount val="1"/>
                      <c:pt idx="0">
                        <c:v>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c:ext uri="{02D57815-91ED-43cb-92C2-25804820EDAC}">
                        <c15:formulaRef>
                          <c15:sqref>HRP!$B$38:$B$39</c15:sqref>
                        </c15:formulaRef>
                      </c:ext>
                    </c:extLst>
                    <c:strCache>
                      <c:ptCount val="2"/>
                      <c:pt idx="0">
                        <c:v> Central Rakhine </c:v>
                      </c:pt>
                      <c:pt idx="1">
                        <c:v> Northern Rakhine </c:v>
                      </c:pt>
                    </c:strCache>
                  </c:strRef>
                </c:cat>
                <c:val>
                  <c:numRef>
                    <c:extLst>
                      <c:ext uri="{02D57815-91ED-43cb-92C2-25804820EDAC}">
                        <c15:formulaRef>
                          <c15:sqref>HRP!$C$38:$C$39</c15:sqref>
                        </c15:formulaRef>
                      </c:ext>
                    </c:extLst>
                    <c:numCache>
                      <c:formatCode>_(* #,##0_);_(* \(#,##0\);_(* "-"??_);_(@_)</c:formatCode>
                      <c:ptCount val="2"/>
                      <c:pt idx="0">
                        <c:v>254472</c:v>
                      </c:pt>
                      <c:pt idx="1">
                        <c:v>116064</c:v>
                      </c:pt>
                    </c:numCache>
                  </c:numRef>
                </c:val>
                <c:extLst>
                  <c:ext xmlns:c16="http://schemas.microsoft.com/office/drawing/2014/chart" uri="{C3380CC4-5D6E-409C-BE32-E72D297353CC}">
                    <c16:uniqueId val="{00000000-B753-4CD1-A3E6-F95FDFA8B06B}"/>
                  </c:ext>
                </c:extLst>
              </c15:ser>
            </c15:filteredBarSeries>
          </c:ext>
        </c:extLst>
      </c:barChart>
      <c:catAx>
        <c:axId val="9991465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9911912"/>
        <c:crosses val="autoZero"/>
        <c:auto val="1"/>
        <c:lblAlgn val="ctr"/>
        <c:lblOffset val="100"/>
        <c:noMultiLvlLbl val="0"/>
      </c:catAx>
      <c:valAx>
        <c:axId val="999119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991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[20191105_Myanmar_WASH_4W_2019_Q3_Rakhine_Village_Consolidate.xlsx]Analysis!W_R_C_G_V</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Villages </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Analysis!$C$50</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Analysis!$B$51:$B$59</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Analysis!$C$51:$C$59</c:f>
              <c:numCache>
                <c:formatCode>0%</c:formatCode>
                <c:ptCount val="9"/>
                <c:pt idx="0">
                  <c:v>0.16050554460425234</c:v>
                </c:pt>
                <c:pt idx="1">
                  <c:v>9.3596059113300489E-2</c:v>
                </c:pt>
                <c:pt idx="2">
                  <c:v>0.96332320162107399</c:v>
                </c:pt>
                <c:pt idx="3">
                  <c:v>0.24206126395907418</c:v>
                </c:pt>
                <c:pt idx="4">
                  <c:v>0</c:v>
                </c:pt>
                <c:pt idx="5">
                  <c:v>0.93540524070688602</c:v>
                </c:pt>
                <c:pt idx="6">
                  <c:v>1</c:v>
                </c:pt>
                <c:pt idx="7">
                  <c:v>0.66461213027462707</c:v>
                </c:pt>
                <c:pt idx="8">
                  <c:v>9.2035694942356791E-2</c:v>
                </c:pt>
              </c:numCache>
            </c:numRef>
          </c:val>
          <c:extLst>
            <c:ext xmlns:c16="http://schemas.microsoft.com/office/drawing/2014/chart" uri="{C3380CC4-5D6E-409C-BE32-E72D297353CC}">
              <c16:uniqueId val="{00000000-4AEF-4AC0-873C-53D72C8FFA81}"/>
            </c:ext>
          </c:extLst>
        </c:ser>
        <c:ser>
          <c:idx val="1"/>
          <c:order val="1"/>
          <c:tx>
            <c:strRef>
              <c:f>Analysis!$D$50</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Analysis!$B$51:$B$59</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Analysis!$D$51:$D$59</c:f>
              <c:numCache>
                <c:formatCode>0%</c:formatCode>
                <c:ptCount val="9"/>
                <c:pt idx="0">
                  <c:v>0.83949445539574763</c:v>
                </c:pt>
                <c:pt idx="1">
                  <c:v>0.90640394088669951</c:v>
                </c:pt>
                <c:pt idx="2">
                  <c:v>3.6676798378926012E-2</c:v>
                </c:pt>
                <c:pt idx="3">
                  <c:v>0.75793873604092576</c:v>
                </c:pt>
                <c:pt idx="4">
                  <c:v>1</c:v>
                </c:pt>
                <c:pt idx="5">
                  <c:v>6.4594759293113979E-2</c:v>
                </c:pt>
                <c:pt idx="6">
                  <c:v>0</c:v>
                </c:pt>
                <c:pt idx="7">
                  <c:v>0.33538786972537293</c:v>
                </c:pt>
                <c:pt idx="8">
                  <c:v>0.90796430505764325</c:v>
                </c:pt>
              </c:numCache>
            </c:numRef>
          </c:val>
          <c:extLst>
            <c:ext xmlns:c16="http://schemas.microsoft.com/office/drawing/2014/chart" uri="{C3380CC4-5D6E-409C-BE32-E72D297353CC}">
              <c16:uniqueId val="{00000001-4AEF-4AC0-873C-53D72C8FFA81}"/>
            </c:ext>
          </c:extLst>
        </c:ser>
        <c:dLbls>
          <c:showLegendKey val="0"/>
          <c:showVal val="0"/>
          <c:showCatName val="0"/>
          <c:showSerName val="0"/>
          <c:showPercent val="0"/>
          <c:showBubbleSize val="0"/>
        </c:dLbls>
        <c:gapWidth val="150"/>
        <c:overlap val="100"/>
        <c:axId val="414767120"/>
        <c:axId val="414769864"/>
      </c:barChart>
      <c:catAx>
        <c:axId val="4147671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864"/>
        <c:crosses val="autoZero"/>
        <c:auto val="1"/>
        <c:lblAlgn val="ctr"/>
        <c:lblOffset val="100"/>
        <c:noMultiLvlLbl val="0"/>
      </c:catAx>
      <c:valAx>
        <c:axId val="4147698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[20191105_Myanmar_WASH_4W_2019_Q3_Rakhine_Village_Consolidate.xlsx]Analysis!K_L_CG_N</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 GAP in Villages</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Analysis!$C$98</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Analysis!$B$99:$B$107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Analysis!$C$99:$C$107</c:f>
              <c:numCache>
                <c:formatCode>0%</c:formatCode>
                <c:ptCount val="9"/>
                <c:pt idx="0">
                  <c:v>4.4681317076732133E-2</c:v>
                </c:pt>
                <c:pt idx="1">
                  <c:v>0.16603882932483338</c:v>
                </c:pt>
                <c:pt idx="2">
                  <c:v>0.58768996960486319</c:v>
                </c:pt>
                <c:pt idx="3">
                  <c:v>0.12227837045355293</c:v>
                </c:pt>
                <c:pt idx="4">
                  <c:v>0</c:v>
                </c:pt>
                <c:pt idx="5">
                  <c:v>0.54539914686166968</c:v>
                </c:pt>
                <c:pt idx="6">
                  <c:v>1</c:v>
                </c:pt>
                <c:pt idx="7">
                  <c:v>9.6684780626572819E-2</c:v>
                </c:pt>
                <c:pt idx="8">
                  <c:v>7.6277306372991511E-3</c:v>
                </c:pt>
              </c:numCache>
            </c:numRef>
          </c:val>
          <c:extLst>
            <c:ext xmlns:c16="http://schemas.microsoft.com/office/drawing/2014/chart" uri="{C3380CC4-5D6E-409C-BE32-E72D297353CC}">
              <c16:uniqueId val="{00000002-A2C5-47F5-BEF8-1740F1BB52EF}"/>
            </c:ext>
          </c:extLst>
        </c:ser>
        <c:ser>
          <c:idx val="1"/>
          <c:order val="1"/>
          <c:tx>
            <c:strRef>
              <c:f>Analysis!$D$98</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Analysis!$B$99:$B$107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Analysis!$D$99:$D$107</c:f>
              <c:numCache>
                <c:formatCode>0%</c:formatCode>
                <c:ptCount val="9"/>
                <c:pt idx="0">
                  <c:v>0.95531868292326783</c:v>
                </c:pt>
                <c:pt idx="1">
                  <c:v>0.83396117067516662</c:v>
                </c:pt>
                <c:pt idx="2">
                  <c:v>0.41231003039513681</c:v>
                </c:pt>
                <c:pt idx="3">
                  <c:v>0.87772162954644706</c:v>
                </c:pt>
                <c:pt idx="4">
                  <c:v>1</c:v>
                </c:pt>
                <c:pt idx="5">
                  <c:v>0.45460085313833032</c:v>
                </c:pt>
                <c:pt idx="6">
                  <c:v>0</c:v>
                </c:pt>
                <c:pt idx="7">
                  <c:v>0.90331521937342718</c:v>
                </c:pt>
                <c:pt idx="8">
                  <c:v>0.99237226936270084</c:v>
                </c:pt>
              </c:numCache>
            </c:numRef>
          </c:val>
          <c:extLst>
            <c:ext xmlns:c16="http://schemas.microsoft.com/office/drawing/2014/chart" uri="{C3380CC4-5D6E-409C-BE32-E72D297353CC}">
              <c16:uniqueId val="{00000003-A2C5-47F5-BEF8-1740F1BB52EF}"/>
            </c:ext>
          </c:extLst>
        </c:ser>
        <c:dLbls>
          <c:showLegendKey val="0"/>
          <c:showVal val="0"/>
          <c:showCatName val="0"/>
          <c:showSerName val="0"/>
          <c:showPercent val="0"/>
          <c:showBubbleSize val="0"/>
        </c:dLbls>
        <c:gapWidth val="150"/>
        <c:overlap val="100"/>
        <c:axId val="414769080"/>
        <c:axId val="414771040"/>
      </c:barChart>
      <c:catAx>
        <c:axId val="414769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414771040"/>
        <c:crosses val="autoZero"/>
        <c:auto val="1"/>
        <c:lblAlgn val="ctr"/>
        <c:lblOffset val="100"/>
        <c:noMultiLvlLbl val="0"/>
      </c:catAx>
      <c:valAx>
        <c:axId val="4147710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[20191105_Myanmar_WASH_4W_2019_Q3_Rakhine_Village_Consolidate.xlsx]Analysis!R_H_CG_V</c:name>
    <c:fmtId val="4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VS GAP in Villages </a:t>
            </a:r>
          </a:p>
          <a:p>
            <a:pPr>
              <a:defRPr sz="1400"/>
            </a:pPr>
            <a:r>
              <a:rPr lang="en-US" sz="1400" b="1" i="0" baseline="0">
                <a:effectLst/>
              </a:rPr>
              <a:t>in Rakhine</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Analysis!$C$158</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Analysis!$B$159:$B$167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Analysis!$C$159:$C$167</c:f>
              <c:numCache>
                <c:formatCode>0%</c:formatCode>
                <c:ptCount val="9"/>
                <c:pt idx="0">
                  <c:v>0.70845197245138836</c:v>
                </c:pt>
                <c:pt idx="1">
                  <c:v>4.8391770501303971E-2</c:v>
                </c:pt>
                <c:pt idx="2">
                  <c:v>0.10623100303951367</c:v>
                </c:pt>
                <c:pt idx="3">
                  <c:v>0.36337263709526485</c:v>
                </c:pt>
                <c:pt idx="4">
                  <c:v>0</c:v>
                </c:pt>
                <c:pt idx="5">
                  <c:v>1</c:v>
                </c:pt>
                <c:pt idx="6">
                  <c:v>1</c:v>
                </c:pt>
                <c:pt idx="7">
                  <c:v>0</c:v>
                </c:pt>
                <c:pt idx="8">
                  <c:v>8.3905037010290673E-2</c:v>
                </c:pt>
              </c:numCache>
            </c:numRef>
          </c:val>
          <c:extLst>
            <c:ext xmlns:c16="http://schemas.microsoft.com/office/drawing/2014/chart" uri="{C3380CC4-5D6E-409C-BE32-E72D297353CC}">
              <c16:uniqueId val="{00000002-97DD-4E5C-841F-7B40D9AB952B}"/>
            </c:ext>
          </c:extLst>
        </c:ser>
        <c:ser>
          <c:idx val="1"/>
          <c:order val="1"/>
          <c:tx>
            <c:strRef>
              <c:f>Analysis!$D$158</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Analysis!$B$159:$B$167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Analysis!$D$159:$D$167</c:f>
              <c:numCache>
                <c:formatCode>0%</c:formatCode>
                <c:ptCount val="9"/>
                <c:pt idx="0">
                  <c:v>0.29154802754861164</c:v>
                </c:pt>
                <c:pt idx="1">
                  <c:v>0.95160822949869606</c:v>
                </c:pt>
                <c:pt idx="2">
                  <c:v>0.89376899696048628</c:v>
                </c:pt>
                <c:pt idx="3">
                  <c:v>0.63662736290473521</c:v>
                </c:pt>
                <c:pt idx="4">
                  <c:v>1</c:v>
                </c:pt>
                <c:pt idx="5">
                  <c:v>0</c:v>
                </c:pt>
                <c:pt idx="6">
                  <c:v>0</c:v>
                </c:pt>
                <c:pt idx="7">
                  <c:v>1</c:v>
                </c:pt>
                <c:pt idx="8">
                  <c:v>0.91609496298970927</c:v>
                </c:pt>
              </c:numCache>
            </c:numRef>
          </c:val>
          <c:extLst>
            <c:ext xmlns:c16="http://schemas.microsoft.com/office/drawing/2014/chart" uri="{C3380CC4-5D6E-409C-BE32-E72D297353CC}">
              <c16:uniqueId val="{00000003-97DD-4E5C-841F-7B40D9AB952B}"/>
            </c:ext>
          </c:extLst>
        </c:ser>
        <c:dLbls>
          <c:showLegendKey val="0"/>
          <c:showVal val="0"/>
          <c:showCatName val="0"/>
          <c:showSerName val="0"/>
          <c:showPercent val="0"/>
          <c:showBubbleSize val="0"/>
        </c:dLbls>
        <c:gapWidth val="150"/>
        <c:overlap val="100"/>
        <c:axId val="415867648"/>
        <c:axId val="415867256"/>
      </c:barChart>
      <c:catAx>
        <c:axId val="415867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67256"/>
        <c:crosses val="autoZero"/>
        <c:auto val="1"/>
        <c:lblAlgn val="ctr"/>
        <c:lblOffset val="100"/>
        <c:noMultiLvlLbl val="0"/>
      </c:catAx>
      <c:valAx>
        <c:axId val="41586725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[20191105_Myanmar_WASH_4W_2019_Q3_Rakhine_Village_Consolidate.xlsx]Analysis!PivotTable2</c:name>
    <c:fmtId val="12"/>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village with school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bg1">
              <a:lumMod val="50000"/>
            </a:schemeClr>
          </a:solidFill>
          <a:ln>
            <a:noFill/>
          </a:ln>
          <a:effectLst/>
        </c:spPr>
      </c:pivotFmt>
      <c:pivotFmt>
        <c:idx val="2"/>
        <c:spPr>
          <a:solidFill>
            <a:schemeClr val="bg1">
              <a:lumMod val="85000"/>
            </a:schemeClr>
          </a:solidFill>
          <a:ln>
            <a:noFill/>
          </a:ln>
          <a:effectLst/>
        </c:spPr>
      </c:pivotFmt>
    </c:pivotFmts>
    <c:plotArea>
      <c:layout>
        <c:manualLayout>
          <c:layoutTarget val="inner"/>
          <c:xMode val="edge"/>
          <c:yMode val="edge"/>
          <c:x val="0.30256167979002624"/>
          <c:y val="0.19226669582968794"/>
          <c:w val="0.41987685914260719"/>
          <c:h val="0.69979476523767858"/>
        </c:manualLayout>
      </c:layout>
      <c:pieChart>
        <c:varyColors val="1"/>
        <c:ser>
          <c:idx val="0"/>
          <c:order val="0"/>
          <c:tx>
            <c:strRef>
              <c:f>Analysis!$D$262</c:f>
              <c:strCache>
                <c:ptCount val="1"/>
                <c:pt idx="0">
                  <c:v>Total</c:v>
                </c:pt>
              </c:strCache>
            </c:strRef>
          </c:tx>
          <c:dPt>
            <c:idx val="0"/>
            <c:bubble3D val="0"/>
            <c:spPr>
              <a:solidFill>
                <a:schemeClr val="bg1">
                  <a:lumMod val="50000"/>
                </a:schemeClr>
              </a:solidFill>
              <a:ln>
                <a:noFill/>
              </a:ln>
              <a:effectLst/>
            </c:spPr>
            <c:extLst>
              <c:ext xmlns:c16="http://schemas.microsoft.com/office/drawing/2014/chart" uri="{C3380CC4-5D6E-409C-BE32-E72D297353CC}">
                <c16:uniqueId val="{00000015-956E-48EE-8F3C-3FD7473B3BBA}"/>
              </c:ext>
            </c:extLst>
          </c:dPt>
          <c:dPt>
            <c:idx val="1"/>
            <c:bubble3D val="0"/>
            <c:spPr>
              <a:solidFill>
                <a:schemeClr val="bg1">
                  <a:lumMod val="85000"/>
                </a:schemeClr>
              </a:solidFill>
              <a:ln>
                <a:noFill/>
              </a:ln>
              <a:effectLst/>
            </c:spPr>
            <c:extLst>
              <c:ext xmlns:c16="http://schemas.microsoft.com/office/drawing/2014/chart" uri="{C3380CC4-5D6E-409C-BE32-E72D297353CC}">
                <c16:uniqueId val="{0000001A-956E-48EE-8F3C-3FD7473B3BB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Analysis!$C$263:$C$264</c:f>
              <c:strCache>
                <c:ptCount val="2"/>
                <c:pt idx="0">
                  <c:v>Yes</c:v>
                </c:pt>
                <c:pt idx="1">
                  <c:v>No</c:v>
                </c:pt>
              </c:strCache>
            </c:strRef>
          </c:cat>
          <c:val>
            <c:numRef>
              <c:f>Analysis!$D$263:$D$264</c:f>
              <c:numCache>
                <c:formatCode>_(* #,##0_);_(* \(#,##0\);_(* "-"??_);_(@_)</c:formatCode>
                <c:ptCount val="2"/>
                <c:pt idx="0">
                  <c:v>117</c:v>
                </c:pt>
                <c:pt idx="1">
                  <c:v>142</c:v>
                </c:pt>
              </c:numCache>
            </c:numRef>
          </c:val>
          <c:extLst>
            <c:ext xmlns:c16="http://schemas.microsoft.com/office/drawing/2014/chart" uri="{C3380CC4-5D6E-409C-BE32-E72D297353CC}">
              <c16:uniqueId val="{0000000C-956E-48EE-8F3C-3FD7473B3BB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ofPieChart>
        <c:ofPieType val="pie"/>
        <c:varyColors val="1"/>
        <c:ser>
          <c:idx val="0"/>
          <c:order val="0"/>
          <c:dPt>
            <c:idx val="0"/>
            <c:bubble3D val="0"/>
            <c:spPr>
              <a:solidFill>
                <a:srgbClr val="E4B6E4"/>
              </a:solidFill>
              <a:ln>
                <a:noFill/>
              </a:ln>
              <a:effectLst/>
            </c:spPr>
            <c:extLst>
              <c:ext xmlns:c16="http://schemas.microsoft.com/office/drawing/2014/chart" uri="{C3380CC4-5D6E-409C-BE32-E72D297353CC}">
                <c16:uniqueId val="{00000001-B27E-42FB-B078-AA2BBAA3A4AF}"/>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2-B27E-42FB-B078-AA2BBAA3A4AF}"/>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B-B27E-42FB-B078-AA2BBAA3A4AF}"/>
              </c:ext>
            </c:extLst>
          </c:dPt>
          <c:dPt>
            <c:idx val="3"/>
            <c:bubble3D val="0"/>
            <c:spPr>
              <a:solidFill>
                <a:schemeClr val="accent2">
                  <a:lumMod val="50000"/>
                </a:schemeClr>
              </a:solidFill>
              <a:ln>
                <a:noFill/>
              </a:ln>
              <a:effectLst/>
            </c:spPr>
            <c:extLst>
              <c:ext xmlns:c16="http://schemas.microsoft.com/office/drawing/2014/chart" uri="{C3380CC4-5D6E-409C-BE32-E72D297353CC}">
                <c16:uniqueId val="{00000010-B27E-42FB-B078-AA2BBAA3A4AF}"/>
              </c:ext>
            </c:extLst>
          </c:dPt>
          <c:dPt>
            <c:idx val="4"/>
            <c:bubble3D val="0"/>
            <c:spPr>
              <a:solidFill>
                <a:srgbClr val="7030A0"/>
              </a:solidFill>
              <a:ln>
                <a:noFill/>
              </a:ln>
              <a:effectLst/>
            </c:spPr>
            <c:extLst>
              <c:ext xmlns:c16="http://schemas.microsoft.com/office/drawing/2014/chart" uri="{C3380CC4-5D6E-409C-BE32-E72D297353CC}">
                <c16:uniqueId val="{00000008-BDC3-4C61-A6DA-51AA4253D0FA}"/>
              </c:ext>
            </c:extLst>
          </c:dPt>
          <c:dLbls>
            <c:dLbl>
              <c:idx val="0"/>
              <c:layout>
                <c:manualLayout>
                  <c:x val="0.12335148731408571"/>
                  <c:y val="-3.64114902303878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7E-42FB-B078-AA2BBAA3A4AF}"/>
                </c:ext>
              </c:extLst>
            </c:dLbl>
            <c:dLbl>
              <c:idx val="1"/>
              <c:layout>
                <c:manualLayout>
                  <c:x val="0.13564960629921249"/>
                  <c:y val="-7.86074657334500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27E-42FB-B078-AA2BBAA3A4AF}"/>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27E-42FB-B078-AA2BBAA3A4AF}"/>
                </c:ext>
              </c:extLst>
            </c:dLbl>
            <c:dLbl>
              <c:idx val="3"/>
              <c:layout>
                <c:manualLayout>
                  <c:x val="-6.3331022893477057E-2"/>
                  <c:y val="-0.1390583252417843"/>
                </c:manualLayout>
              </c:layout>
              <c:tx>
                <c:rich>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fld id="{681C728E-7085-4BDE-8881-35137157971A}" type="PERCENTAGE">
                      <a:rPr lang="en-US" baseline="0">
                        <a:solidFill>
                          <a:schemeClr val="bg1"/>
                        </a:solidFill>
                      </a:rPr>
                      <a:pPr>
                        <a:defRPr sz="1200">
                          <a:solidFill>
                            <a:schemeClr val="bg1"/>
                          </a:solidFill>
                        </a:defRPr>
                      </a:pPr>
                      <a:t>[PERCENTAGE]</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8.2555537498788814E-2"/>
                      <c:h val="0.1980698659574669"/>
                    </c:manualLayout>
                  </c15:layout>
                  <c15:dlblFieldTable/>
                  <c15:showDataLabelsRange val="0"/>
                </c:ext>
                <c:ext xmlns:c16="http://schemas.microsoft.com/office/drawing/2014/chart" uri="{C3380CC4-5D6E-409C-BE32-E72D297353CC}">
                  <c16:uniqueId val="{00000010-B27E-42FB-B078-AA2BBAA3A4AF}"/>
                </c:ext>
              </c:extLst>
            </c:dLbl>
            <c:dLbl>
              <c:idx val="4"/>
              <c:layout>
                <c:manualLayout>
                  <c:x val="-0.17315514585408009"/>
                  <c:y val="5.6164307952861023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r>
                      <a:rPr lang="en-US"/>
                      <a:t>Village With School</a:t>
                    </a:r>
                    <a:r>
                      <a:rPr lang="en-US" baseline="0"/>
                      <a:t>
</a:t>
                    </a:r>
                    <a:fld id="{0E71715D-DE55-4321-B78F-549DC05D3BE8}" type="PERCENTAGE">
                      <a:rPr lang="en-US" baseline="0"/>
                      <a:pPr>
                        <a:defRPr sz="1200">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BDC3-4C61-A6DA-51AA4253D0F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Analysis!$I$92:$L$92</c:f>
              <c:strCache>
                <c:ptCount val="4"/>
                <c:pt idx="0">
                  <c:v> Village With No School </c:v>
                </c:pt>
                <c:pt idx="1">
                  <c:v> No drainage in school compound </c:v>
                </c:pt>
                <c:pt idx="2">
                  <c:v> Drainage in school compound </c:v>
                </c:pt>
                <c:pt idx="3">
                  <c:v>NA</c:v>
                </c:pt>
              </c:strCache>
            </c:strRef>
          </c:cat>
          <c:val>
            <c:numRef>
              <c:f>Analysis!$I$93:$L$93</c:f>
              <c:numCache>
                <c:formatCode>_(* #,##0_);_(* \(#,##0\);_(* "-"??_);_(@_)</c:formatCode>
                <c:ptCount val="4"/>
                <c:pt idx="0">
                  <c:v>142</c:v>
                </c:pt>
                <c:pt idx="1">
                  <c:v>79</c:v>
                </c:pt>
                <c:pt idx="2">
                  <c:v>28</c:v>
                </c:pt>
                <c:pt idx="3" formatCode="General">
                  <c:v>10</c:v>
                </c:pt>
              </c:numCache>
            </c:numRef>
          </c:val>
          <c:extLst>
            <c:ext xmlns:c16="http://schemas.microsoft.com/office/drawing/2014/chart" uri="{C3380CC4-5D6E-409C-BE32-E72D297353CC}">
              <c16:uniqueId val="{00000000-B27E-42FB-B078-AA2BBAA3A4AF}"/>
            </c:ext>
          </c:extLst>
        </c:ser>
        <c:dLbls>
          <c:showLegendKey val="0"/>
          <c:showVal val="0"/>
          <c:showCatName val="0"/>
          <c:showSerName val="0"/>
          <c:showPercent val="0"/>
          <c:showBubbleSize val="0"/>
          <c:showLeaderLines val="0"/>
        </c:dLbls>
        <c:gapWidth val="100"/>
        <c:splitType val="cust"/>
        <c:custSplit>
          <c:secondPiePt val="1"/>
          <c:secondPiePt val="2"/>
          <c:secondPiePt val="3"/>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in School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472E-424E-942E-565B7324466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9-472E-424E-942E-565B7324466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(Analysis!$E$115,Analysis!$E$117)</c:f>
              <c:strCache>
                <c:ptCount val="2"/>
                <c:pt idx="0">
                  <c:v>Coverage</c:v>
                </c:pt>
                <c:pt idx="1">
                  <c:v>Gap</c:v>
                </c:pt>
              </c:strCache>
            </c:strRef>
          </c:cat>
          <c:val>
            <c:numRef>
              <c:f>(Analysis!$F$115,Analysis!$F$117)</c:f>
              <c:numCache>
                <c:formatCode>_(* #,##0_);_(* \(#,##0\);_(* "-"??_);_(@_)</c:formatCode>
                <c:ptCount val="2"/>
                <c:pt idx="0">
                  <c:v>225</c:v>
                </c:pt>
                <c:pt idx="1">
                  <c:v>1903.62</c:v>
                </c:pt>
              </c:numCache>
            </c:numRef>
          </c:val>
          <c:extLst>
            <c:ext xmlns:c16="http://schemas.microsoft.com/office/drawing/2014/chart" uri="{C3380CC4-5D6E-409C-BE32-E72D297353CC}">
              <c16:uniqueId val="{00000000-472E-424E-942E-565B7324466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[20191105_Myanmar_WASH_4W_2019_Q3_Rakhine_Village_Consolidate.xlsx]Analysis!PivotTable5</c:name>
    <c:fmtId val="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Students received appropriate</a:t>
            </a:r>
            <a:r>
              <a:rPr lang="en-US" sz="1400" baseline="0"/>
              <a:t> hygiene messages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5942279090113737"/>
              <c:y val="1.662401574803149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260761154855643"/>
              <c:y val="8.4922717993584137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pieChart>
        <c:varyColors val="1"/>
        <c:ser>
          <c:idx val="0"/>
          <c:order val="0"/>
          <c:tx>
            <c:strRef>
              <c:f>Analysis!$C$141</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2-0AE3-48F3-A5CE-E2623C17D9A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1-0AE3-48F3-A5CE-E2623C17D9A4}"/>
              </c:ext>
            </c:extLst>
          </c:dPt>
          <c:dLbls>
            <c:dLbl>
              <c:idx val="0"/>
              <c:layout>
                <c:manualLayout>
                  <c:x val="-0.1260761154855643"/>
                  <c:y val="8.492271799358413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E3-48F3-A5CE-E2623C17D9A4}"/>
                </c:ext>
              </c:extLst>
            </c:dLbl>
            <c:dLbl>
              <c:idx val="1"/>
              <c:layout>
                <c:manualLayout>
                  <c:x val="0.15942279090113737"/>
                  <c:y val="1.662401574803149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E3-48F3-A5CE-E2623C17D9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Analysis!$B$142:$B$143</c:f>
              <c:strCache>
                <c:ptCount val="2"/>
                <c:pt idx="0">
                  <c:v>Boys</c:v>
                </c:pt>
                <c:pt idx="1">
                  <c:v>Girls</c:v>
                </c:pt>
              </c:strCache>
            </c:strRef>
          </c:cat>
          <c:val>
            <c:numRef>
              <c:f>Analysis!$C$142:$C$143</c:f>
              <c:numCache>
                <c:formatCode>General</c:formatCode>
                <c:ptCount val="2"/>
                <c:pt idx="0">
                  <c:v>3424</c:v>
                </c:pt>
                <c:pt idx="1">
                  <c:v>3181</c:v>
                </c:pt>
              </c:numCache>
            </c:numRef>
          </c:val>
          <c:extLst>
            <c:ext xmlns:c16="http://schemas.microsoft.com/office/drawing/2014/chart" uri="{C3380CC4-5D6E-409C-BE32-E72D297353CC}">
              <c16:uniqueId val="{00000000-0AE3-48F3-A5CE-E2623C17D9A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people who</a:t>
            </a:r>
            <a:r>
              <a:rPr lang="en-US" baseline="0"/>
              <a:t> received appropriate hygiene messages in non-IDP sites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6-00A4-4427-9F03-1C8EEFD64B6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14-00A4-4427-9F03-1C8EEFD64B6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A-00A4-4427-9F03-1C8EEFD64B6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21-00A4-4427-9F03-1C8EEFD64B6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27-00A4-4427-9F03-1C8EEFD64B6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C-00A4-4427-9F03-1C8EEFD64B67}"/>
              </c:ext>
            </c:extLst>
          </c:dPt>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14-00A4-4427-9F03-1C8EEFD64B67}"/>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1A-00A4-4427-9F03-1C8EEFD64B67}"/>
                </c:ext>
              </c:extLst>
            </c:dLbl>
            <c:dLbl>
              <c:idx val="3"/>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21-00A4-4427-9F03-1C8EEFD64B67}"/>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27-00A4-4427-9F03-1C8EEFD64B6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Analysis!$E$128:$I$128</c:f>
              <c:strCache>
                <c:ptCount val="5"/>
                <c:pt idx="0">
                  <c:v>No Reached</c:v>
                </c:pt>
                <c:pt idx="1">
                  <c:v>Men</c:v>
                </c:pt>
                <c:pt idx="2">
                  <c:v>Women</c:v>
                </c:pt>
                <c:pt idx="3">
                  <c:v>Boys</c:v>
                </c:pt>
                <c:pt idx="4">
                  <c:v>Girls</c:v>
                </c:pt>
              </c:strCache>
            </c:strRef>
          </c:cat>
          <c:val>
            <c:numRef>
              <c:f>Analysis!$E$129:$I$129</c:f>
              <c:numCache>
                <c:formatCode>General</c:formatCode>
                <c:ptCount val="5"/>
                <c:pt idx="0">
                  <c:v>382068</c:v>
                </c:pt>
                <c:pt idx="1">
                  <c:v>576</c:v>
                </c:pt>
                <c:pt idx="2">
                  <c:v>2883</c:v>
                </c:pt>
                <c:pt idx="3">
                  <c:v>815</c:v>
                </c:pt>
                <c:pt idx="4">
                  <c:v>1512</c:v>
                </c:pt>
              </c:numCache>
            </c:numRef>
          </c:val>
          <c:extLst>
            <c:ext xmlns:c16="http://schemas.microsoft.com/office/drawing/2014/chart" uri="{C3380CC4-5D6E-409C-BE32-E72D297353CC}">
              <c16:uniqueId val="{00000000-00A4-4427-9F03-1C8EEFD64B6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Dashboard'!$A$30:$B$42</c:f>
              <c:multiLvlStrCache>
                <c:ptCount val="10"/>
                <c:lvl>
                  <c:pt idx="0">
                    <c:v>Kyaukpyu</c:v>
                  </c:pt>
                  <c:pt idx="1">
                    <c:v>Kyauktaw</c:v>
                  </c:pt>
                  <c:pt idx="2">
                    <c:v>Minbya</c:v>
                  </c:pt>
                  <c:pt idx="3">
                    <c:v>Mrauk-U</c:v>
                  </c:pt>
                  <c:pt idx="4">
                    <c:v>Myebon</c:v>
                  </c:pt>
                  <c:pt idx="5">
                    <c:v>Pauktaw</c:v>
                  </c:pt>
                  <c:pt idx="6">
                    <c:v>Sittwe</c:v>
                  </c:pt>
                  <c:pt idx="7">
                    <c:v>Buthidaung</c:v>
                  </c:pt>
                  <c:pt idx="8">
                    <c:v>Maungdaw</c:v>
                  </c:pt>
                  <c:pt idx="9">
                    <c:v>Rathedaung</c:v>
                  </c:pt>
                </c:lvl>
                <c:lvl>
                  <c:pt idx="0">
                    <c:v>Central Rakhine</c:v>
                  </c:pt>
                  <c:pt idx="7">
                    <c:v>Northern Rakhine</c:v>
                  </c:pt>
                </c:lvl>
              </c:multiLvlStrCache>
            </c:multiLvlStrRef>
          </c:cat>
          <c:val>
            <c:numRef>
              <c:f>'Quarterly Dashboard'!$C$30:$C$42</c:f>
              <c:numCache>
                <c:formatCode>General</c:formatCode>
                <c:ptCount val="10"/>
                <c:pt idx="0">
                  <c:v>3451</c:v>
                </c:pt>
                <c:pt idx="1">
                  <c:v>22821</c:v>
                </c:pt>
                <c:pt idx="2">
                  <c:v>26386</c:v>
                </c:pt>
                <c:pt idx="3">
                  <c:v>1641</c:v>
                </c:pt>
                <c:pt idx="4">
                  <c:v>217</c:v>
                </c:pt>
                <c:pt idx="5">
                  <c:v>27419</c:v>
                </c:pt>
                <c:pt idx="6">
                  <c:v>155092</c:v>
                </c:pt>
                <c:pt idx="7">
                  <c:v>123273</c:v>
                </c:pt>
                <c:pt idx="8">
                  <c:v>32058</c:v>
                </c:pt>
                <c:pt idx="9">
                  <c:v>4303</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Dashboard'!$A$30:$B$42</c:f>
              <c:multiLvlStrCache>
                <c:ptCount val="10"/>
                <c:lvl>
                  <c:pt idx="0">
                    <c:v>Kyaukpyu</c:v>
                  </c:pt>
                  <c:pt idx="1">
                    <c:v>Kyauktaw</c:v>
                  </c:pt>
                  <c:pt idx="2">
                    <c:v>Minbya</c:v>
                  </c:pt>
                  <c:pt idx="3">
                    <c:v>Mrauk-U</c:v>
                  </c:pt>
                  <c:pt idx="4">
                    <c:v>Myebon</c:v>
                  </c:pt>
                  <c:pt idx="5">
                    <c:v>Pauktaw</c:v>
                  </c:pt>
                  <c:pt idx="6">
                    <c:v>Sittwe</c:v>
                  </c:pt>
                  <c:pt idx="7">
                    <c:v>Buthidaung</c:v>
                  </c:pt>
                  <c:pt idx="8">
                    <c:v>Maungdaw</c:v>
                  </c:pt>
                  <c:pt idx="9">
                    <c:v>Rathedaung</c:v>
                  </c:pt>
                </c:lvl>
                <c:lvl>
                  <c:pt idx="0">
                    <c:v>Central Rakhine</c:v>
                  </c:pt>
                  <c:pt idx="7">
                    <c:v>Northern Rakhine</c:v>
                  </c:pt>
                </c:lvl>
              </c:multiLvlStrCache>
            </c:multiLvlStrRef>
          </c:cat>
          <c:val>
            <c:numRef>
              <c:f>'Quarterly Dashboard'!$D$30:$D$42</c:f>
              <c:numCache>
                <c:formatCode>General</c:formatCode>
                <c:ptCount val="10"/>
                <c:pt idx="0">
                  <c:v>167</c:v>
                </c:pt>
                <c:pt idx="1">
                  <c:v>2097</c:v>
                </c:pt>
                <c:pt idx="2">
                  <c:v>0</c:v>
                </c:pt>
                <c:pt idx="3">
                  <c:v>1641</c:v>
                </c:pt>
                <c:pt idx="4">
                  <c:v>217</c:v>
                </c:pt>
                <c:pt idx="5">
                  <c:v>0</c:v>
                </c:pt>
                <c:pt idx="6">
                  <c:v>13013</c:v>
                </c:pt>
                <c:pt idx="7">
                  <c:v>87333</c:v>
                </c:pt>
                <c:pt idx="8">
                  <c:v>11649</c:v>
                </c:pt>
                <c:pt idx="9">
                  <c:v>0</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Dashboard'!$A$30:$B$42</c:f>
              <c:multiLvlStrCache>
                <c:ptCount val="10"/>
                <c:lvl>
                  <c:pt idx="0">
                    <c:v>Kyaukpyu</c:v>
                  </c:pt>
                  <c:pt idx="1">
                    <c:v>Kyauktaw</c:v>
                  </c:pt>
                  <c:pt idx="2">
                    <c:v>Minbya</c:v>
                  </c:pt>
                  <c:pt idx="3">
                    <c:v>Mrauk-U</c:v>
                  </c:pt>
                  <c:pt idx="4">
                    <c:v>Myebon</c:v>
                  </c:pt>
                  <c:pt idx="5">
                    <c:v>Pauktaw</c:v>
                  </c:pt>
                  <c:pt idx="6">
                    <c:v>Sittwe</c:v>
                  </c:pt>
                  <c:pt idx="7">
                    <c:v>Buthidaung</c:v>
                  </c:pt>
                  <c:pt idx="8">
                    <c:v>Maungdaw</c:v>
                  </c:pt>
                  <c:pt idx="9">
                    <c:v>Rathedaung</c:v>
                  </c:pt>
                </c:lvl>
                <c:lvl>
                  <c:pt idx="0">
                    <c:v>Central Rakhine</c:v>
                  </c:pt>
                  <c:pt idx="7">
                    <c:v>Northern Rakhine</c:v>
                  </c:pt>
                </c:lvl>
              </c:multiLvlStrCache>
            </c:multiLvlStrRef>
          </c:cat>
          <c:val>
            <c:numRef>
              <c:f>'Quarterly Dashboard'!$E$30:$E$42</c:f>
              <c:numCache>
                <c:formatCode>General</c:formatCode>
                <c:ptCount val="10"/>
                <c:pt idx="0">
                  <c:v>573</c:v>
                </c:pt>
                <c:pt idx="1">
                  <c:v>11601</c:v>
                </c:pt>
                <c:pt idx="2">
                  <c:v>0</c:v>
                </c:pt>
                <c:pt idx="3">
                  <c:v>895</c:v>
                </c:pt>
                <c:pt idx="4">
                  <c:v>217</c:v>
                </c:pt>
                <c:pt idx="5">
                  <c:v>2651</c:v>
                </c:pt>
                <c:pt idx="6">
                  <c:v>1183</c:v>
                </c:pt>
                <c:pt idx="7">
                  <c:v>5508</c:v>
                </c:pt>
                <c:pt idx="8">
                  <c:v>3920</c:v>
                </c:pt>
                <c:pt idx="9">
                  <c:v>0</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Dashboard'!$A$30:$B$42</c:f>
              <c:multiLvlStrCache>
                <c:ptCount val="10"/>
                <c:lvl>
                  <c:pt idx="0">
                    <c:v>Kyaukpyu</c:v>
                  </c:pt>
                  <c:pt idx="1">
                    <c:v>Kyauktaw</c:v>
                  </c:pt>
                  <c:pt idx="2">
                    <c:v>Minbya</c:v>
                  </c:pt>
                  <c:pt idx="3">
                    <c:v>Mrauk-U</c:v>
                  </c:pt>
                  <c:pt idx="4">
                    <c:v>Myebon</c:v>
                  </c:pt>
                  <c:pt idx="5">
                    <c:v>Pauktaw</c:v>
                  </c:pt>
                  <c:pt idx="6">
                    <c:v>Sittwe</c:v>
                  </c:pt>
                  <c:pt idx="7">
                    <c:v>Buthidaung</c:v>
                  </c:pt>
                  <c:pt idx="8">
                    <c:v>Maungdaw</c:v>
                  </c:pt>
                  <c:pt idx="9">
                    <c:v>Rathedaung</c:v>
                  </c:pt>
                </c:lvl>
                <c:lvl>
                  <c:pt idx="0">
                    <c:v>Central Rakhine</c:v>
                  </c:pt>
                  <c:pt idx="7">
                    <c:v>Northern Rakhine</c:v>
                  </c:pt>
                </c:lvl>
              </c:multiLvlStrCache>
            </c:multiLvlStrRef>
          </c:cat>
          <c:val>
            <c:numRef>
              <c:f>'Quarterly Dashboard'!$F$30:$F$42</c:f>
              <c:numCache>
                <c:formatCode>General</c:formatCode>
                <c:ptCount val="10"/>
                <c:pt idx="0">
                  <c:v>323</c:v>
                </c:pt>
                <c:pt idx="1">
                  <c:v>19016</c:v>
                </c:pt>
                <c:pt idx="2">
                  <c:v>0</c:v>
                </c:pt>
                <c:pt idx="3">
                  <c:v>1535</c:v>
                </c:pt>
                <c:pt idx="4">
                  <c:v>217</c:v>
                </c:pt>
                <c:pt idx="5">
                  <c:v>18223</c:v>
                </c:pt>
                <c:pt idx="6">
                  <c:v>14274</c:v>
                </c:pt>
                <c:pt idx="7">
                  <c:v>19786</c:v>
                </c:pt>
                <c:pt idx="8">
                  <c:v>7760</c:v>
                </c:pt>
                <c:pt idx="9">
                  <c:v>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Accessed to displaced sites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7007537143726971E-2"/>
          <c:y val="0.12619424355319728"/>
          <c:w val="0.48044717003470283"/>
          <c:h val="0.70644506472590229"/>
        </c:manualLayout>
      </c:layout>
      <c:pieChart>
        <c:varyColors val="1"/>
        <c:ser>
          <c:idx val="0"/>
          <c:order val="0"/>
          <c:tx>
            <c:strRef>
              <c:f>'[5]back end'!$A$56</c:f>
              <c:strCache>
                <c:ptCount val="1"/>
                <c:pt idx="0">
                  <c:v> Assessed to displaced sites</c:v>
                </c:pt>
              </c:strCache>
            </c:strRef>
          </c:tx>
          <c:dPt>
            <c:idx val="0"/>
            <c:bubble3D val="0"/>
            <c:spPr>
              <a:solidFill>
                <a:schemeClr val="accent4">
                  <a:lumMod val="60000"/>
                  <a:lumOff val="40000"/>
                </a:schemeClr>
              </a:solidFill>
              <a:ln>
                <a:noFill/>
              </a:ln>
              <a:effectLst/>
            </c:spPr>
            <c:extLst>
              <c:ext xmlns:c16="http://schemas.microsoft.com/office/drawing/2014/chart" uri="{C3380CC4-5D6E-409C-BE32-E72D297353CC}">
                <c16:uniqueId val="{00000001-5E1F-4A22-8D8F-544ECF7D0C0C}"/>
              </c:ext>
            </c:extLst>
          </c:dPt>
          <c:dPt>
            <c:idx val="1"/>
            <c:bubble3D val="0"/>
            <c:spPr>
              <a:solidFill>
                <a:schemeClr val="accent6">
                  <a:lumMod val="60000"/>
                  <a:lumOff val="40000"/>
                </a:schemeClr>
              </a:solidFill>
              <a:ln>
                <a:noFill/>
              </a:ln>
              <a:effectLst/>
            </c:spPr>
            <c:extLst>
              <c:ext xmlns:c16="http://schemas.microsoft.com/office/drawing/2014/chart" uri="{C3380CC4-5D6E-409C-BE32-E72D297353CC}">
                <c16:uniqueId val="{00000003-5E1F-4A22-8D8F-544ECF7D0C0C}"/>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5E1F-4A22-8D8F-544ECF7D0C0C}"/>
              </c:ext>
            </c:extLst>
          </c:dPt>
          <c:dLbls>
            <c:dLbl>
              <c:idx val="1"/>
              <c:layout>
                <c:manualLayout>
                  <c:x val="0.16906994049542248"/>
                  <c:y val="-4.25487846627867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1F-4A22-8D8F-544ECF7D0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'[5]back end'!$B$55:$D$55</c:f>
              <c:strCache>
                <c:ptCount val="3"/>
                <c:pt idx="0">
                  <c:v>No Access</c:v>
                </c:pt>
                <c:pt idx="1">
                  <c:v>Yes (no restricted access)</c:v>
                </c:pt>
              </c:strCache>
            </c:strRef>
          </c:cat>
          <c:val>
            <c:numRef>
              <c:f>'[5]back end'!$B$56:$D$56</c:f>
              <c:numCache>
                <c:formatCode>General</c:formatCode>
                <c:ptCount val="3"/>
                <c:pt idx="0">
                  <c:v>0.35294117647058826</c:v>
                </c:pt>
                <c:pt idx="1">
                  <c:v>0.6470588235294118</c:v>
                </c:pt>
              </c:numCache>
            </c:numRef>
          </c:val>
          <c:extLst>
            <c:ext xmlns:c16="http://schemas.microsoft.com/office/drawing/2014/chart" uri="{C3380CC4-5D6E-409C-BE32-E72D297353CC}">
              <c16:uniqueId val="{00000006-5E1F-4A22-8D8F-544ECF7D0C0C}"/>
            </c:ext>
          </c:extLst>
        </c:ser>
        <c:dLbls>
          <c:showLegendKey val="0"/>
          <c:showVal val="0"/>
          <c:showCatName val="0"/>
          <c:showSerName val="0"/>
          <c:showPercent val="0"/>
          <c:showBubbleSize val="0"/>
          <c:showLeaderLines val="1"/>
        </c:dLbls>
        <c:firstSliceAng val="0"/>
      </c:pieChart>
      <c:spPr>
        <a:noFill/>
        <a:ln>
          <a:noFill/>
        </a:ln>
        <a:effectLst/>
      </c:spPr>
    </c:plotArea>
    <c:legend>
      <c:legendPos val="r"/>
      <c:legendEntry>
        <c:idx val="2"/>
        <c:delete val="1"/>
      </c:legendEntry>
      <c:layout>
        <c:manualLayout>
          <c:xMode val="edge"/>
          <c:yMode val="edge"/>
          <c:x val="0.62926643657208881"/>
          <c:y val="0.26542408989327265"/>
          <c:w val="0.35555329777326228"/>
          <c:h val="0.421512562919025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targeted women, men, boys and girls benefitting from a functional excreta disposal system, reducing safety/public health/environmental risks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99611433187358"/>
          <c:y val="0.19293936967452446"/>
          <c:w val="0.7620820099429455"/>
          <c:h val="0.58049472233895127"/>
        </c:manualLayout>
      </c:layout>
      <c:barChart>
        <c:barDir val="bar"/>
        <c:grouping val="percentStacked"/>
        <c:varyColors val="0"/>
        <c:ser>
          <c:idx val="1"/>
          <c:order val="1"/>
          <c:tx>
            <c:strRef>
              <c:f>HRP!$D$47</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HRP!$B$48:$B$49</c:f>
              <c:strCache>
                <c:ptCount val="2"/>
                <c:pt idx="0">
                  <c:v> Central Rakhine </c:v>
                </c:pt>
                <c:pt idx="1">
                  <c:v> Northern Rakhine </c:v>
                </c:pt>
              </c:strCache>
            </c:strRef>
          </c:cat>
          <c:val>
            <c:numRef>
              <c:f>HRP!$D$48:$D$49</c:f>
              <c:numCache>
                <c:formatCode>_(* #,##0_);_(* \(#,##0\);_(* "-"??_);_(@_)</c:formatCode>
                <c:ptCount val="2"/>
                <c:pt idx="0">
                  <c:v>17120</c:v>
                </c:pt>
                <c:pt idx="1">
                  <c:v>9428</c:v>
                </c:pt>
              </c:numCache>
            </c:numRef>
          </c:val>
          <c:extLst>
            <c:ext xmlns:c16="http://schemas.microsoft.com/office/drawing/2014/chart" uri="{C3380CC4-5D6E-409C-BE32-E72D297353CC}">
              <c16:uniqueId val="{00000001-BE9A-4C55-91C4-9996C6CCA354}"/>
            </c:ext>
          </c:extLst>
        </c:ser>
        <c:ser>
          <c:idx val="2"/>
          <c:order val="2"/>
          <c:tx>
            <c:strRef>
              <c:f>HRP!$E$47</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HRP!$B$48:$B$49</c:f>
              <c:strCache>
                <c:ptCount val="2"/>
                <c:pt idx="0">
                  <c:v> Central Rakhine </c:v>
                </c:pt>
                <c:pt idx="1">
                  <c:v> Northern Rakhine </c:v>
                </c:pt>
              </c:strCache>
            </c:strRef>
          </c:cat>
          <c:val>
            <c:numRef>
              <c:f>HRP!$E$48:$E$49</c:f>
              <c:numCache>
                <c:formatCode>_(* #,##0_);_(* \(#,##0\);_(* "-"??_);_(@_)</c:formatCode>
                <c:ptCount val="2"/>
                <c:pt idx="0">
                  <c:v>237352</c:v>
                </c:pt>
                <c:pt idx="1">
                  <c:v>106636</c:v>
                </c:pt>
              </c:numCache>
            </c:numRef>
          </c:val>
          <c:extLst>
            <c:ext xmlns:c16="http://schemas.microsoft.com/office/drawing/2014/chart" uri="{C3380CC4-5D6E-409C-BE32-E72D297353CC}">
              <c16:uniqueId val="{00000002-BE9A-4C55-91C4-9996C6CCA354}"/>
            </c:ext>
          </c:extLst>
        </c:ser>
        <c:dLbls>
          <c:showLegendKey val="0"/>
          <c:showVal val="0"/>
          <c:showCatName val="0"/>
          <c:showSerName val="0"/>
          <c:showPercent val="0"/>
          <c:showBubbleSize val="0"/>
        </c:dLbls>
        <c:gapWidth val="150"/>
        <c:overlap val="100"/>
        <c:axId val="390219480"/>
        <c:axId val="390217128"/>
        <c:extLst>
          <c:ext xmlns:c15="http://schemas.microsoft.com/office/drawing/2012/chart" uri="{02D57815-91ED-43cb-92C2-25804820EDAC}">
            <c15:filteredBarSeries>
              <c15:ser>
                <c:idx val="0"/>
                <c:order val="0"/>
                <c:tx>
                  <c:strRef>
                    <c:extLst>
                      <c:ext uri="{02D57815-91ED-43cb-92C2-25804820EDAC}">
                        <c15:formulaRef>
                          <c15:sqref>HRP!$C$47</c15:sqref>
                        </c15:formulaRef>
                      </c:ext>
                    </c:extLst>
                    <c:strCache>
                      <c:ptCount val="1"/>
                      <c:pt idx="0">
                        <c:v>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c:ext uri="{02D57815-91ED-43cb-92C2-25804820EDAC}">
                        <c15:formulaRef>
                          <c15:sqref>HRP!$B$48:$B$49</c15:sqref>
                        </c15:formulaRef>
                      </c:ext>
                    </c:extLst>
                    <c:strCache>
                      <c:ptCount val="2"/>
                      <c:pt idx="0">
                        <c:v> Central Rakhine </c:v>
                      </c:pt>
                      <c:pt idx="1">
                        <c:v> Northern Rakhine </c:v>
                      </c:pt>
                    </c:strCache>
                  </c:strRef>
                </c:cat>
                <c:val>
                  <c:numRef>
                    <c:extLst>
                      <c:ext uri="{02D57815-91ED-43cb-92C2-25804820EDAC}">
                        <c15:formulaRef>
                          <c15:sqref>HRP!$C$48:$C$49</c15:sqref>
                        </c15:formulaRef>
                      </c:ext>
                    </c:extLst>
                    <c:numCache>
                      <c:formatCode>_(* #,##0_);_(* \(#,##0\);_(* "-"??_);_(@_)</c:formatCode>
                      <c:ptCount val="2"/>
                      <c:pt idx="0">
                        <c:v>254472</c:v>
                      </c:pt>
                      <c:pt idx="1">
                        <c:v>116064</c:v>
                      </c:pt>
                    </c:numCache>
                  </c:numRef>
                </c:val>
                <c:extLst>
                  <c:ext xmlns:c16="http://schemas.microsoft.com/office/drawing/2014/chart" uri="{C3380CC4-5D6E-409C-BE32-E72D297353CC}">
                    <c16:uniqueId val="{00000000-BE9A-4C55-91C4-9996C6CCA354}"/>
                  </c:ext>
                </c:extLst>
              </c15:ser>
            </c15:filteredBarSeries>
          </c:ext>
        </c:extLst>
      </c:barChart>
      <c:catAx>
        <c:axId val="3902194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7128"/>
        <c:crosses val="autoZero"/>
        <c:auto val="1"/>
        <c:lblAlgn val="ctr"/>
        <c:lblOffset val="100"/>
        <c:noMultiLvlLbl val="0"/>
      </c:catAx>
      <c:valAx>
        <c:axId val="39021712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9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953843589953474"/>
          <c:y val="0.18660346170653391"/>
          <c:w val="0.70386355380808219"/>
          <c:h val="0.61659333224571267"/>
        </c:manualLayout>
      </c:layout>
      <c:barChart>
        <c:barDir val="bar"/>
        <c:grouping val="clustered"/>
        <c:varyColors val="0"/>
        <c:ser>
          <c:idx val="0"/>
          <c:order val="0"/>
          <c:tx>
            <c:strRef>
              <c:f>Analysis!$I$181:$I$182</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Analysis!$H$183</c:f>
              <c:strCache>
                <c:ptCount val="1"/>
                <c:pt idx="0">
                  <c:v>Village</c:v>
                </c:pt>
              </c:strCache>
            </c:strRef>
          </c:cat>
          <c:val>
            <c:numRef>
              <c:f>Analysis!$I$183</c:f>
              <c:numCache>
                <c:formatCode>General</c:formatCode>
                <c:ptCount val="1"/>
                <c:pt idx="0">
                  <c:v>259</c:v>
                </c:pt>
              </c:numCache>
            </c:numRef>
          </c:val>
          <c:extLst>
            <c:ext xmlns:c16="http://schemas.microsoft.com/office/drawing/2014/chart" uri="{C3380CC4-5D6E-409C-BE32-E72D297353CC}">
              <c16:uniqueId val="{00000000-30DA-42B0-8831-535E468CE2F5}"/>
            </c:ext>
          </c:extLst>
        </c:ser>
        <c:ser>
          <c:idx val="1"/>
          <c:order val="1"/>
          <c:tx>
            <c:strRef>
              <c:f>Analysis!$J$181:$J$182</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Analysis!$H$183</c:f>
              <c:strCache>
                <c:ptCount val="1"/>
                <c:pt idx="0">
                  <c:v>Village</c:v>
                </c:pt>
              </c:strCache>
            </c:strRef>
          </c:cat>
          <c:val>
            <c:numRef>
              <c:f>Analysis!$J$183</c:f>
              <c:numCache>
                <c:formatCode>General</c:formatCode>
                <c:ptCount val="1"/>
                <c:pt idx="0">
                  <c:v>8</c:v>
                </c:pt>
              </c:numCache>
            </c:numRef>
          </c:val>
          <c:extLst>
            <c:ext xmlns:c16="http://schemas.microsoft.com/office/drawing/2014/chart" uri="{C3380CC4-5D6E-409C-BE32-E72D297353CC}">
              <c16:uniqueId val="{00000000-D274-4F51-BF04-1F4BDCA5ED0A}"/>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8825752779955003"/>
          <c:y val="0.38298215948169401"/>
          <c:w val="0.11174247220045003"/>
          <c:h val="0.2748539678317574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2019 HRP targets</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48411962887625587"/>
          <c:y val="0.10167668696838546"/>
          <c:w val="0.46523678440230043"/>
          <c:h val="0.79980514266690172"/>
        </c:manualLayout>
      </c:layout>
      <c:barChart>
        <c:barDir val="bar"/>
        <c:grouping val="percentStacked"/>
        <c:varyColors val="0"/>
        <c:ser>
          <c:idx val="0"/>
          <c:order val="0"/>
          <c:tx>
            <c:strRef>
              <c:f>HRP!$G$78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0-057D-42B2-9B65-739548585F31}"/>
              </c:ext>
            </c:extLst>
          </c:dPt>
          <c:dPt>
            <c:idx val="2"/>
            <c:invertIfNegative val="0"/>
            <c:bubble3D val="0"/>
            <c:spPr>
              <a:solidFill>
                <a:srgbClr val="0070C0"/>
              </a:solidFill>
              <a:ln>
                <a:noFill/>
              </a:ln>
              <a:effectLst/>
            </c:spPr>
            <c:extLst>
              <c:ext xmlns:c16="http://schemas.microsoft.com/office/drawing/2014/chart" uri="{C3380CC4-5D6E-409C-BE32-E72D297353CC}">
                <c16:uniqueId val="{00000003-9D7B-4BB3-9E37-D66793BA50F3}"/>
              </c:ext>
            </c:extLst>
          </c:dPt>
          <c:dLbls>
            <c:dLbl>
              <c:idx val="0"/>
              <c:layout>
                <c:manualLayout>
                  <c:x val="1.9236634564733027E-2"/>
                  <c:y val="-2.47341519299688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7B-4BB3-9E37-D66793BA50F3}"/>
                </c:ext>
              </c:extLst>
            </c:dLbl>
            <c:dLbl>
              <c:idx val="1"/>
              <c:layout>
                <c:manualLayout>
                  <c:x val="3.0262156910700094E-2"/>
                  <c:y val="-3.2216380652643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D-42B2-9B65-739548585F31}"/>
                </c:ext>
              </c:extLst>
            </c:dLbl>
            <c:dLbl>
              <c:idx val="2"/>
              <c:layout>
                <c:manualLayout>
                  <c:x val="3.1216471481786908E-2"/>
                  <c:y val="-2.47338915662298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7B-4BB3-9E37-D66793BA50F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HRP!$E$79:$E$81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HRP!$G$79:$G$81</c:f>
              <c:numCache>
                <c:formatCode>_(* #,##0_);_(* \(#,##0\);_(* "-"??_);_(@_)</c:formatCode>
                <c:ptCount val="3"/>
                <c:pt idx="0">
                  <c:v>116117</c:v>
                </c:pt>
                <c:pt idx="1">
                  <c:v>26548</c:v>
                </c:pt>
                <c:pt idx="2">
                  <c:v>81134</c:v>
                </c:pt>
              </c:numCache>
            </c:numRef>
          </c:val>
          <c:extLst>
            <c:ext xmlns:c16="http://schemas.microsoft.com/office/drawing/2014/chart" uri="{C3380CC4-5D6E-409C-BE32-E72D297353CC}">
              <c16:uniqueId val="{00000003-057D-42B2-9B65-739548585F31}"/>
            </c:ext>
          </c:extLst>
        </c:ser>
        <c:ser>
          <c:idx val="1"/>
          <c:order val="1"/>
          <c:tx>
            <c:strRef>
              <c:f>HRP!$H$78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9D7B-4BB3-9E37-D66793BA50F3}"/>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8-9D7B-4BB3-9E37-D66793BA50F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HRP!$E$79:$E$81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HRP!$H$79:$H$81</c:f>
              <c:numCache>
                <c:formatCode>_(* #,##0_);_(* \(#,##0\);_(* "-"??_);_(@_)</c:formatCode>
                <c:ptCount val="3"/>
                <c:pt idx="0">
                  <c:v>143360</c:v>
                </c:pt>
                <c:pt idx="1">
                  <c:v>232929</c:v>
                </c:pt>
                <c:pt idx="2">
                  <c:v>178343</c:v>
                </c:pt>
              </c:numCache>
            </c:numRef>
          </c:val>
          <c:extLs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419840080"/>
        <c:axId val="419840472"/>
      </c:barChart>
      <c:catAx>
        <c:axId val="4198400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419840472"/>
        <c:crosses val="autoZero"/>
        <c:auto val="1"/>
        <c:lblAlgn val="ctr"/>
        <c:lblOffset val="100"/>
        <c:noMultiLvlLbl val="0"/>
      </c:catAx>
      <c:valAx>
        <c:axId val="419840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00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[20191105_Myanmar_WASH_4W_2019_Q3_Rakhine_Village_Consolidate.xlsx]Analysis!R_water1</c:name>
    <c:fmtId val="1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 for current project area</a:t>
            </a:r>
          </a:p>
          <a:p>
            <a:pPr>
              <a:defRPr sz="1400"/>
            </a:pPr>
            <a:r>
              <a:rPr lang="en-US" sz="1400" b="1" i="0" baseline="0">
                <a:effectLst/>
              </a:rPr>
              <a:t>(#,%)</a:t>
            </a:r>
          </a:p>
        </c:rich>
      </c:tx>
      <c:layout>
        <c:manualLayout>
          <c:xMode val="edge"/>
          <c:yMode val="edge"/>
          <c:x val="0.20280713857989052"/>
          <c:y val="1.10256139271857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1"/>
          <c:showBubbleSize val="0"/>
          <c:separator>
</c:separator>
          <c:extLst>
            <c:ext xmlns:c15="http://schemas.microsoft.com/office/drawing/2012/chart" uri="{CE6537A1-D6FC-4f65-9D91-7224C49458BB}"/>
          </c:extLst>
        </c:dLbl>
      </c:pivotFmt>
      <c:pivotFmt>
        <c:idx val="9"/>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pivotFmt>
      <c:pivotFmt>
        <c:idx val="11"/>
        <c:spPr>
          <a:solidFill>
            <a:srgbClr val="0070C0"/>
          </a:solidFill>
          <a:ln>
            <a:noFill/>
          </a:ln>
          <a:effectLst/>
        </c:spPr>
      </c:pivotFmt>
    </c:pivotFmts>
    <c:plotArea>
      <c:layout>
        <c:manualLayout>
          <c:layoutTarget val="inner"/>
          <c:xMode val="edge"/>
          <c:yMode val="edge"/>
          <c:x val="0.18741622039541395"/>
          <c:y val="0.25502075475451808"/>
          <c:w val="0.72743677504115245"/>
          <c:h val="0.59267685736784093"/>
        </c:manualLayout>
      </c:layout>
      <c:pieChart>
        <c:varyColors val="1"/>
        <c:ser>
          <c:idx val="0"/>
          <c:order val="0"/>
          <c:tx>
            <c:strRef>
              <c:f>Analysis!$C$31:$C$32</c:f>
              <c:strCache>
                <c:ptCount val="1"/>
                <c:pt idx="0">
                  <c:v>Village</c:v>
                </c:pt>
              </c:strCache>
            </c:strRef>
          </c:tx>
          <c:spPr>
            <a:solidFill>
              <a:srgbClr val="0070C0"/>
            </a:solidFill>
          </c:spPr>
          <c:dPt>
            <c:idx val="0"/>
            <c:bubble3D val="0"/>
            <c:spPr>
              <a:solidFill>
                <a:srgbClr val="0070C0"/>
              </a:solidFill>
              <a:ln>
                <a:noFill/>
              </a:ln>
              <a:effectLst/>
            </c:spPr>
            <c:extLst>
              <c:ext xmlns:c16="http://schemas.microsoft.com/office/drawing/2014/chart" uri="{C3380CC4-5D6E-409C-BE32-E72D297353CC}">
                <c16:uniqueId val="{00000001-D935-44F9-BF4C-C2A9E26B273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5-E858-4734-B67B-0ADFBF9578E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Analysis!$B$33:$B$34</c:f>
              <c:strCache>
                <c:ptCount val="2"/>
                <c:pt idx="0">
                  <c:v>Coverage</c:v>
                </c:pt>
                <c:pt idx="1">
                  <c:v>Gap</c:v>
                </c:pt>
              </c:strCache>
            </c:strRef>
          </c:cat>
          <c:val>
            <c:numRef>
              <c:f>Analysis!$C$33:$C$34</c:f>
              <c:numCache>
                <c:formatCode>0</c:formatCode>
                <c:ptCount val="2"/>
                <c:pt idx="0">
                  <c:v>324.53599999999994</c:v>
                </c:pt>
                <c:pt idx="1">
                  <c:v>1256.4760000000001</c:v>
                </c:pt>
              </c:numCache>
            </c:numRef>
          </c:val>
          <c:extLst>
            <c:ext xmlns:c16="http://schemas.microsoft.com/office/drawing/2014/chart" uri="{C3380CC4-5D6E-409C-BE32-E72D297353CC}">
              <c16:uniqueId val="{00000000-DF64-4D48-9973-21FBD17B80A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[20191105_Myanmar_WASH_4W_2019_Q3_Rakhine_Village_Consolidate.xlsx]Analysis!W_R_C_G_V</c:name>
    <c:fmtId val="4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 Coverage by township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719730033745782"/>
          <c:y val="0.16070852471566055"/>
          <c:w val="0.85907766112540396"/>
          <c:h val="0.45264470458849171"/>
        </c:manualLayout>
      </c:layout>
      <c:barChart>
        <c:barDir val="col"/>
        <c:grouping val="percentStacked"/>
        <c:varyColors val="0"/>
        <c:ser>
          <c:idx val="0"/>
          <c:order val="0"/>
          <c:tx>
            <c:strRef>
              <c:f>Analysis!$C$50</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Analysis!$B$51:$B$59</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Analysis!$C$51:$C$59</c:f>
              <c:numCache>
                <c:formatCode>0%</c:formatCode>
                <c:ptCount val="9"/>
                <c:pt idx="0">
                  <c:v>0.16050554460425234</c:v>
                </c:pt>
                <c:pt idx="1">
                  <c:v>9.3596059113300489E-2</c:v>
                </c:pt>
                <c:pt idx="2">
                  <c:v>0.96332320162107399</c:v>
                </c:pt>
                <c:pt idx="3">
                  <c:v>0.24206126395907418</c:v>
                </c:pt>
                <c:pt idx="4">
                  <c:v>0</c:v>
                </c:pt>
                <c:pt idx="5">
                  <c:v>0.93540524070688602</c:v>
                </c:pt>
                <c:pt idx="6">
                  <c:v>1</c:v>
                </c:pt>
                <c:pt idx="7">
                  <c:v>0.66461213027462707</c:v>
                </c:pt>
                <c:pt idx="8">
                  <c:v>9.2035694942356791E-2</c:v>
                </c:pt>
              </c:numCache>
            </c:numRef>
          </c:val>
          <c:extLst>
            <c:ext xmlns:c16="http://schemas.microsoft.com/office/drawing/2014/chart" uri="{C3380CC4-5D6E-409C-BE32-E72D297353CC}">
              <c16:uniqueId val="{00000000-AFC5-4596-B299-44B13426994A}"/>
            </c:ext>
          </c:extLst>
        </c:ser>
        <c:ser>
          <c:idx val="1"/>
          <c:order val="1"/>
          <c:tx>
            <c:strRef>
              <c:f>Analysis!$D$50</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Analysis!$B$51:$B$59</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Analysis!$D$51:$D$59</c:f>
              <c:numCache>
                <c:formatCode>0%</c:formatCode>
                <c:ptCount val="9"/>
                <c:pt idx="0">
                  <c:v>0.83949445539574763</c:v>
                </c:pt>
                <c:pt idx="1">
                  <c:v>0.90640394088669951</c:v>
                </c:pt>
                <c:pt idx="2">
                  <c:v>3.6676798378926012E-2</c:v>
                </c:pt>
                <c:pt idx="3">
                  <c:v>0.75793873604092576</c:v>
                </c:pt>
                <c:pt idx="4">
                  <c:v>1</c:v>
                </c:pt>
                <c:pt idx="5">
                  <c:v>6.4594759293113979E-2</c:v>
                </c:pt>
                <c:pt idx="6">
                  <c:v>0</c:v>
                </c:pt>
                <c:pt idx="7">
                  <c:v>0.33538786972537293</c:v>
                </c:pt>
                <c:pt idx="8">
                  <c:v>0.90796430505764325</c:v>
                </c:pt>
              </c:numCache>
            </c:numRef>
          </c:val>
          <c:extLst>
            <c:ext xmlns:c16="http://schemas.microsoft.com/office/drawing/2014/chart" uri="{C3380CC4-5D6E-409C-BE32-E72D297353CC}">
              <c16:uniqueId val="{00000001-AFC5-4596-B299-44B13426994A}"/>
            </c:ext>
          </c:extLst>
        </c:ser>
        <c:dLbls>
          <c:showLegendKey val="0"/>
          <c:showVal val="0"/>
          <c:showCatName val="0"/>
          <c:showSerName val="0"/>
          <c:showPercent val="0"/>
          <c:showBubbleSize val="0"/>
        </c:dLbls>
        <c:gapWidth val="50"/>
        <c:overlap val="100"/>
        <c:axId val="414767120"/>
        <c:axId val="414769864"/>
      </c:barChart>
      <c:catAx>
        <c:axId val="4147671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4769864"/>
        <c:crosses val="autoZero"/>
        <c:auto val="1"/>
        <c:lblAlgn val="ctr"/>
        <c:lblOffset val="100"/>
        <c:noMultiLvlLbl val="0"/>
      </c:catAx>
      <c:valAx>
        <c:axId val="4147698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71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in Schools (50:1)</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4B74-4139-A4DB-6034208C0176}"/>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4B74-4139-A4DB-6034208C0176}"/>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B74-4139-A4DB-6034208C017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(Analysis!$E$115,Analysis!$E$117)</c:f>
              <c:strCache>
                <c:ptCount val="2"/>
                <c:pt idx="0">
                  <c:v>Coverage</c:v>
                </c:pt>
                <c:pt idx="1">
                  <c:v>Gap</c:v>
                </c:pt>
              </c:strCache>
            </c:strRef>
          </c:cat>
          <c:val>
            <c:numRef>
              <c:f>(Analysis!$F$115,Analysis!$F$117)</c:f>
              <c:numCache>
                <c:formatCode>_(* #,##0_);_(* \(#,##0\);_(* "-"??_);_(@_)</c:formatCode>
                <c:ptCount val="2"/>
                <c:pt idx="0">
                  <c:v>225</c:v>
                </c:pt>
                <c:pt idx="1">
                  <c:v>1903.62</c:v>
                </c:pt>
              </c:numCache>
            </c:numRef>
          </c:val>
          <c:extLst>
            <c:ext xmlns:c16="http://schemas.microsoft.com/office/drawing/2014/chart" uri="{C3380CC4-5D6E-409C-BE32-E72D297353CC}">
              <c16:uniqueId val="{00000004-4B74-4139-A4DB-6034208C017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[20191105_Myanmar_WASH_4W_2019_Q3_Rakhine_Village_Consolidate.xlsx]Analysis!PivotTable2</c:name>
    <c:fmtId val="1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non-IDP sites with schools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bg1">
              <a:lumMod val="50000"/>
            </a:schemeClr>
          </a:solidFill>
          <a:ln>
            <a:noFill/>
          </a:ln>
          <a:effectLst/>
        </c:spPr>
      </c:pivotFmt>
      <c:pivotFmt>
        <c:idx val="2"/>
        <c:spPr>
          <a:solidFill>
            <a:schemeClr val="bg1">
              <a:lumMod val="85000"/>
            </a:schemeClr>
          </a:solidFill>
          <a:ln>
            <a:noFill/>
          </a:ln>
          <a:effectLst/>
        </c:spP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bg1">
              <a:lumMod val="50000"/>
            </a:schemeClr>
          </a:solidFill>
          <a:ln>
            <a:noFill/>
          </a:ln>
          <a:effectLst/>
        </c:spPr>
      </c:pivotFmt>
      <c:pivotFmt>
        <c:idx val="5"/>
        <c:spPr>
          <a:solidFill>
            <a:schemeClr val="bg1">
              <a:lumMod val="85000"/>
            </a:schemeClr>
          </a:solidFill>
          <a:ln>
            <a:noFill/>
          </a:ln>
          <a:effectLst/>
        </c:spP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rgbClr val="7030A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D692D6"/>
          </a:solidFill>
          <a:ln>
            <a:noFill/>
          </a:ln>
          <a:effectLst/>
        </c:spPr>
        <c:dLbl>
          <c:idx val="0"/>
          <c:layout>
            <c:manualLayout>
              <c:x val="0.17303666034801199"/>
              <c:y val="-7.288713910761154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30256167979002624"/>
          <c:y val="0.19226669582968794"/>
          <c:w val="0.41987685914260719"/>
          <c:h val="0.69979476523767858"/>
        </c:manualLayout>
      </c:layout>
      <c:pieChart>
        <c:varyColors val="1"/>
        <c:ser>
          <c:idx val="0"/>
          <c:order val="0"/>
          <c:tx>
            <c:strRef>
              <c:f>Analysis!$D$262</c:f>
              <c:strCache>
                <c:ptCount val="1"/>
                <c:pt idx="0">
                  <c:v>Total</c:v>
                </c:pt>
              </c:strCache>
            </c:strRef>
          </c:tx>
          <c:dPt>
            <c:idx val="0"/>
            <c:bubble3D val="0"/>
            <c:spPr>
              <a:solidFill>
                <a:srgbClr val="7030A0"/>
              </a:solidFill>
              <a:ln>
                <a:noFill/>
              </a:ln>
              <a:effectLst/>
            </c:spPr>
            <c:extLst>
              <c:ext xmlns:c16="http://schemas.microsoft.com/office/drawing/2014/chart" uri="{C3380CC4-5D6E-409C-BE32-E72D297353CC}">
                <c16:uniqueId val="{00000001-8203-4792-AAB2-A72B717C8705}"/>
              </c:ext>
            </c:extLst>
          </c:dPt>
          <c:dPt>
            <c:idx val="1"/>
            <c:bubble3D val="0"/>
            <c:spPr>
              <a:solidFill>
                <a:srgbClr val="D692D6"/>
              </a:solidFill>
              <a:ln>
                <a:noFill/>
              </a:ln>
              <a:effectLst/>
            </c:spPr>
            <c:extLst>
              <c:ext xmlns:c16="http://schemas.microsoft.com/office/drawing/2014/chart" uri="{C3380CC4-5D6E-409C-BE32-E72D297353CC}">
                <c16:uniqueId val="{00000003-8203-4792-AAB2-A72B717C870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 xmlns:c16="http://schemas.microsoft.com/office/drawing/2014/chart" uri="{C3380CC4-5D6E-409C-BE32-E72D297353CC}">
                  <c16:uniqueId val="{00000001-8203-4792-AAB2-A72B717C8705}"/>
                </c:ext>
              </c:extLst>
            </c:dLbl>
            <c:dLbl>
              <c:idx val="1"/>
              <c:layout>
                <c:manualLayout>
                  <c:x val="0.17303666034801199"/>
                  <c:y val="-7.28871391076115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203-4792-AAB2-A72B717C870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Analysis!$C$263:$C$264</c:f>
              <c:strCache>
                <c:ptCount val="2"/>
                <c:pt idx="0">
                  <c:v>Yes</c:v>
                </c:pt>
                <c:pt idx="1">
                  <c:v>No</c:v>
                </c:pt>
              </c:strCache>
            </c:strRef>
          </c:cat>
          <c:val>
            <c:numRef>
              <c:f>Analysis!$D$263:$D$264</c:f>
              <c:numCache>
                <c:formatCode>_(* #,##0_);_(* \(#,##0\);_(* "-"??_);_(@_)</c:formatCode>
                <c:ptCount val="2"/>
                <c:pt idx="0">
                  <c:v>117</c:v>
                </c:pt>
                <c:pt idx="1">
                  <c:v>142</c:v>
                </c:pt>
              </c:numCache>
            </c:numRef>
          </c:val>
          <c:extLst>
            <c:ext xmlns:c16="http://schemas.microsoft.com/office/drawing/2014/chart" uri="{C3380CC4-5D6E-409C-BE32-E72D297353CC}">
              <c16:uniqueId val="{00000004-8203-4792-AAB2-A72B717C8705}"/>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in non-IDP sites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989773237804734"/>
          <c:y val="0.27725523567366578"/>
          <c:w val="0.63527954275985787"/>
          <c:h val="0.51417937992125995"/>
        </c:manualLayout>
      </c:layout>
      <c:pieChart>
        <c:varyColors val="1"/>
        <c:ser>
          <c:idx val="0"/>
          <c:order val="0"/>
          <c:tx>
            <c:strRef>
              <c:f>Analysis!$C$78</c:f>
              <c:strCache>
                <c:ptCount val="1"/>
                <c:pt idx="0">
                  <c:v> # in villages (6:1) </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198E-40D9-8BA5-F731D00AACD6}"/>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198E-40D9-8BA5-F731D00AACD6}"/>
              </c:ext>
            </c:extLst>
          </c:dPt>
          <c:dLbls>
            <c:dLbl>
              <c:idx val="0"/>
              <c:layout>
                <c:manualLayout>
                  <c:x val="-1.6507227137148396E-2"/>
                  <c:y val="0.1748778228893263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layout>
                    <c:manualLayout>
                      <c:w val="0.22538610038610038"/>
                      <c:h val="0.14019097222222221"/>
                    </c:manualLayout>
                  </c15:layout>
                </c:ext>
                <c:ext xmlns:c16="http://schemas.microsoft.com/office/drawing/2014/chart" uri="{C3380CC4-5D6E-409C-BE32-E72D297353CC}">
                  <c16:uniqueId val="{00000001-198E-40D9-8BA5-F731D00AACD6}"/>
                </c:ext>
              </c:extLst>
            </c:dLbl>
            <c:dLbl>
              <c:idx val="1"/>
              <c:layout>
                <c:manualLayout>
                  <c:x val="4.39906125191558E-2"/>
                  <c:y val="-0.21759542788632902"/>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4300214162418882"/>
                      <c:h val="0.2673611111111111"/>
                    </c:manualLayout>
                  </c15:layout>
                </c:ext>
                <c:ext xmlns:c16="http://schemas.microsoft.com/office/drawing/2014/chart" uri="{C3380CC4-5D6E-409C-BE32-E72D297353CC}">
                  <c16:uniqueId val="{00000003-198E-40D9-8BA5-F731D00AACD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Analysis!$B$79:$B$80</c:f>
              <c:strCache>
                <c:ptCount val="2"/>
                <c:pt idx="0">
                  <c:v> Coverage </c:v>
                </c:pt>
                <c:pt idx="1">
                  <c:v> GAP </c:v>
                </c:pt>
              </c:strCache>
            </c:strRef>
          </c:cat>
          <c:val>
            <c:numRef>
              <c:f>Analysis!$C$79:$C$80</c:f>
              <c:numCache>
                <c:formatCode>_(* #,##0_);_(* \(#,##0\);_(* "-"??_);_(@_)</c:formatCode>
                <c:ptCount val="2"/>
                <c:pt idx="0">
                  <c:v>2870</c:v>
                </c:pt>
                <c:pt idx="1">
                  <c:v>61796</c:v>
                </c:pt>
              </c:numCache>
            </c:numRef>
          </c:val>
          <c:extLst>
            <c:ext xmlns:c16="http://schemas.microsoft.com/office/drawing/2014/chart" uri="{C3380CC4-5D6E-409C-BE32-E72D297353CC}">
              <c16:uniqueId val="{00000004-198E-40D9-8BA5-F731D00AACD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[20191105_Myanmar_WASH_4W_2019_Q3_Rakhine_Village_Consolidate.xlsx]Analysis!K_L_CG_N</c:name>
    <c:fmtId val="43"/>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by township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816241458572792E-2"/>
          <c:y val="0.11609183617672791"/>
          <c:w val="0.8881196523371071"/>
          <c:h val="0.55103175579615049"/>
        </c:manualLayout>
      </c:layout>
      <c:barChart>
        <c:barDir val="col"/>
        <c:grouping val="percentStacked"/>
        <c:varyColors val="0"/>
        <c:ser>
          <c:idx val="0"/>
          <c:order val="0"/>
          <c:tx>
            <c:strRef>
              <c:f>Analysis!$C$98</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Analysis!$B$99:$B$107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Analysis!$C$99:$C$107</c:f>
              <c:numCache>
                <c:formatCode>0%</c:formatCode>
                <c:ptCount val="9"/>
                <c:pt idx="0">
                  <c:v>4.4681317076732133E-2</c:v>
                </c:pt>
                <c:pt idx="1">
                  <c:v>0.16603882932483338</c:v>
                </c:pt>
                <c:pt idx="2">
                  <c:v>0.58768996960486319</c:v>
                </c:pt>
                <c:pt idx="3">
                  <c:v>0.12227837045355293</c:v>
                </c:pt>
                <c:pt idx="4">
                  <c:v>0</c:v>
                </c:pt>
                <c:pt idx="5">
                  <c:v>0.54539914686166968</c:v>
                </c:pt>
                <c:pt idx="6">
                  <c:v>1</c:v>
                </c:pt>
                <c:pt idx="7">
                  <c:v>9.6684780626572819E-2</c:v>
                </c:pt>
                <c:pt idx="8">
                  <c:v>7.6277306372991511E-3</c:v>
                </c:pt>
              </c:numCache>
            </c:numRef>
          </c:val>
          <c:extLst>
            <c:ext xmlns:c16="http://schemas.microsoft.com/office/drawing/2014/chart" uri="{C3380CC4-5D6E-409C-BE32-E72D297353CC}">
              <c16:uniqueId val="{00000000-EF9F-4D2F-96BF-32376C9FD184}"/>
            </c:ext>
          </c:extLst>
        </c:ser>
        <c:ser>
          <c:idx val="1"/>
          <c:order val="1"/>
          <c:tx>
            <c:strRef>
              <c:f>Analysis!$D$98</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Analysis!$B$99:$B$107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Analysis!$D$99:$D$107</c:f>
              <c:numCache>
                <c:formatCode>0%</c:formatCode>
                <c:ptCount val="9"/>
                <c:pt idx="0">
                  <c:v>0.95531868292326783</c:v>
                </c:pt>
                <c:pt idx="1">
                  <c:v>0.83396117067516662</c:v>
                </c:pt>
                <c:pt idx="2">
                  <c:v>0.41231003039513681</c:v>
                </c:pt>
                <c:pt idx="3">
                  <c:v>0.87772162954644706</c:v>
                </c:pt>
                <c:pt idx="4">
                  <c:v>1</c:v>
                </c:pt>
                <c:pt idx="5">
                  <c:v>0.45460085313833032</c:v>
                </c:pt>
                <c:pt idx="6">
                  <c:v>0</c:v>
                </c:pt>
                <c:pt idx="7">
                  <c:v>0.90331521937342718</c:v>
                </c:pt>
                <c:pt idx="8">
                  <c:v>0.99237226936270084</c:v>
                </c:pt>
              </c:numCache>
            </c:numRef>
          </c:val>
          <c:extLst>
            <c:ext xmlns:c16="http://schemas.microsoft.com/office/drawing/2014/chart" uri="{C3380CC4-5D6E-409C-BE32-E72D297353CC}">
              <c16:uniqueId val="{00000001-EF9F-4D2F-96BF-32376C9FD184}"/>
            </c:ext>
          </c:extLst>
        </c:ser>
        <c:dLbls>
          <c:showLegendKey val="0"/>
          <c:showVal val="0"/>
          <c:showCatName val="0"/>
          <c:showSerName val="0"/>
          <c:showPercent val="0"/>
          <c:showBubbleSize val="0"/>
        </c:dLbls>
        <c:gapWidth val="50"/>
        <c:overlap val="100"/>
        <c:axId val="414769080"/>
        <c:axId val="414771040"/>
      </c:barChart>
      <c:catAx>
        <c:axId val="414769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2"/>
                </a:solidFill>
                <a:latin typeface="+mn-lt"/>
                <a:ea typeface="+mn-ea"/>
                <a:cs typeface="+mn-cs"/>
              </a:defRPr>
            </a:pPr>
            <a:endParaRPr lang="en-US"/>
          </a:p>
        </c:txPr>
        <c:crossAx val="414771040"/>
        <c:crosses val="autoZero"/>
        <c:auto val="1"/>
        <c:lblAlgn val="ctr"/>
        <c:lblOffset val="100"/>
        <c:noMultiLvlLbl val="0"/>
      </c:catAx>
      <c:valAx>
        <c:axId val="4147710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0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[20191105_Myanmar_WASH_4W_2019_Q3_Rakhine_Village_Consolidate.xlsx]Analysis!PivotTable5</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Students received appropriate</a:t>
            </a:r>
            <a:r>
              <a:rPr lang="en-US" sz="1400" baseline="0"/>
              <a:t> hygiene messages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5942279090113737"/>
              <c:y val="1.662401574803149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260761154855643"/>
              <c:y val="8.4922717993584137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260761154855643"/>
              <c:y val="8.4922717993584137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5942279090113737"/>
              <c:y val="1.662401574803149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rgbClr val="7030A0"/>
          </a:solidFill>
          <a:ln>
            <a:noFill/>
          </a:ln>
          <a:effectLst/>
        </c:spPr>
        <c:dLbl>
          <c:idx val="0"/>
          <c:layout>
            <c:manualLayout>
              <c:x val="-0.13107775590551188"/>
              <c:y val="-1.4655924723198654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rgbClr val="D692D6"/>
          </a:solidFill>
          <a:ln>
            <a:noFill/>
          </a:ln>
          <a:effectLst/>
        </c:spPr>
        <c:dLbl>
          <c:idx val="0"/>
          <c:layout>
            <c:manualLayout>
              <c:x val="0.1528506853310003"/>
              <c:y val="-1.73381421298892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26971724020608534"/>
          <c:y val="0.2719442198616015"/>
          <c:w val="0.41094342373869935"/>
          <c:h val="0.60292396461861975"/>
        </c:manualLayout>
      </c:layout>
      <c:pieChart>
        <c:varyColors val="1"/>
        <c:ser>
          <c:idx val="0"/>
          <c:order val="0"/>
          <c:tx>
            <c:strRef>
              <c:f>Analysis!$C$141</c:f>
              <c:strCache>
                <c:ptCount val="1"/>
                <c:pt idx="0">
                  <c:v>Total</c:v>
                </c:pt>
              </c:strCache>
            </c:strRef>
          </c:tx>
          <c:dPt>
            <c:idx val="0"/>
            <c:bubble3D val="0"/>
            <c:spPr>
              <a:solidFill>
                <a:srgbClr val="7030A0"/>
              </a:solidFill>
              <a:ln>
                <a:noFill/>
              </a:ln>
              <a:effectLst/>
            </c:spPr>
            <c:extLst>
              <c:ext xmlns:c16="http://schemas.microsoft.com/office/drawing/2014/chart" uri="{C3380CC4-5D6E-409C-BE32-E72D297353CC}">
                <c16:uniqueId val="{00000001-E0E6-43AA-BBD6-7EFA18B03419}"/>
              </c:ext>
            </c:extLst>
          </c:dPt>
          <c:dPt>
            <c:idx val="1"/>
            <c:bubble3D val="0"/>
            <c:spPr>
              <a:solidFill>
                <a:srgbClr val="D692D6"/>
              </a:solidFill>
              <a:ln>
                <a:noFill/>
              </a:ln>
              <a:effectLst/>
            </c:spPr>
            <c:extLst>
              <c:ext xmlns:c16="http://schemas.microsoft.com/office/drawing/2014/chart" uri="{C3380CC4-5D6E-409C-BE32-E72D297353CC}">
                <c16:uniqueId val="{00000003-E0E6-43AA-BBD6-7EFA18B03419}"/>
              </c:ext>
            </c:extLst>
          </c:dPt>
          <c:dLbls>
            <c:dLbl>
              <c:idx val="0"/>
              <c:layout>
                <c:manualLayout>
                  <c:x val="-0.13107775590551188"/>
                  <c:y val="-1.46559247231986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E6-43AA-BBD6-7EFA18B03419}"/>
                </c:ext>
              </c:extLst>
            </c:dLbl>
            <c:dLbl>
              <c:idx val="1"/>
              <c:layout>
                <c:manualLayout>
                  <c:x val="0.1528506853310003"/>
                  <c:y val="-1.733814212988920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E6-43AA-BBD6-7EFA18B03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Analysis!$B$142:$B$143</c:f>
              <c:strCache>
                <c:ptCount val="2"/>
                <c:pt idx="0">
                  <c:v>Boys</c:v>
                </c:pt>
                <c:pt idx="1">
                  <c:v>Girls</c:v>
                </c:pt>
              </c:strCache>
            </c:strRef>
          </c:cat>
          <c:val>
            <c:numRef>
              <c:f>Analysis!$C$142:$C$143</c:f>
              <c:numCache>
                <c:formatCode>General</c:formatCode>
                <c:ptCount val="2"/>
                <c:pt idx="0">
                  <c:v>3424</c:v>
                </c:pt>
                <c:pt idx="1">
                  <c:v>3181</c:v>
                </c:pt>
              </c:numCache>
            </c:numRef>
          </c:val>
          <c:extLst>
            <c:ext xmlns:c16="http://schemas.microsoft.com/office/drawing/2014/chart" uri="{C3380CC4-5D6E-409C-BE32-E72D297353CC}">
              <c16:uniqueId val="{00000004-E0E6-43AA-BBD6-7EFA18B0341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School Drainage in non-IDP sites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rgbClr val="E4B6E4"/>
              </a:solidFill>
              <a:ln>
                <a:noFill/>
              </a:ln>
              <a:effectLst/>
            </c:spPr>
            <c:extLst>
              <c:ext xmlns:c16="http://schemas.microsoft.com/office/drawing/2014/chart" uri="{C3380CC4-5D6E-409C-BE32-E72D297353CC}">
                <c16:uniqueId val="{00000001-02FC-4043-A315-7868F78EBF5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2FC-4043-A315-7868F78EBF5A}"/>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02FC-4043-A315-7868F78EBF5A}"/>
              </c:ext>
            </c:extLst>
          </c:dPt>
          <c:dPt>
            <c:idx val="3"/>
            <c:bubble3D val="0"/>
            <c:spPr>
              <a:solidFill>
                <a:schemeClr val="accent2">
                  <a:lumMod val="50000"/>
                </a:schemeClr>
              </a:solidFill>
              <a:ln>
                <a:noFill/>
              </a:ln>
              <a:effectLst/>
            </c:spPr>
            <c:extLst>
              <c:ext xmlns:c16="http://schemas.microsoft.com/office/drawing/2014/chart" uri="{C3380CC4-5D6E-409C-BE32-E72D297353CC}">
                <c16:uniqueId val="{00000007-02FC-4043-A315-7868F78EBF5A}"/>
              </c:ext>
            </c:extLst>
          </c:dPt>
          <c:dPt>
            <c:idx val="4"/>
            <c:bubble3D val="0"/>
            <c:spPr>
              <a:solidFill>
                <a:srgbClr val="7030A0"/>
              </a:solidFill>
              <a:ln>
                <a:noFill/>
              </a:ln>
              <a:effectLst/>
            </c:spPr>
            <c:extLst>
              <c:ext xmlns:c16="http://schemas.microsoft.com/office/drawing/2014/chart" uri="{C3380CC4-5D6E-409C-BE32-E72D297353CC}">
                <c16:uniqueId val="{00000009-02FC-4043-A315-7868F78EBF5A}"/>
              </c:ext>
            </c:extLst>
          </c:dPt>
          <c:dLbls>
            <c:dLbl>
              <c:idx val="0"/>
              <c:layout>
                <c:manualLayout>
                  <c:x val="0.12335148731408571"/>
                  <c:y val="-3.64114902303878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FC-4043-A315-7868F78EBF5A}"/>
                </c:ext>
              </c:extLst>
            </c:dLbl>
            <c:dLbl>
              <c:idx val="1"/>
              <c:layout>
                <c:manualLayout>
                  <c:x val="0.13564960629921249"/>
                  <c:y val="-7.86074657334500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FC-4043-A315-7868F78EBF5A}"/>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FC-4043-A315-7868F78EBF5A}"/>
                </c:ext>
              </c:extLst>
            </c:dLbl>
            <c:dLbl>
              <c:idx val="3"/>
              <c:layout>
                <c:manualLayout>
                  <c:x val="-6.3331022893477057E-2"/>
                  <c:y val="-0.1390583252417843"/>
                </c:manualLayout>
              </c:layout>
              <c:tx>
                <c:rich>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fld id="{681C728E-7085-4BDE-8881-35137157971A}" type="PERCENTAGE">
                      <a:rPr lang="en-US" baseline="0">
                        <a:solidFill>
                          <a:schemeClr val="bg1"/>
                        </a:solidFill>
                      </a:rPr>
                      <a:pPr>
                        <a:defRPr sz="1200">
                          <a:solidFill>
                            <a:schemeClr val="bg1"/>
                          </a:solidFill>
                        </a:defRPr>
                      </a:pPr>
                      <a:t>[PERCENTAGE]</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8.2555537498788814E-2"/>
                      <c:h val="0.1980698659574669"/>
                    </c:manualLayout>
                  </c15:layout>
                  <c15:dlblFieldTable/>
                  <c15:showDataLabelsRange val="0"/>
                </c:ext>
                <c:ext xmlns:c16="http://schemas.microsoft.com/office/drawing/2014/chart" uri="{C3380CC4-5D6E-409C-BE32-E72D297353CC}">
                  <c16:uniqueId val="{00000007-02FC-4043-A315-7868F78EBF5A}"/>
                </c:ext>
              </c:extLst>
            </c:dLbl>
            <c:dLbl>
              <c:idx val="4"/>
              <c:layout>
                <c:manualLayout>
                  <c:x val="-0.17315514585408009"/>
                  <c:y val="5.6164307952861023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r>
                      <a:rPr lang="en-US"/>
                      <a:t>Village With School</a:t>
                    </a:r>
                    <a:r>
                      <a:rPr lang="en-US" baseline="0"/>
                      <a:t>
</a:t>
                    </a:r>
                    <a:fld id="{0E71715D-DE55-4321-B78F-549DC05D3BE8}" type="PERCENTAGE">
                      <a:rPr lang="en-US" baseline="0"/>
                      <a:pPr>
                        <a:defRPr sz="1200">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2FC-4043-A315-7868F78EBF5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Analysis!$I$92:$L$92</c:f>
              <c:strCache>
                <c:ptCount val="4"/>
                <c:pt idx="0">
                  <c:v> Village With No School </c:v>
                </c:pt>
                <c:pt idx="1">
                  <c:v> No drainage in school compound </c:v>
                </c:pt>
                <c:pt idx="2">
                  <c:v> Drainage in school compound </c:v>
                </c:pt>
                <c:pt idx="3">
                  <c:v>NA</c:v>
                </c:pt>
              </c:strCache>
            </c:strRef>
          </c:cat>
          <c:val>
            <c:numRef>
              <c:f>Analysis!$I$93:$L$93</c:f>
              <c:numCache>
                <c:formatCode>_(* #,##0_);_(* \(#,##0\);_(* "-"??_);_(@_)</c:formatCode>
                <c:ptCount val="4"/>
                <c:pt idx="0">
                  <c:v>142</c:v>
                </c:pt>
                <c:pt idx="1">
                  <c:v>79</c:v>
                </c:pt>
                <c:pt idx="2">
                  <c:v>28</c:v>
                </c:pt>
                <c:pt idx="3" formatCode="General">
                  <c:v>10</c:v>
                </c:pt>
              </c:numCache>
            </c:numRef>
          </c:val>
          <c:extLst>
            <c:ext xmlns:c16="http://schemas.microsoft.com/office/drawing/2014/chart" uri="{C3380CC4-5D6E-409C-BE32-E72D297353CC}">
              <c16:uniqueId val="{0000000A-02FC-4043-A315-7868F78EBF5A}"/>
            </c:ext>
          </c:extLst>
        </c:ser>
        <c:dLbls>
          <c:showLegendKey val="0"/>
          <c:showVal val="0"/>
          <c:showCatName val="0"/>
          <c:showSerName val="0"/>
          <c:showPercent val="0"/>
          <c:showBubbleSize val="0"/>
          <c:showLeaderLines val="0"/>
        </c:dLbls>
        <c:gapWidth val="100"/>
        <c:splitType val="cust"/>
        <c:custSplit>
          <c:secondPiePt val="1"/>
          <c:secondPiePt val="2"/>
          <c:secondPiePt val="3"/>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targeted women, men, boys and girls benefitting from timely/adequate/tailored personal hygiene items and receiving appropriate/ community tailored messages that enable health seeking behavior</a:t>
            </a:r>
          </a:p>
        </c:rich>
      </c:tx>
      <c:layout>
        <c:manualLayout>
          <c:xMode val="edge"/>
          <c:yMode val="edge"/>
          <c:x val="0.13180928042000772"/>
          <c:y val="4.7888133320563167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512356211607784"/>
          <c:y val="0.21587074342979853"/>
          <c:w val="0.80948758650145791"/>
          <c:h val="0.57773696848499989"/>
        </c:manualLayout>
      </c:layout>
      <c:barChart>
        <c:barDir val="bar"/>
        <c:grouping val="percentStacked"/>
        <c:varyColors val="0"/>
        <c:ser>
          <c:idx val="1"/>
          <c:order val="1"/>
          <c:tx>
            <c:strRef>
              <c:f>HRP!$D$56</c:f>
              <c:strCache>
                <c:ptCount val="1"/>
                <c:pt idx="0">
                  <c:v>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HRP!$B$57:$B$58</c:f>
              <c:strCache>
                <c:ptCount val="2"/>
                <c:pt idx="0">
                  <c:v> Central Rakhine </c:v>
                </c:pt>
                <c:pt idx="1">
                  <c:v> Northern Rakhine </c:v>
                </c:pt>
              </c:strCache>
            </c:strRef>
          </c:cat>
          <c:val>
            <c:numRef>
              <c:f>HRP!$D$57:$D$58</c:f>
              <c:numCache>
                <c:formatCode>_(* #,##0_);_(* \(#,##0\);_(* "-"??_);_(@_)</c:formatCode>
                <c:ptCount val="2"/>
                <c:pt idx="0">
                  <c:v>81000</c:v>
                </c:pt>
                <c:pt idx="1">
                  <c:v>98982</c:v>
                </c:pt>
              </c:numCache>
            </c:numRef>
          </c:val>
          <c:extLst>
            <c:ext xmlns:c16="http://schemas.microsoft.com/office/drawing/2014/chart" uri="{C3380CC4-5D6E-409C-BE32-E72D297353CC}">
              <c16:uniqueId val="{00000001-DB15-4E31-852A-C011D1892EB1}"/>
            </c:ext>
          </c:extLst>
        </c:ser>
        <c:ser>
          <c:idx val="2"/>
          <c:order val="2"/>
          <c:tx>
            <c:strRef>
              <c:f>HRP!$E$56</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HRP!$B$57:$B$58</c:f>
              <c:strCache>
                <c:ptCount val="2"/>
                <c:pt idx="0">
                  <c:v> Central Rakhine </c:v>
                </c:pt>
                <c:pt idx="1">
                  <c:v> Northern Rakhine </c:v>
                </c:pt>
              </c:strCache>
            </c:strRef>
          </c:cat>
          <c:val>
            <c:numRef>
              <c:f>HRP!$E$57:$E$58</c:f>
              <c:numCache>
                <c:formatCode>_(* #,##0_);_(* \(#,##0\);_(* "-"??_);_(@_)</c:formatCode>
                <c:ptCount val="2"/>
                <c:pt idx="0">
                  <c:v>173472</c:v>
                </c:pt>
                <c:pt idx="1">
                  <c:v>17082</c:v>
                </c:pt>
              </c:numCache>
            </c:numRef>
          </c:val>
          <c:extLst>
            <c:ext xmlns:c16="http://schemas.microsoft.com/office/drawing/2014/chart" uri="{C3380CC4-5D6E-409C-BE32-E72D297353CC}">
              <c16:uniqueId val="{00000002-DB15-4E31-852A-C011D1892EB1}"/>
            </c:ext>
          </c:extLst>
        </c:ser>
        <c:dLbls>
          <c:showLegendKey val="0"/>
          <c:showVal val="0"/>
          <c:showCatName val="0"/>
          <c:showSerName val="0"/>
          <c:showPercent val="0"/>
          <c:showBubbleSize val="0"/>
        </c:dLbls>
        <c:gapWidth val="150"/>
        <c:overlap val="100"/>
        <c:axId val="390218696"/>
        <c:axId val="390219088"/>
        <c:extLst>
          <c:ext xmlns:c15="http://schemas.microsoft.com/office/drawing/2012/chart" uri="{02D57815-91ED-43cb-92C2-25804820EDAC}">
            <c15:filteredBarSeries>
              <c15:ser>
                <c:idx val="0"/>
                <c:order val="0"/>
                <c:tx>
                  <c:strRef>
                    <c:extLst>
                      <c:ext uri="{02D57815-91ED-43cb-92C2-25804820EDAC}">
                        <c15:formulaRef>
                          <c15:sqref>HRP!$C$56</c15:sqref>
                        </c15:formulaRef>
                      </c:ext>
                    </c:extLst>
                    <c:strCache>
                      <c:ptCount val="1"/>
                      <c:pt idx="0">
                        <c:v>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c:ext uri="{02D57815-91ED-43cb-92C2-25804820EDAC}">
                        <c15:formulaRef>
                          <c15:sqref>HRP!$B$57:$B$58</c15:sqref>
                        </c15:formulaRef>
                      </c:ext>
                    </c:extLst>
                    <c:strCache>
                      <c:ptCount val="2"/>
                      <c:pt idx="0">
                        <c:v> Central Rakhine </c:v>
                      </c:pt>
                      <c:pt idx="1">
                        <c:v> Northern Rakhine </c:v>
                      </c:pt>
                    </c:strCache>
                  </c:strRef>
                </c:cat>
                <c:val>
                  <c:numRef>
                    <c:extLst>
                      <c:ext uri="{02D57815-91ED-43cb-92C2-25804820EDAC}">
                        <c15:formulaRef>
                          <c15:sqref>HRP!$C$57:$C$58</c15:sqref>
                        </c15:formulaRef>
                      </c:ext>
                    </c:extLst>
                    <c:numCache>
                      <c:formatCode>_(* #,##0_);_(* \(#,##0\);_(* "-"??_);_(@_)</c:formatCode>
                      <c:ptCount val="2"/>
                      <c:pt idx="0">
                        <c:v>254472</c:v>
                      </c:pt>
                      <c:pt idx="1">
                        <c:v>116064</c:v>
                      </c:pt>
                    </c:numCache>
                  </c:numRef>
                </c:val>
                <c:extLst>
                  <c:ext xmlns:c16="http://schemas.microsoft.com/office/drawing/2014/chart" uri="{C3380CC4-5D6E-409C-BE32-E72D297353CC}">
                    <c16:uniqueId val="{00000000-DB15-4E31-852A-C011D1892EB1}"/>
                  </c:ext>
                </c:extLst>
              </c15:ser>
            </c15:filteredBarSeries>
          </c:ext>
        </c:extLst>
      </c:barChart>
      <c:catAx>
        <c:axId val="39021869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9088"/>
        <c:crosses val="autoZero"/>
        <c:auto val="1"/>
        <c:lblAlgn val="ctr"/>
        <c:lblOffset val="100"/>
        <c:noMultiLvlLbl val="0"/>
      </c:catAx>
      <c:valAx>
        <c:axId val="39021908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8696"/>
        <c:crosses val="autoZero"/>
        <c:crossBetween val="between"/>
      </c:valAx>
      <c:spPr>
        <a:noFill/>
        <a:ln>
          <a:noFill/>
        </a:ln>
        <a:effectLst/>
      </c:spPr>
    </c:plotArea>
    <c:legend>
      <c:legendPos val="b"/>
      <c:layout>
        <c:manualLayout>
          <c:xMode val="edge"/>
          <c:yMode val="edge"/>
          <c:x val="0.41884453703817848"/>
          <c:y val="0.89252574488794967"/>
          <c:w val="0.18993918158000264"/>
          <c:h val="0.101461749099544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people who</a:t>
            </a:r>
            <a:r>
              <a:rPr lang="en-US" baseline="0"/>
              <a:t> received appropriate hygiene messages </a:t>
            </a:r>
          </a:p>
          <a:p>
            <a:pPr>
              <a:defRPr/>
            </a:pPr>
            <a:r>
              <a:rPr lang="en-US" baseline="0"/>
              <a:t>in non-IDP sites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8938-43B3-8616-2332529B983E}"/>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8938-43B3-8616-2332529B983E}"/>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8938-43B3-8616-2332529B983E}"/>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8938-43B3-8616-2332529B983E}"/>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8938-43B3-8616-2332529B983E}"/>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8938-43B3-8616-2332529B983E}"/>
              </c:ext>
            </c:extLst>
          </c:dPt>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938-43B3-8616-2332529B983E}"/>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8938-43B3-8616-2332529B983E}"/>
                </c:ext>
              </c:extLst>
            </c:dLbl>
            <c:dLbl>
              <c:idx val="3"/>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8938-43B3-8616-2332529B983E}"/>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8938-43B3-8616-2332529B983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Analysis!$E$128:$I$128</c:f>
              <c:strCache>
                <c:ptCount val="5"/>
                <c:pt idx="0">
                  <c:v>No Reached</c:v>
                </c:pt>
                <c:pt idx="1">
                  <c:v>Men</c:v>
                </c:pt>
                <c:pt idx="2">
                  <c:v>Women</c:v>
                </c:pt>
                <c:pt idx="3">
                  <c:v>Boys</c:v>
                </c:pt>
                <c:pt idx="4">
                  <c:v>Girls</c:v>
                </c:pt>
              </c:strCache>
            </c:strRef>
          </c:cat>
          <c:val>
            <c:numRef>
              <c:f>Analysis!$E$129:$I$129</c:f>
              <c:numCache>
                <c:formatCode>General</c:formatCode>
                <c:ptCount val="5"/>
                <c:pt idx="0">
                  <c:v>382068</c:v>
                </c:pt>
                <c:pt idx="1">
                  <c:v>576</c:v>
                </c:pt>
                <c:pt idx="2">
                  <c:v>2883</c:v>
                </c:pt>
                <c:pt idx="3">
                  <c:v>815</c:v>
                </c:pt>
                <c:pt idx="4">
                  <c:v>1512</c:v>
                </c:pt>
              </c:numCache>
            </c:numRef>
          </c:val>
          <c:extLst>
            <c:ext xmlns:c16="http://schemas.microsoft.com/office/drawing/2014/chart" uri="{C3380CC4-5D6E-409C-BE32-E72D297353CC}">
              <c16:uniqueId val="{0000000C-8938-43B3-8616-2332529B983E}"/>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a:t>Emergency Latrine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0537682789651"/>
          <c:y val="0.30618968251598661"/>
          <c:w val="0.48290903637045368"/>
          <c:h val="0.56548860784392929"/>
        </c:manualLayout>
      </c:layout>
      <c:pieChart>
        <c:varyColors val="1"/>
        <c:ser>
          <c:idx val="0"/>
          <c:order val="0"/>
          <c:tx>
            <c:strRef>
              <c:f>'[5]back end'!$A$66</c:f>
              <c:strCache>
                <c:ptCount val="1"/>
                <c:pt idx="0">
                  <c:v>Emergency Latrine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5A81-447B-939E-4F9369B2D06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5A81-447B-939E-4F9369B2D06C}"/>
              </c:ext>
            </c:extLst>
          </c:dPt>
          <c:dLbls>
            <c:dLbl>
              <c:idx val="0"/>
              <c:layout>
                <c:manualLayout>
                  <c:x val="-0.11098431286597357"/>
                  <c:y val="-0.1355285549873275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81-447B-939E-4F9369B2D06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'[5]back end'!$B$65:$C$65</c:f>
              <c:strCache>
                <c:ptCount val="2"/>
                <c:pt idx="0">
                  <c:v>Coverage</c:v>
                </c:pt>
                <c:pt idx="1">
                  <c:v>Gap</c:v>
                </c:pt>
              </c:strCache>
            </c:strRef>
          </c:cat>
          <c:val>
            <c:numRef>
              <c:f>'[5]back end'!$B$66:$C$66</c:f>
              <c:numCache>
                <c:formatCode>General</c:formatCode>
                <c:ptCount val="2"/>
                <c:pt idx="0">
                  <c:v>0.70890905341307486</c:v>
                </c:pt>
                <c:pt idx="1">
                  <c:v>0.29109094658692514</c:v>
                </c:pt>
              </c:numCache>
            </c:numRef>
          </c:val>
          <c:extLst>
            <c:ext xmlns:c16="http://schemas.microsoft.com/office/drawing/2014/chart" uri="{C3380CC4-5D6E-409C-BE32-E72D297353CC}">
              <c16:uniqueId val="{00000004-5A81-447B-939E-4F9369B2D06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'[5]back end'!$A$63</c15:sqref>
                        </c15:formulaRef>
                      </c:ext>
                    </c:extLst>
                    <c:strCache>
                      <c:ptCount val="1"/>
                      <c:pt idx="0">
                        <c:v>Hygiene item</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5A81-447B-939E-4F9369B2D06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5A81-447B-939E-4F9369B2D06C}"/>
                    </c:ext>
                  </c:extLst>
                </c:dPt>
                <c:cat>
                  <c:strRef>
                    <c:extLst>
                      <c:ext uri="{02D57815-91ED-43cb-92C2-25804820EDAC}">
                        <c15:formulaRef>
                          <c15:sqref>'[5]back end'!$B$65:$C$65</c15:sqref>
                        </c15:formulaRef>
                      </c:ext>
                    </c:extLst>
                    <c:strCache>
                      <c:ptCount val="2"/>
                      <c:pt idx="0">
                        <c:v>Coverage</c:v>
                      </c:pt>
                      <c:pt idx="1">
                        <c:v>Gap</c:v>
                      </c:pt>
                    </c:strCache>
                  </c:strRef>
                </c:cat>
                <c:val>
                  <c:numRef>
                    <c:extLst>
                      <c:ext uri="{02D57815-91ED-43cb-92C2-25804820EDAC}">
                        <c15:formulaRef>
                          <c15:sqref>'[5]back end'!$B$63:$C$63</c15:sqref>
                        </c15:formulaRef>
                      </c:ext>
                    </c:extLst>
                    <c:numCache>
                      <c:formatCode>General</c:formatCode>
                      <c:ptCount val="2"/>
                      <c:pt idx="0">
                        <c:v>0.31836306400839454</c:v>
                      </c:pt>
                      <c:pt idx="1">
                        <c:v>0.68163693599160546</c:v>
                      </c:pt>
                    </c:numCache>
                  </c:numRef>
                </c:val>
                <c:extLst>
                  <c:ext xmlns:c16="http://schemas.microsoft.com/office/drawing/2014/chart" uri="{C3380CC4-5D6E-409C-BE32-E72D297353CC}">
                    <c16:uniqueId val="{00000009-5A81-447B-939E-4F9369B2D06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a:t>Hygiene item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036136940867751"/>
          <c:y val="0.20296128669786592"/>
          <c:w val="0.45087871008099073"/>
          <c:h val="0.51250965699771633"/>
        </c:manualLayout>
      </c:layout>
      <c:pieChart>
        <c:varyColors val="1"/>
        <c:ser>
          <c:idx val="0"/>
          <c:order val="0"/>
          <c:tx>
            <c:strRef>
              <c:f>'[5]back end'!$A$63</c:f>
              <c:strCache>
                <c:ptCount val="1"/>
                <c:pt idx="0">
                  <c:v>Hygiene item</c:v>
                </c:pt>
              </c:strCache>
            </c:strRef>
          </c:tx>
          <c:dPt>
            <c:idx val="0"/>
            <c:bubble3D val="0"/>
            <c:spPr>
              <a:solidFill>
                <a:schemeClr val="accent6">
                  <a:lumMod val="75000"/>
                </a:schemeClr>
              </a:solidFill>
              <a:ln>
                <a:noFill/>
              </a:ln>
              <a:effectLst/>
            </c:spPr>
            <c:extLst xmlns:c15="http://schemas.microsoft.com/office/drawing/2012/chart">
              <c:ext xmlns:c16="http://schemas.microsoft.com/office/drawing/2014/chart" uri="{C3380CC4-5D6E-409C-BE32-E72D297353CC}">
                <c16:uniqueId val="{00000001-B43B-4B82-9CA3-09349BD773A5}"/>
              </c:ext>
            </c:extLst>
          </c:dPt>
          <c:dPt>
            <c:idx val="1"/>
            <c:bubble3D val="0"/>
            <c:spPr>
              <a:solidFill>
                <a:schemeClr val="accent6">
                  <a:lumMod val="40000"/>
                  <a:lumOff val="60000"/>
                </a:schemeClr>
              </a:solidFill>
              <a:ln>
                <a:noFill/>
              </a:ln>
              <a:effectLst/>
            </c:spPr>
            <c:extLst xmlns:c15="http://schemas.microsoft.com/office/drawing/2012/chart">
              <c:ext xmlns:c16="http://schemas.microsoft.com/office/drawing/2014/chart" uri="{C3380CC4-5D6E-409C-BE32-E72D297353CC}">
                <c16:uniqueId val="{00000003-B43B-4B82-9CA3-09349BD773A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43B-4B82-9CA3-09349BD77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'[5]back end'!$B$62:$C$62</c:f>
              <c:strCache>
                <c:ptCount val="2"/>
                <c:pt idx="0">
                  <c:v>Coverage</c:v>
                </c:pt>
                <c:pt idx="1">
                  <c:v>Gap</c:v>
                </c:pt>
              </c:strCache>
            </c:strRef>
          </c:cat>
          <c:val>
            <c:numRef>
              <c:f>'[5]back end'!$B$63:$C$63</c:f>
              <c:numCache>
                <c:formatCode>General</c:formatCode>
                <c:ptCount val="2"/>
                <c:pt idx="0">
                  <c:v>0.31836306400839454</c:v>
                </c:pt>
                <c:pt idx="1">
                  <c:v>0.68163693599160546</c:v>
                </c:pt>
              </c:numCache>
            </c:numRef>
          </c:val>
          <c:extLst xmlns:c15="http://schemas.microsoft.com/office/drawing/2012/chart">
            <c:ext xmlns:c16="http://schemas.microsoft.com/office/drawing/2014/chart" uri="{C3380CC4-5D6E-409C-BE32-E72D297353CC}">
              <c16:uniqueId val="{00000004-B43B-4B82-9CA3-09349BD773A5}"/>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Total Displaced population to date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31721</c:v>
              </c:pt>
            </c:numLit>
          </c:val>
          <c:extLst>
            <c:ext xmlns:c16="http://schemas.microsoft.com/office/drawing/2014/chart" uri="{C3380CC4-5D6E-409C-BE32-E72D297353CC}">
              <c16:uniqueId val="{00000000-B56B-4B32-B8C3-DF7AD6C977A4}"/>
            </c:ext>
          </c:extLst>
        </c:ser>
        <c:dLbls>
          <c:showLegendKey val="0"/>
          <c:showVal val="0"/>
          <c:showCatName val="0"/>
          <c:showSerName val="0"/>
          <c:showPercent val="0"/>
          <c:showBubbleSize val="0"/>
        </c:dLbls>
        <c:gapWidth val="100"/>
        <c:axId val="129988303"/>
        <c:axId val="121249343"/>
      </c:barChart>
      <c:catAx>
        <c:axId val="129988303"/>
        <c:scaling>
          <c:orientation val="minMax"/>
        </c:scaling>
        <c:delete val="1"/>
        <c:axPos val="l"/>
        <c:numFmt formatCode="General" sourceLinked="1"/>
        <c:majorTickMark val="none"/>
        <c:minorTickMark val="none"/>
        <c:tickLblPos val="nextTo"/>
        <c:crossAx val="121249343"/>
        <c:crosses val="autoZero"/>
        <c:auto val="1"/>
        <c:lblAlgn val="ctr"/>
        <c:lblOffset val="100"/>
        <c:noMultiLvlLbl val="0"/>
      </c:catAx>
      <c:valAx>
        <c:axId val="12124934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9988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displaced sites/villages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120</c:v>
              </c:pt>
            </c:numLit>
          </c:val>
          <c:extLst>
            <c:ext xmlns:c16="http://schemas.microsoft.com/office/drawing/2014/chart" uri="{C3380CC4-5D6E-409C-BE32-E72D297353CC}">
              <c16:uniqueId val="{00000000-B300-4431-AED3-426A298B3A26}"/>
            </c:ext>
          </c:extLst>
        </c:ser>
        <c:dLbls>
          <c:showLegendKey val="0"/>
          <c:showVal val="0"/>
          <c:showCatName val="0"/>
          <c:showSerName val="0"/>
          <c:showPercent val="0"/>
          <c:showBubbleSize val="0"/>
        </c:dLbls>
        <c:gapWidth val="100"/>
        <c:axId val="129987471"/>
        <c:axId val="228367903"/>
      </c:barChart>
      <c:catAx>
        <c:axId val="129987471"/>
        <c:scaling>
          <c:orientation val="minMax"/>
        </c:scaling>
        <c:delete val="1"/>
        <c:axPos val="l"/>
        <c:numFmt formatCode="General" sourceLinked="1"/>
        <c:majorTickMark val="none"/>
        <c:minorTickMark val="none"/>
        <c:tickLblPos val="nextTo"/>
        <c:crossAx val="228367903"/>
        <c:crosses val="autoZero"/>
        <c:auto val="1"/>
        <c:lblAlgn val="ctr"/>
        <c:lblOffset val="100"/>
        <c:noMultiLvlLbl val="0"/>
      </c:catAx>
      <c:valAx>
        <c:axId val="228367903"/>
        <c:scaling>
          <c:orientation val="minMax"/>
          <c:max val="12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9987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2019-Q3(US$)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2019</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[6]National!$B$4:$B$6</c15:sqref>
                  </c15:fullRef>
                </c:ext>
              </c:extLst>
              <c:f>[6]National!$B$5</c:f>
              <c:strCache>
                <c:ptCount val="1"/>
                <c:pt idx="0">
                  <c:v>Rakhine</c:v>
                </c:pt>
              </c:strCache>
            </c:strRef>
          </c:cat>
          <c:val>
            <c:numRef>
              <c:extLst>
                <c:ext xmlns:c15="http://schemas.microsoft.com/office/drawing/2012/chart" uri="{02D57815-91ED-43cb-92C2-25804820EDAC}">
                  <c15:fullRef>
                    <c15:sqref>[6]National!$D$4:$D$6</c15:sqref>
                  </c15:fullRef>
                </c:ext>
              </c:extLst>
              <c:f>[6]National!$D$5</c:f>
              <c:numCache>
                <c:formatCode>General</c:formatCode>
                <c:ptCount val="1"/>
                <c:pt idx="0">
                  <c:v>10119072.807686871</c:v>
                </c:pt>
              </c:numCache>
            </c:numRef>
          </c:val>
          <c:extLst xmlns:c15="http://schemas.microsoft.com/office/drawing/2012/chart">
            <c:ext xmlns:c16="http://schemas.microsoft.com/office/drawing/2014/chart" uri="{C3380CC4-5D6E-409C-BE32-E72D297353CC}">
              <c16:uniqueId val="{00000000-2AFA-487C-BBFF-8FAC6C1E4795}"/>
            </c:ext>
          </c:extLst>
        </c:ser>
        <c:ser>
          <c:idx val="1"/>
          <c:order val="1"/>
          <c:tx>
            <c:strRef>
              <c:f>[6]National!$E$3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[6]National!$B$4:$B$6</c15:sqref>
                  </c15:fullRef>
                </c:ext>
              </c:extLst>
              <c:f>[6]National!$B$5</c:f>
              <c:strCache>
                <c:ptCount val="1"/>
                <c:pt idx="0">
                  <c:v>Rakhine</c:v>
                </c:pt>
              </c:strCache>
            </c:strRef>
          </c:cat>
          <c:val>
            <c:numRef>
              <c:extLst>
                <c:ext xmlns:c15="http://schemas.microsoft.com/office/drawing/2012/chart" uri="{02D57815-91ED-43cb-92C2-25804820EDAC}">
                  <c15:fullRef>
                    <c15:sqref>[6]National!$E$4:$E$6</c15:sqref>
                  </c15:fullRef>
                </c:ext>
              </c:extLst>
              <c:f>[6]National!$E$5</c:f>
              <c:numCache>
                <c:formatCode>General</c:formatCode>
                <c:ptCount val="1"/>
                <c:pt idx="0">
                  <c:v>9580927.1923131291</c:v>
                </c:pt>
              </c:numCache>
            </c:numRef>
          </c:val>
          <c:extLst>
            <c:ext xmlns:c16="http://schemas.microsoft.com/office/drawing/2014/chart" uri="{C3380CC4-5D6E-409C-BE32-E72D297353CC}">
              <c16:uniqueId val="{00000001-2AFA-487C-BBFF-8FAC6C1E4795}"/>
            </c:ext>
          </c:extLst>
        </c:ser>
        <c:dLbls>
          <c:dLblPos val="ctr"/>
          <c:showLegendKey val="0"/>
          <c:showVal val="1"/>
          <c:showCatName val="0"/>
          <c:showSerName val="0"/>
          <c:showPercent val="0"/>
          <c:showBubbleSize val="0"/>
        </c:dLbls>
        <c:gapWidth val="150"/>
        <c:overlap val="100"/>
        <c:axId val="364368616"/>
        <c:axId val="364375672"/>
        <c:extLst/>
      </c:barChart>
      <c:catAx>
        <c:axId val="36436861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75672"/>
        <c:crosses val="autoZero"/>
        <c:auto val="1"/>
        <c:lblAlgn val="ctr"/>
        <c:lblOffset val="100"/>
        <c:noMultiLvlLbl val="0"/>
      </c:catAx>
      <c:valAx>
        <c:axId val="3643756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8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0.91321082705598466</c:v>
              </c:pt>
            </c:numLit>
          </c:val>
          <c:extLst>
            <c:ext xmlns:c16="http://schemas.microsoft.com/office/drawing/2014/chart" uri="{C3380CC4-5D6E-409C-BE32-E72D297353CC}">
              <c16:uniqueId val="{00000000-85BF-436B-A063-C43D0C0492DB}"/>
            </c:ext>
          </c:extLst>
        </c:ser>
        <c:ser>
          <c:idx val="1"/>
          <c:order val="1"/>
          <c:tx>
            <c:v>LNGO</c:v>
          </c:tx>
          <c:spPr>
            <a:solidFill>
              <a:schemeClr val="bg1">
                <a:lumMod val="65000"/>
              </a:schemeClr>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02-85BF-436B-A063-C43D0C0492DB}"/>
              </c:ext>
            </c:extLst>
          </c:dPt>
          <c:dLbls>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BF-436B-A063-C43D0C0492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6.2897639156402049E-2</c:v>
              </c:pt>
            </c:numLit>
          </c:val>
          <c:extLst>
            <c:ext xmlns:c16="http://schemas.microsoft.com/office/drawing/2014/chart" uri="{C3380CC4-5D6E-409C-BE32-E72D297353CC}">
              <c16:uniqueId val="{00000003-85BF-436B-A063-C43D0C0492DB}"/>
            </c:ext>
          </c:extLst>
        </c:ser>
        <c:ser>
          <c:idx val="2"/>
          <c:order val="2"/>
          <c:tx>
            <c:v>INGO/LNGO</c:v>
          </c:tx>
          <c:spPr>
            <a:solidFill>
              <a:schemeClr val="bg1">
                <a:lumMod val="8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5-85BF-436B-A063-C43D0C0492DB}"/>
              </c:ext>
            </c:extLst>
          </c:dPt>
          <c:dLbls>
            <c:dLbl>
              <c:idx val="0"/>
              <c:layout>
                <c:manualLayout>
                  <c:x val="3.4444445448948542E-2"/>
                  <c:y val="-6.016267719009824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BF-436B-A063-C43D0C0492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2.3891533787613311E-2</c:v>
              </c:pt>
            </c:numLit>
          </c:val>
          <c:extLst>
            <c:ext xmlns:c16="http://schemas.microsoft.com/office/drawing/2014/chart" uri="{C3380CC4-5D6E-409C-BE32-E72D297353CC}">
              <c16:uniqueId val="{00000006-85BF-436B-A063-C43D0C0492DB}"/>
            </c:ext>
          </c:extLst>
        </c:ser>
        <c:dLbls>
          <c:showLegendKey val="0"/>
          <c:showVal val="0"/>
          <c:showCatName val="0"/>
          <c:showSerName val="0"/>
          <c:showPercent val="0"/>
          <c:showBubbleSize val="0"/>
        </c:dLbls>
        <c:gapWidth val="1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[20191105_Myanmar_WASH_4W_2019_Q3_Rakhine_Village_Consolidate.xlsx]By Camps!PivotTable1</c:name>
    <c:fmtId val="4"/>
  </c:pivotSource>
  <c:chart>
    <c:title>
      <c:tx>
        <c:strRef>
          <c:f>'By Camps'!$B$34</c:f>
          <c:strCache>
            <c:ptCount val="1"/>
            <c:pt idx="0">
              <c:v>2019_Q3</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Camps'!$B$34</c:f>
              <c:strCache>
                <c:ptCount val="48"/>
                <c:pt idx="0">
                  <c:v>Ah Nauk San Pya Ward</c:v>
                </c:pt>
                <c:pt idx="1">
                  <c:v>Aung Min Ga Lar Ward</c:v>
                </c:pt>
                <c:pt idx="2">
                  <c:v>Baw Du Pha Village</c:v>
                </c:pt>
                <c:pt idx="3">
                  <c:v>Bu May Ohn Daw Chay</c:v>
                </c:pt>
                <c:pt idx="4">
                  <c:v>Chaung New Min Gan</c:v>
                </c:pt>
                <c:pt idx="5">
                  <c:v>Chi Laing Hpin</c:v>
                </c:pt>
                <c:pt idx="6">
                  <c:v>Dar Paing Ywar Haung</c:v>
                </c:pt>
                <c:pt idx="7">
                  <c:v>Dar Paing Ywar Thit</c:v>
                </c:pt>
                <c:pt idx="8">
                  <c:v>Done Pyin (North)</c:v>
                </c:pt>
                <c:pt idx="9">
                  <c:v>Done Pyin (South)</c:v>
                </c:pt>
                <c:pt idx="10">
                  <c:v>Hla May Shwe</c:v>
                </c:pt>
                <c:pt idx="11">
                  <c:v>Kan Pyin Ywa Haung</c:v>
                </c:pt>
                <c:pt idx="12">
                  <c:v>Kan Pyin Ywar Thit</c:v>
                </c:pt>
                <c:pt idx="13">
                  <c:v>Kha Tin Paik</c:v>
                </c:pt>
                <c:pt idx="14">
                  <c:v>Koe Saung (1) village</c:v>
                </c:pt>
                <c:pt idx="15">
                  <c:v>Kyan Taw</c:v>
                </c:pt>
                <c:pt idx="16">
                  <c:v>Kyar Ma Thauk</c:v>
                </c:pt>
                <c:pt idx="17">
                  <c:v>Kyauk Tan Chay</c:v>
                </c:pt>
                <c:pt idx="18">
                  <c:v>Kyauk Tan Gyi</c:v>
                </c:pt>
                <c:pt idx="19">
                  <c:v>Kyet Taw Pyin</c:v>
                </c:pt>
                <c:pt idx="20">
                  <c:v>Maung Ni Pyin</c:v>
                </c:pt>
                <c:pt idx="21">
                  <c:v>Min Gan 1</c:v>
                </c:pt>
                <c:pt idx="22">
                  <c:v>Nar Yi Kan</c:v>
                </c:pt>
                <c:pt idx="23">
                  <c:v>Ohn Taw Gyi</c:v>
                </c:pt>
                <c:pt idx="24">
                  <c:v>Ohn Ye Paw</c:v>
                </c:pt>
                <c:pt idx="25">
                  <c:v>Pyar Lay Chaung Ywar Haung</c:v>
                </c:pt>
                <c:pt idx="26">
                  <c:v>Pyin Shey Ku lar</c:v>
                </c:pt>
                <c:pt idx="27">
                  <c:v>Sa Ma Nya Village</c:v>
                </c:pt>
                <c:pt idx="28">
                  <c:v>Sat Roe Kya 1</c:v>
                </c:pt>
                <c:pt idx="29">
                  <c:v>Sat Roe Kya 2</c:v>
                </c:pt>
                <c:pt idx="30">
                  <c:v>Say Tha Mar Gyi village</c:v>
                </c:pt>
                <c:pt idx="31">
                  <c:v>Say Tha Mar Nge</c:v>
                </c:pt>
                <c:pt idx="32">
                  <c:v>Set Yone Su 1</c:v>
                </c:pt>
                <c:pt idx="33">
                  <c:v>Set Yone Su 3 (Mingan)</c:v>
                </c:pt>
                <c:pt idx="34">
                  <c:v>Shwe Pyi Thar</c:v>
                </c:pt>
                <c:pt idx="35">
                  <c:v>Ta Yar Thee Su Ward</c:v>
                </c:pt>
                <c:pt idx="36">
                  <c:v>Thae Chaung(Rakhine)</c:v>
                </c:pt>
                <c:pt idx="37">
                  <c:v>Thea Chaung Ku Lar</c:v>
                </c:pt>
                <c:pt idx="38">
                  <c:v>Thea Chaung Let Tha Mar Kone</c:v>
                </c:pt>
                <c:pt idx="39">
                  <c:v>Thein Tan</c:v>
                </c:pt>
                <c:pt idx="40">
                  <c:v>Thet Kay Pyin</c:v>
                </c:pt>
                <c:pt idx="41">
                  <c:v>Thet Kay Pyin Ywar Ma</c:v>
                </c:pt>
                <c:pt idx="42">
                  <c:v>Thin Ga Net</c:v>
                </c:pt>
                <c:pt idx="43">
                  <c:v>Thin Pone Tan</c:v>
                </c:pt>
                <c:pt idx="44">
                  <c:v>Thone Saung</c:v>
                </c:pt>
                <c:pt idx="45">
                  <c:v>Yae Chan Pyin</c:v>
                </c:pt>
                <c:pt idx="46">
                  <c:v>Ywar Thar Yar</c:v>
                </c:pt>
                <c:pt idx="47">
                  <c:v>Zaw Pu Gyar</c:v>
                </c:pt>
              </c:strCache>
            </c:strRef>
          </c:cat>
          <c:val>
            <c:numRef>
              <c:f>'By Camps'!$B$34</c:f>
              <c:numCache>
                <c:formatCode>General</c:formatCode>
                <c:ptCount val="48"/>
                <c:pt idx="0">
                  <c:v>110</c:v>
                </c:pt>
                <c:pt idx="1">
                  <c:v>199</c:v>
                </c:pt>
                <c:pt idx="2">
                  <c:v>1435</c:v>
                </c:pt>
                <c:pt idx="3">
                  <c:v>4476</c:v>
                </c:pt>
                <c:pt idx="4">
                  <c:v>1083</c:v>
                </c:pt>
                <c:pt idx="5">
                  <c:v>102</c:v>
                </c:pt>
                <c:pt idx="6">
                  <c:v>1867</c:v>
                </c:pt>
                <c:pt idx="7">
                  <c:v>3768</c:v>
                </c:pt>
                <c:pt idx="8">
                  <c:v>1416</c:v>
                </c:pt>
                <c:pt idx="9">
                  <c:v>853</c:v>
                </c:pt>
                <c:pt idx="10">
                  <c:v>2256</c:v>
                </c:pt>
                <c:pt idx="11">
                  <c:v>373</c:v>
                </c:pt>
                <c:pt idx="12">
                  <c:v>481</c:v>
                </c:pt>
                <c:pt idx="13">
                  <c:v>2168</c:v>
                </c:pt>
                <c:pt idx="14">
                  <c:v>715</c:v>
                </c:pt>
                <c:pt idx="15">
                  <c:v>656</c:v>
                </c:pt>
                <c:pt idx="16">
                  <c:v>1117</c:v>
                </c:pt>
                <c:pt idx="17">
                  <c:v>741</c:v>
                </c:pt>
                <c:pt idx="18">
                  <c:v>978</c:v>
                </c:pt>
                <c:pt idx="19">
                  <c:v>811</c:v>
                </c:pt>
                <c:pt idx="20">
                  <c:v>1027</c:v>
                </c:pt>
                <c:pt idx="21">
                  <c:v>134</c:v>
                </c:pt>
                <c:pt idx="22">
                  <c:v>112</c:v>
                </c:pt>
                <c:pt idx="23">
                  <c:v>87567</c:v>
                </c:pt>
                <c:pt idx="24">
                  <c:v>369</c:v>
                </c:pt>
                <c:pt idx="25">
                  <c:v>370</c:v>
                </c:pt>
                <c:pt idx="26">
                  <c:v>1369</c:v>
                </c:pt>
                <c:pt idx="27">
                  <c:v>1750</c:v>
                </c:pt>
                <c:pt idx="28">
                  <c:v>1362</c:v>
                </c:pt>
                <c:pt idx="29">
                  <c:v>2179</c:v>
                </c:pt>
                <c:pt idx="30">
                  <c:v>695</c:v>
                </c:pt>
                <c:pt idx="31">
                  <c:v>1390</c:v>
                </c:pt>
                <c:pt idx="32">
                  <c:v>442</c:v>
                </c:pt>
                <c:pt idx="33">
                  <c:v>625</c:v>
                </c:pt>
                <c:pt idx="34">
                  <c:v>249</c:v>
                </c:pt>
                <c:pt idx="35">
                  <c:v>120</c:v>
                </c:pt>
                <c:pt idx="36">
                  <c:v>745</c:v>
                </c:pt>
                <c:pt idx="37">
                  <c:v>5579</c:v>
                </c:pt>
                <c:pt idx="38">
                  <c:v>2427</c:v>
                </c:pt>
                <c:pt idx="39">
                  <c:v>658</c:v>
                </c:pt>
                <c:pt idx="40">
                  <c:v>12993</c:v>
                </c:pt>
                <c:pt idx="41">
                  <c:v>74</c:v>
                </c:pt>
                <c:pt idx="42">
                  <c:v>1901</c:v>
                </c:pt>
                <c:pt idx="43">
                  <c:v>1574</c:v>
                </c:pt>
                <c:pt idx="44">
                  <c:v>454</c:v>
                </c:pt>
                <c:pt idx="45">
                  <c:v>1529</c:v>
                </c:pt>
                <c:pt idx="46">
                  <c:v>1473</c:v>
                </c:pt>
                <c:pt idx="47">
                  <c:v>320</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Camps'!$B$34</c:f>
              <c:strCache>
                <c:ptCount val="48"/>
                <c:pt idx="0">
                  <c:v>Ah Nauk San Pya Ward</c:v>
                </c:pt>
                <c:pt idx="1">
                  <c:v>Aung Min Ga Lar Ward</c:v>
                </c:pt>
                <c:pt idx="2">
                  <c:v>Baw Du Pha Village</c:v>
                </c:pt>
                <c:pt idx="3">
                  <c:v>Bu May Ohn Daw Chay</c:v>
                </c:pt>
                <c:pt idx="4">
                  <c:v>Chaung New Min Gan</c:v>
                </c:pt>
                <c:pt idx="5">
                  <c:v>Chi Laing Hpin</c:v>
                </c:pt>
                <c:pt idx="6">
                  <c:v>Dar Paing Ywar Haung</c:v>
                </c:pt>
                <c:pt idx="7">
                  <c:v>Dar Paing Ywar Thit</c:v>
                </c:pt>
                <c:pt idx="8">
                  <c:v>Done Pyin (North)</c:v>
                </c:pt>
                <c:pt idx="9">
                  <c:v>Done Pyin (South)</c:v>
                </c:pt>
                <c:pt idx="10">
                  <c:v>Hla May Shwe</c:v>
                </c:pt>
                <c:pt idx="11">
                  <c:v>Kan Pyin Ywa Haung</c:v>
                </c:pt>
                <c:pt idx="12">
                  <c:v>Kan Pyin Ywar Thit</c:v>
                </c:pt>
                <c:pt idx="13">
                  <c:v>Kha Tin Paik</c:v>
                </c:pt>
                <c:pt idx="14">
                  <c:v>Koe Saung (1) village</c:v>
                </c:pt>
                <c:pt idx="15">
                  <c:v>Kyan Taw</c:v>
                </c:pt>
                <c:pt idx="16">
                  <c:v>Kyar Ma Thauk</c:v>
                </c:pt>
                <c:pt idx="17">
                  <c:v>Kyauk Tan Chay</c:v>
                </c:pt>
                <c:pt idx="18">
                  <c:v>Kyauk Tan Gyi</c:v>
                </c:pt>
                <c:pt idx="19">
                  <c:v>Kyet Taw Pyin</c:v>
                </c:pt>
                <c:pt idx="20">
                  <c:v>Maung Ni Pyin</c:v>
                </c:pt>
                <c:pt idx="21">
                  <c:v>Min Gan 1</c:v>
                </c:pt>
                <c:pt idx="22">
                  <c:v>Nar Yi Kan</c:v>
                </c:pt>
                <c:pt idx="23">
                  <c:v>Ohn Taw Gyi</c:v>
                </c:pt>
                <c:pt idx="24">
                  <c:v>Ohn Ye Paw</c:v>
                </c:pt>
                <c:pt idx="25">
                  <c:v>Pyar Lay Chaung Ywar Haung</c:v>
                </c:pt>
                <c:pt idx="26">
                  <c:v>Pyin Shey Ku lar</c:v>
                </c:pt>
                <c:pt idx="27">
                  <c:v>Sa Ma Nya Village</c:v>
                </c:pt>
                <c:pt idx="28">
                  <c:v>Sat Roe Kya 1</c:v>
                </c:pt>
                <c:pt idx="29">
                  <c:v>Sat Roe Kya 2</c:v>
                </c:pt>
                <c:pt idx="30">
                  <c:v>Say Tha Mar Gyi village</c:v>
                </c:pt>
                <c:pt idx="31">
                  <c:v>Say Tha Mar Nge</c:v>
                </c:pt>
                <c:pt idx="32">
                  <c:v>Set Yone Su 1</c:v>
                </c:pt>
                <c:pt idx="33">
                  <c:v>Set Yone Su 3 (Mingan)</c:v>
                </c:pt>
                <c:pt idx="34">
                  <c:v>Shwe Pyi Thar</c:v>
                </c:pt>
                <c:pt idx="35">
                  <c:v>Ta Yar Thee Su Ward</c:v>
                </c:pt>
                <c:pt idx="36">
                  <c:v>Thae Chaung(Rakhine)</c:v>
                </c:pt>
                <c:pt idx="37">
                  <c:v>Thea Chaung Ku Lar</c:v>
                </c:pt>
                <c:pt idx="38">
                  <c:v>Thea Chaung Let Tha Mar Kone</c:v>
                </c:pt>
                <c:pt idx="39">
                  <c:v>Thein Tan</c:v>
                </c:pt>
                <c:pt idx="40">
                  <c:v>Thet Kay Pyin</c:v>
                </c:pt>
                <c:pt idx="41">
                  <c:v>Thet Kay Pyin Ywar Ma</c:v>
                </c:pt>
                <c:pt idx="42">
                  <c:v>Thin Ga Net</c:v>
                </c:pt>
                <c:pt idx="43">
                  <c:v>Thin Pone Tan</c:v>
                </c:pt>
                <c:pt idx="44">
                  <c:v>Thone Saung</c:v>
                </c:pt>
                <c:pt idx="45">
                  <c:v>Yae Chan Pyin</c:v>
                </c:pt>
                <c:pt idx="46">
                  <c:v>Ywar Thar Yar</c:v>
                </c:pt>
                <c:pt idx="47">
                  <c:v>Zaw Pu Gyar</c:v>
                </c:pt>
              </c:strCache>
            </c:strRef>
          </c:cat>
          <c:val>
            <c:numRef>
              <c:f>'By Camps'!$B$34</c:f>
              <c:numCache>
                <c:formatCode>General</c:formatCode>
                <c:ptCount val="48"/>
                <c:pt idx="0">
                  <c:v>110</c:v>
                </c:pt>
                <c:pt idx="1">
                  <c:v>199</c:v>
                </c:pt>
                <c:pt idx="2">
                  <c:v>0</c:v>
                </c:pt>
                <c:pt idx="3">
                  <c:v>0</c:v>
                </c:pt>
                <c:pt idx="4">
                  <c:v>0</c:v>
                </c:pt>
                <c:pt idx="5">
                  <c:v>102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c:v>
                </c:pt>
                <c:pt idx="22">
                  <c:v>112</c:v>
                </c:pt>
                <c:pt idx="23">
                  <c:v>650</c:v>
                </c:pt>
                <c:pt idx="24">
                  <c:v>0</c:v>
                </c:pt>
                <c:pt idx="25">
                  <c:v>0</c:v>
                </c:pt>
                <c:pt idx="26">
                  <c:v>0</c:v>
                </c:pt>
                <c:pt idx="27">
                  <c:v>0</c:v>
                </c:pt>
                <c:pt idx="28">
                  <c:v>0</c:v>
                </c:pt>
                <c:pt idx="29">
                  <c:v>0</c:v>
                </c:pt>
                <c:pt idx="30">
                  <c:v>695</c:v>
                </c:pt>
                <c:pt idx="31">
                  <c:v>738</c:v>
                </c:pt>
                <c:pt idx="32">
                  <c:v>442</c:v>
                </c:pt>
                <c:pt idx="33">
                  <c:v>625</c:v>
                </c:pt>
                <c:pt idx="34">
                  <c:v>249</c:v>
                </c:pt>
                <c:pt idx="35">
                  <c:v>120</c:v>
                </c:pt>
                <c:pt idx="36">
                  <c:v>93</c:v>
                </c:pt>
                <c:pt idx="37">
                  <c:v>5579</c:v>
                </c:pt>
                <c:pt idx="38">
                  <c:v>2427</c:v>
                </c:pt>
                <c:pt idx="39">
                  <c:v>0</c:v>
                </c:pt>
                <c:pt idx="40">
                  <c:v>0</c:v>
                </c:pt>
                <c:pt idx="41">
                  <c:v>738</c:v>
                </c:pt>
                <c:pt idx="42">
                  <c:v>0</c:v>
                </c:pt>
                <c:pt idx="43">
                  <c:v>0</c:v>
                </c:pt>
                <c:pt idx="44">
                  <c:v>0</c:v>
                </c:pt>
                <c:pt idx="45">
                  <c:v>0</c:v>
                </c:pt>
                <c:pt idx="46">
                  <c:v>0</c:v>
                </c:pt>
                <c:pt idx="47">
                  <c:v>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Camps'!$B$34</c:f>
              <c:strCache>
                <c:ptCount val="48"/>
                <c:pt idx="0">
                  <c:v>Ah Nauk San Pya Ward</c:v>
                </c:pt>
                <c:pt idx="1">
                  <c:v>Aung Min Ga Lar Ward</c:v>
                </c:pt>
                <c:pt idx="2">
                  <c:v>Baw Du Pha Village</c:v>
                </c:pt>
                <c:pt idx="3">
                  <c:v>Bu May Ohn Daw Chay</c:v>
                </c:pt>
                <c:pt idx="4">
                  <c:v>Chaung New Min Gan</c:v>
                </c:pt>
                <c:pt idx="5">
                  <c:v>Chi Laing Hpin</c:v>
                </c:pt>
                <c:pt idx="6">
                  <c:v>Dar Paing Ywar Haung</c:v>
                </c:pt>
                <c:pt idx="7">
                  <c:v>Dar Paing Ywar Thit</c:v>
                </c:pt>
                <c:pt idx="8">
                  <c:v>Done Pyin (North)</c:v>
                </c:pt>
                <c:pt idx="9">
                  <c:v>Done Pyin (South)</c:v>
                </c:pt>
                <c:pt idx="10">
                  <c:v>Hla May Shwe</c:v>
                </c:pt>
                <c:pt idx="11">
                  <c:v>Kan Pyin Ywa Haung</c:v>
                </c:pt>
                <c:pt idx="12">
                  <c:v>Kan Pyin Ywar Thit</c:v>
                </c:pt>
                <c:pt idx="13">
                  <c:v>Kha Tin Paik</c:v>
                </c:pt>
                <c:pt idx="14">
                  <c:v>Koe Saung (1) village</c:v>
                </c:pt>
                <c:pt idx="15">
                  <c:v>Kyan Taw</c:v>
                </c:pt>
                <c:pt idx="16">
                  <c:v>Kyar Ma Thauk</c:v>
                </c:pt>
                <c:pt idx="17">
                  <c:v>Kyauk Tan Chay</c:v>
                </c:pt>
                <c:pt idx="18">
                  <c:v>Kyauk Tan Gyi</c:v>
                </c:pt>
                <c:pt idx="19">
                  <c:v>Kyet Taw Pyin</c:v>
                </c:pt>
                <c:pt idx="20">
                  <c:v>Maung Ni Pyin</c:v>
                </c:pt>
                <c:pt idx="21">
                  <c:v>Min Gan 1</c:v>
                </c:pt>
                <c:pt idx="22">
                  <c:v>Nar Yi Kan</c:v>
                </c:pt>
                <c:pt idx="23">
                  <c:v>Ohn Taw Gyi</c:v>
                </c:pt>
                <c:pt idx="24">
                  <c:v>Ohn Ye Paw</c:v>
                </c:pt>
                <c:pt idx="25">
                  <c:v>Pyar Lay Chaung Ywar Haung</c:v>
                </c:pt>
                <c:pt idx="26">
                  <c:v>Pyin Shey Ku lar</c:v>
                </c:pt>
                <c:pt idx="27">
                  <c:v>Sa Ma Nya Village</c:v>
                </c:pt>
                <c:pt idx="28">
                  <c:v>Sat Roe Kya 1</c:v>
                </c:pt>
                <c:pt idx="29">
                  <c:v>Sat Roe Kya 2</c:v>
                </c:pt>
                <c:pt idx="30">
                  <c:v>Say Tha Mar Gyi village</c:v>
                </c:pt>
                <c:pt idx="31">
                  <c:v>Say Tha Mar Nge</c:v>
                </c:pt>
                <c:pt idx="32">
                  <c:v>Set Yone Su 1</c:v>
                </c:pt>
                <c:pt idx="33">
                  <c:v>Set Yone Su 3 (Mingan)</c:v>
                </c:pt>
                <c:pt idx="34">
                  <c:v>Shwe Pyi Thar</c:v>
                </c:pt>
                <c:pt idx="35">
                  <c:v>Ta Yar Thee Su Ward</c:v>
                </c:pt>
                <c:pt idx="36">
                  <c:v>Thae Chaung(Rakhine)</c:v>
                </c:pt>
                <c:pt idx="37">
                  <c:v>Thea Chaung Ku Lar</c:v>
                </c:pt>
                <c:pt idx="38">
                  <c:v>Thea Chaung Let Tha Mar Kone</c:v>
                </c:pt>
                <c:pt idx="39">
                  <c:v>Thein Tan</c:v>
                </c:pt>
                <c:pt idx="40">
                  <c:v>Thet Kay Pyin</c:v>
                </c:pt>
                <c:pt idx="41">
                  <c:v>Thet Kay Pyin Ywar Ma</c:v>
                </c:pt>
                <c:pt idx="42">
                  <c:v>Thin Ga Net</c:v>
                </c:pt>
                <c:pt idx="43">
                  <c:v>Thin Pone Tan</c:v>
                </c:pt>
                <c:pt idx="44">
                  <c:v>Thone Saung</c:v>
                </c:pt>
                <c:pt idx="45">
                  <c:v>Yae Chan Pyin</c:v>
                </c:pt>
                <c:pt idx="46">
                  <c:v>Ywar Thar Yar</c:v>
                </c:pt>
                <c:pt idx="47">
                  <c:v>Zaw Pu Gyar</c:v>
                </c:pt>
              </c:strCache>
            </c:strRef>
          </c:cat>
          <c:val>
            <c:numRef>
              <c:f>'By Camps'!$B$34</c:f>
              <c:numCache>
                <c:formatCode>General</c:formatCode>
                <c:ptCount val="48"/>
                <c:pt idx="0">
                  <c:v>100</c:v>
                </c:pt>
                <c:pt idx="1">
                  <c:v>199</c:v>
                </c:pt>
                <c:pt idx="2">
                  <c:v>0</c:v>
                </c:pt>
                <c:pt idx="3">
                  <c:v>0</c:v>
                </c:pt>
                <c:pt idx="4">
                  <c:v>0</c:v>
                </c:pt>
                <c:pt idx="5">
                  <c:v>100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c:v>
                </c:pt>
                <c:pt idx="22">
                  <c:v>0</c:v>
                </c:pt>
                <c:pt idx="23">
                  <c:v>200</c:v>
                </c:pt>
                <c:pt idx="24">
                  <c:v>0</c:v>
                </c:pt>
                <c:pt idx="25">
                  <c:v>0</c:v>
                </c:pt>
                <c:pt idx="26">
                  <c:v>0</c:v>
                </c:pt>
                <c:pt idx="27">
                  <c:v>0</c:v>
                </c:pt>
                <c:pt idx="28">
                  <c:v>0</c:v>
                </c:pt>
                <c:pt idx="29">
                  <c:v>0</c:v>
                </c:pt>
                <c:pt idx="30">
                  <c:v>0</c:v>
                </c:pt>
                <c:pt idx="31">
                  <c:v>0</c:v>
                </c:pt>
                <c:pt idx="32">
                  <c:v>0</c:v>
                </c:pt>
                <c:pt idx="33">
                  <c:v>0</c:v>
                </c:pt>
                <c:pt idx="34">
                  <c:v>0</c:v>
                </c:pt>
                <c:pt idx="35">
                  <c:v>0</c:v>
                </c:pt>
                <c:pt idx="36">
                  <c:v>250</c:v>
                </c:pt>
                <c:pt idx="37">
                  <c:v>0</c:v>
                </c:pt>
                <c:pt idx="38">
                  <c:v>200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Camps'!$B$34</c:f>
              <c:strCache>
                <c:ptCount val="48"/>
                <c:pt idx="0">
                  <c:v>Ah Nauk San Pya Ward</c:v>
                </c:pt>
                <c:pt idx="1">
                  <c:v>Aung Min Ga Lar Ward</c:v>
                </c:pt>
                <c:pt idx="2">
                  <c:v>Baw Du Pha Village</c:v>
                </c:pt>
                <c:pt idx="3">
                  <c:v>Bu May Ohn Daw Chay</c:v>
                </c:pt>
                <c:pt idx="4">
                  <c:v>Chaung New Min Gan</c:v>
                </c:pt>
                <c:pt idx="5">
                  <c:v>Chi Laing Hpin</c:v>
                </c:pt>
                <c:pt idx="6">
                  <c:v>Dar Paing Ywar Haung</c:v>
                </c:pt>
                <c:pt idx="7">
                  <c:v>Dar Paing Ywar Thit</c:v>
                </c:pt>
                <c:pt idx="8">
                  <c:v>Done Pyin (North)</c:v>
                </c:pt>
                <c:pt idx="9">
                  <c:v>Done Pyin (South)</c:v>
                </c:pt>
                <c:pt idx="10">
                  <c:v>Hla May Shwe</c:v>
                </c:pt>
                <c:pt idx="11">
                  <c:v>Kan Pyin Ywa Haung</c:v>
                </c:pt>
                <c:pt idx="12">
                  <c:v>Kan Pyin Ywar Thit</c:v>
                </c:pt>
                <c:pt idx="13">
                  <c:v>Kha Tin Paik</c:v>
                </c:pt>
                <c:pt idx="14">
                  <c:v>Koe Saung (1) village</c:v>
                </c:pt>
                <c:pt idx="15">
                  <c:v>Kyan Taw</c:v>
                </c:pt>
                <c:pt idx="16">
                  <c:v>Kyar Ma Thauk</c:v>
                </c:pt>
                <c:pt idx="17">
                  <c:v>Kyauk Tan Chay</c:v>
                </c:pt>
                <c:pt idx="18">
                  <c:v>Kyauk Tan Gyi</c:v>
                </c:pt>
                <c:pt idx="19">
                  <c:v>Kyet Taw Pyin</c:v>
                </c:pt>
                <c:pt idx="20">
                  <c:v>Maung Ni Pyin</c:v>
                </c:pt>
                <c:pt idx="21">
                  <c:v>Min Gan 1</c:v>
                </c:pt>
                <c:pt idx="22">
                  <c:v>Nar Yi Kan</c:v>
                </c:pt>
                <c:pt idx="23">
                  <c:v>Ohn Taw Gyi</c:v>
                </c:pt>
                <c:pt idx="24">
                  <c:v>Ohn Ye Paw</c:v>
                </c:pt>
                <c:pt idx="25">
                  <c:v>Pyar Lay Chaung Ywar Haung</c:v>
                </c:pt>
                <c:pt idx="26">
                  <c:v>Pyin Shey Ku lar</c:v>
                </c:pt>
                <c:pt idx="27">
                  <c:v>Sa Ma Nya Village</c:v>
                </c:pt>
                <c:pt idx="28">
                  <c:v>Sat Roe Kya 1</c:v>
                </c:pt>
                <c:pt idx="29">
                  <c:v>Sat Roe Kya 2</c:v>
                </c:pt>
                <c:pt idx="30">
                  <c:v>Say Tha Mar Gyi village</c:v>
                </c:pt>
                <c:pt idx="31">
                  <c:v>Say Tha Mar Nge</c:v>
                </c:pt>
                <c:pt idx="32">
                  <c:v>Set Yone Su 1</c:v>
                </c:pt>
                <c:pt idx="33">
                  <c:v>Set Yone Su 3 (Mingan)</c:v>
                </c:pt>
                <c:pt idx="34">
                  <c:v>Shwe Pyi Thar</c:v>
                </c:pt>
                <c:pt idx="35">
                  <c:v>Ta Yar Thee Su Ward</c:v>
                </c:pt>
                <c:pt idx="36">
                  <c:v>Thae Chaung(Rakhine)</c:v>
                </c:pt>
                <c:pt idx="37">
                  <c:v>Thea Chaung Ku Lar</c:v>
                </c:pt>
                <c:pt idx="38">
                  <c:v>Thea Chaung Let Tha Mar Kone</c:v>
                </c:pt>
                <c:pt idx="39">
                  <c:v>Thein Tan</c:v>
                </c:pt>
                <c:pt idx="40">
                  <c:v>Thet Kay Pyin</c:v>
                </c:pt>
                <c:pt idx="41">
                  <c:v>Thet Kay Pyin Ywar Ma</c:v>
                </c:pt>
                <c:pt idx="42">
                  <c:v>Thin Ga Net</c:v>
                </c:pt>
                <c:pt idx="43">
                  <c:v>Thin Pone Tan</c:v>
                </c:pt>
                <c:pt idx="44">
                  <c:v>Thone Saung</c:v>
                </c:pt>
                <c:pt idx="45">
                  <c:v>Yae Chan Pyin</c:v>
                </c:pt>
                <c:pt idx="46">
                  <c:v>Ywar Thar Yar</c:v>
                </c:pt>
                <c:pt idx="47">
                  <c:v>Zaw Pu Gyar</c:v>
                </c:pt>
              </c:strCache>
            </c:strRef>
          </c:cat>
          <c:val>
            <c:numRef>
              <c:f>'By Camps'!$B$34</c:f>
              <c:numCache>
                <c:formatCode>General</c:formatCode>
                <c:ptCount val="48"/>
                <c:pt idx="0">
                  <c:v>110</c:v>
                </c:pt>
                <c:pt idx="1">
                  <c:v>199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c:v>
                </c:pt>
                <c:pt idx="22">
                  <c:v>112</c:v>
                </c:pt>
                <c:pt idx="23">
                  <c:v>1815</c:v>
                </c:pt>
                <c:pt idx="24">
                  <c:v>0</c:v>
                </c:pt>
                <c:pt idx="25">
                  <c:v>0</c:v>
                </c:pt>
                <c:pt idx="26">
                  <c:v>0</c:v>
                </c:pt>
                <c:pt idx="27">
                  <c:v>0</c:v>
                </c:pt>
                <c:pt idx="28">
                  <c:v>0</c:v>
                </c:pt>
                <c:pt idx="29">
                  <c:v>0</c:v>
                </c:pt>
                <c:pt idx="30">
                  <c:v>695</c:v>
                </c:pt>
                <c:pt idx="31">
                  <c:v>1390</c:v>
                </c:pt>
                <c:pt idx="32">
                  <c:v>0</c:v>
                </c:pt>
                <c:pt idx="33">
                  <c:v>625</c:v>
                </c:pt>
                <c:pt idx="34">
                  <c:v>249</c:v>
                </c:pt>
                <c:pt idx="35">
                  <c:v>120</c:v>
                </c:pt>
                <c:pt idx="36">
                  <c:v>745</c:v>
                </c:pt>
                <c:pt idx="37">
                  <c:v>5579</c:v>
                </c:pt>
                <c:pt idx="38">
                  <c:v>2427</c:v>
                </c:pt>
                <c:pt idx="39">
                  <c:v>0</c:v>
                </c:pt>
                <c:pt idx="40">
                  <c:v>0</c:v>
                </c:pt>
                <c:pt idx="41">
                  <c:v>74</c:v>
                </c:pt>
                <c:pt idx="42">
                  <c:v>0</c:v>
                </c:pt>
                <c:pt idx="43">
                  <c:v>0</c:v>
                </c:pt>
                <c:pt idx="44">
                  <c:v>0</c:v>
                </c:pt>
                <c:pt idx="45">
                  <c:v>0</c:v>
                </c:pt>
                <c:pt idx="46">
                  <c:v>0</c:v>
                </c:pt>
                <c:pt idx="47">
                  <c:v>0</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0171567357265161"/>
          <c:y val="0.18479079148282593"/>
          <c:w val="0.19828432642734836"/>
          <c:h val="0.5650200776787922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Dashboard'!$M$4</c:f>
              <c:strCache>
                <c:ptCount val="1"/>
                <c:pt idx="0">
                  <c:v>  Total PoP </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Dashboard'!$L$5:$L$7</c:f>
              <c:strCache>
                <c:ptCount val="2"/>
                <c:pt idx="0">
                  <c:v>2019_Q2</c:v>
                </c:pt>
                <c:pt idx="1">
                  <c:v>2019_Q3</c:v>
                </c:pt>
              </c:strCache>
            </c:strRef>
          </c:cat>
          <c:val>
            <c:numRef>
              <c:f>'Tracking Dashboard'!$M$5:$M$7</c:f>
              <c:numCache>
                <c:formatCode>General</c:formatCode>
                <c:ptCount val="2"/>
                <c:pt idx="0">
                  <c:v>32230</c:v>
                </c:pt>
                <c:pt idx="1">
                  <c:v>54338</c:v>
                </c:pt>
              </c:numCache>
            </c:numRef>
          </c:val>
          <c:extLst>
            <c:ext xmlns:c16="http://schemas.microsoft.com/office/drawing/2014/chart" uri="{C3380CC4-5D6E-409C-BE32-E72D297353CC}">
              <c16:uniqueId val="{00000000-FFE7-4630-AA87-8BB156FFBC38}"/>
            </c:ext>
          </c:extLst>
        </c:ser>
        <c:ser>
          <c:idx val="1"/>
          <c:order val="1"/>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Dashboard'!$L$5:$L$7</c:f>
              <c:strCache>
                <c:ptCount val="2"/>
                <c:pt idx="0">
                  <c:v>2019_Q2</c:v>
                </c:pt>
                <c:pt idx="1">
                  <c:v>2019_Q3</c:v>
                </c:pt>
              </c:strCache>
            </c:strRef>
          </c:cat>
          <c:val>
            <c:numRef>
              <c:f>'Tracking Dashboard'!$N$5:$N$7</c:f>
              <c:numCache>
                <c:formatCode>General</c:formatCode>
                <c:ptCount val="2"/>
                <c:pt idx="0">
                  <c:v>9272</c:v>
                </c:pt>
                <c:pt idx="1">
                  <c:v>0</c:v>
                </c:pt>
              </c:numCache>
            </c:numRef>
          </c:val>
          <c:extLst>
            <c:ext xmlns:c16="http://schemas.microsoft.com/office/drawing/2014/chart" uri="{C3380CC4-5D6E-409C-BE32-E72D297353CC}">
              <c16:uniqueId val="{00000001-FFE7-4630-AA87-8BB156FFBC38}"/>
            </c:ext>
          </c:extLst>
        </c:ser>
        <c:ser>
          <c:idx val="2"/>
          <c:order val="2"/>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Dashboard'!$L$5:$L$7</c:f>
              <c:strCache>
                <c:ptCount val="2"/>
                <c:pt idx="0">
                  <c:v>2019_Q2</c:v>
                </c:pt>
                <c:pt idx="1">
                  <c:v>2019_Q3</c:v>
                </c:pt>
              </c:strCache>
            </c:strRef>
          </c:cat>
          <c:val>
            <c:numRef>
              <c:f>'Tracking Dashboard'!$O$5:$O$7</c:f>
              <c:numCache>
                <c:formatCode>General</c:formatCode>
                <c:ptCount val="2"/>
                <c:pt idx="0">
                  <c:v>7228</c:v>
                </c:pt>
                <c:pt idx="1">
                  <c:v>9428</c:v>
                </c:pt>
              </c:numCache>
            </c:numRef>
          </c:val>
          <c:extLst>
            <c:ext xmlns:c16="http://schemas.microsoft.com/office/drawing/2014/chart" uri="{C3380CC4-5D6E-409C-BE32-E72D297353CC}">
              <c16:uniqueId val="{00000002-FFE7-4630-AA87-8BB156FFBC38}"/>
            </c:ext>
          </c:extLst>
        </c:ser>
        <c:ser>
          <c:idx val="3"/>
          <c:order val="3"/>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Dashboard'!$L$5:$L$7</c:f>
              <c:strCache>
                <c:ptCount val="2"/>
                <c:pt idx="0">
                  <c:v>2019_Q2</c:v>
                </c:pt>
                <c:pt idx="1">
                  <c:v>2019_Q3</c:v>
                </c:pt>
              </c:strCache>
            </c:strRef>
          </c:cat>
          <c:val>
            <c:numRef>
              <c:f>'Tracking Dashboard'!$P$5:$P$7</c:f>
              <c:numCache>
                <c:formatCode>General</c:formatCode>
                <c:ptCount val="2"/>
                <c:pt idx="0">
                  <c:v>13404</c:v>
                </c:pt>
                <c:pt idx="1">
                  <c:v>27546</c:v>
                </c:pt>
              </c:numCache>
            </c:numRef>
          </c:val>
          <c:extLst>
            <c:ext xmlns:c16="http://schemas.microsoft.com/office/drawing/2014/chart" uri="{C3380CC4-5D6E-409C-BE32-E72D297353CC}">
              <c16:uniqueId val="{00000000-9116-4F02-8F60-3C03EBF393F4}"/>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42922885394612681"/>
          <c:w val="0.28836305215211328"/>
          <c:h val="0.258309584413730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2019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(in Non-IDPs)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HRP!$G$78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0-057D-42B2-9B65-739548585F31}"/>
              </c:ext>
            </c:extLst>
          </c:dPt>
          <c:dPt>
            <c:idx val="2"/>
            <c:invertIfNegative val="0"/>
            <c:bubble3D val="0"/>
            <c:spPr>
              <a:solidFill>
                <a:srgbClr val="0070C0"/>
              </a:solidFill>
              <a:ln>
                <a:noFill/>
              </a:ln>
              <a:effectLst/>
            </c:spPr>
            <c:extLst>
              <c:ext xmlns:c16="http://schemas.microsoft.com/office/drawing/2014/chart" uri="{C3380CC4-5D6E-409C-BE32-E72D297353CC}">
                <c16:uniqueId val="{00000003-D536-49CF-BBEC-F0AB19A3C655}"/>
              </c:ext>
            </c:extLst>
          </c:dPt>
          <c:dLbls>
            <c:dLbl>
              <c:idx val="0"/>
              <c:layout>
                <c:manualLayout>
                  <c:x val="2.68537359467209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DE-456B-8F87-47A1851CAADC}"/>
                </c:ext>
              </c:extLst>
            </c:dLbl>
            <c:dLbl>
              <c:idx val="1"/>
              <c:layout>
                <c:manualLayout>
                  <c:x val="1.9856577800545012E-2"/>
                  <c:y val="-3.22167727114301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D-42B2-9B65-739548585F3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HRP!$E$79:$E$81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HRP!$G$79:$G$81</c:f>
              <c:numCache>
                <c:formatCode>_(* #,##0_);_(* \(#,##0\);_(* "-"??_);_(@_)</c:formatCode>
                <c:ptCount val="3"/>
                <c:pt idx="0">
                  <c:v>116117</c:v>
                </c:pt>
                <c:pt idx="1">
                  <c:v>26548</c:v>
                </c:pt>
                <c:pt idx="2">
                  <c:v>81134</c:v>
                </c:pt>
              </c:numCache>
            </c:numRef>
          </c:val>
          <c:extLst>
            <c:ext xmlns:c16="http://schemas.microsoft.com/office/drawing/2014/chart" uri="{C3380CC4-5D6E-409C-BE32-E72D297353CC}">
              <c16:uniqueId val="{00000003-057D-42B2-9B65-739548585F31}"/>
            </c:ext>
          </c:extLst>
        </c:ser>
        <c:ser>
          <c:idx val="1"/>
          <c:order val="1"/>
          <c:tx>
            <c:strRef>
              <c:f>HRP!$H$78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D536-49CF-BBEC-F0AB19A3C65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D536-49CF-BBEC-F0AB19A3C65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HRP!$E$79:$E$81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HRP!$H$79:$H$81</c:f>
              <c:numCache>
                <c:formatCode>_(* #,##0_);_(* \(#,##0\);_(* "-"??_);_(@_)</c:formatCode>
                <c:ptCount val="3"/>
                <c:pt idx="0">
                  <c:v>143360</c:v>
                </c:pt>
                <c:pt idx="1">
                  <c:v>232929</c:v>
                </c:pt>
                <c:pt idx="2">
                  <c:v>178343</c:v>
                </c:pt>
              </c:numCache>
            </c:numRef>
          </c:val>
          <c:extLs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391610984"/>
        <c:axId val="391606280"/>
      </c:barChart>
      <c:catAx>
        <c:axId val="3916109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6280"/>
        <c:crosses val="autoZero"/>
        <c:auto val="1"/>
        <c:lblAlgn val="ctr"/>
        <c:lblOffset val="100"/>
        <c:noMultiLvlLbl val="0"/>
      </c:catAx>
      <c:valAx>
        <c:axId val="39160628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10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HRP!$H$15</c:f>
              <c:strCache>
                <c:ptCount val="1"/>
                <c:pt idx="0">
                  <c:v>% Reached</c:v>
                </c:pt>
              </c:strCache>
            </c:strRef>
          </c:tx>
          <c:spPr>
            <a:solidFill>
              <a:schemeClr val="tx1">
                <a:lumMod val="65000"/>
                <a:lumOff val="35000"/>
              </a:schemeClr>
            </a:solidFill>
            <a:ln>
              <a:noFill/>
            </a:ln>
            <a:effectLst/>
          </c:spPr>
          <c:invertIfNegative val="0"/>
          <c:cat>
            <c:multiLvlStrRef>
              <c:f>HRP!$C$16:$D$23</c:f>
              <c:multiLvlStrCache>
                <c:ptCount val="8"/>
                <c:lvl>
                  <c:pt idx="0">
                    <c:v> Central Rakhine </c:v>
                  </c:pt>
                  <c:pt idx="1">
                    <c:v> Northern Rakhine </c:v>
                  </c:pt>
                  <c:pt idx="2">
                    <c:v> Total </c:v>
                  </c:pt>
                  <c:pt idx="3">
                    <c:v> Central Rakhine </c:v>
                  </c:pt>
                  <c:pt idx="4">
                    <c:v> Northern Rakhine </c:v>
                  </c:pt>
                  <c:pt idx="5">
                    <c:v> Total </c:v>
                  </c:pt>
                  <c:pt idx="6">
                    <c:v> Central Rakhine </c:v>
                  </c:pt>
                  <c:pt idx="7">
                    <c:v> Northern Rakhine </c:v>
                  </c:pt>
                </c:lvl>
                <c:lvl>
                  <c:pt idx="0">
                    <c:v>Percentage of women, men, boys and girls benefitting from safe/improved drinking water, meeting demand for domestic purposes, at minimum/agreed standards</c:v>
                  </c:pt>
                  <c:pt idx="3">
                    <c:v>Percentage of targeted women, men, boys and girls benefitting from a functional excreta disposal system, reducing safety/public health/environmental risks</c:v>
                  </c:pt>
                  <c:pt idx="6">
                    <c:v>Percentage of targeted women, men, boys and girls benefitting from timely/adequate/tailored personal hygiene items and receiving appropriate/ community tailored messages that enable health seeking behavior</c:v>
                  </c:pt>
                </c:lvl>
              </c:multiLvlStrCache>
            </c:multiLvlStrRef>
          </c:cat>
          <c:val>
            <c:numRef>
              <c:f>HRP!$H$16:$H$23</c:f>
              <c:numCache>
                <c:formatCode>0%</c:formatCode>
                <c:ptCount val="8"/>
                <c:pt idx="0">
                  <c:v>0.37366208084343816</c:v>
                </c:pt>
                <c:pt idx="1">
                  <c:v>0.23733457402812241</c:v>
                </c:pt>
                <c:pt idx="2" formatCode="_(* #,##0_);_(* \(#,##0\);_(* &quot;-&quot;??_);_(@_)">
                  <c:v>0.31268281967187844</c:v>
                </c:pt>
                <c:pt idx="3">
                  <c:v>0.11937550989101406</c:v>
                </c:pt>
                <c:pt idx="4">
                  <c:v>8.1231044940722363E-2</c:v>
                </c:pt>
                <c:pt idx="5">
                  <c:v>0.1023134998477707</c:v>
                </c:pt>
                <c:pt idx="6">
                  <c:v>0.56480235404042867</c:v>
                </c:pt>
                <c:pt idx="7">
                  <c:v>0.85282258064516125</c:v>
                </c:pt>
              </c:numCache>
            </c:numRef>
          </c:val>
          <c:extLst>
            <c:ext xmlns:c16="http://schemas.microsoft.com/office/drawing/2014/chart" uri="{C3380CC4-5D6E-409C-BE32-E72D297353CC}">
              <c16:uniqueId val="{00000000-78ED-4C56-BA32-1282FB4F42D0}"/>
            </c:ext>
          </c:extLst>
        </c:ser>
        <c:ser>
          <c:idx val="1"/>
          <c:order val="1"/>
          <c:tx>
            <c:strRef>
              <c:f>HRP!$I$15</c:f>
              <c:strCache>
                <c:ptCount val="1"/>
                <c:pt idx="0">
                  <c:v>% Gap</c:v>
                </c:pt>
              </c:strCache>
            </c:strRef>
          </c:tx>
          <c:spPr>
            <a:solidFill>
              <a:schemeClr val="bg1">
                <a:lumMod val="75000"/>
              </a:schemeClr>
            </a:solidFill>
            <a:ln>
              <a:noFill/>
            </a:ln>
            <a:effectLst/>
          </c:spPr>
          <c:invertIfNegative val="0"/>
          <c:cat>
            <c:multiLvlStrRef>
              <c:f>HRP!$C$16:$D$23</c:f>
              <c:multiLvlStrCache>
                <c:ptCount val="8"/>
                <c:lvl>
                  <c:pt idx="0">
                    <c:v> Central Rakhine </c:v>
                  </c:pt>
                  <c:pt idx="1">
                    <c:v> Northern Rakhine </c:v>
                  </c:pt>
                  <c:pt idx="2">
                    <c:v> Total </c:v>
                  </c:pt>
                  <c:pt idx="3">
                    <c:v> Central Rakhine </c:v>
                  </c:pt>
                  <c:pt idx="4">
                    <c:v> Northern Rakhine </c:v>
                  </c:pt>
                  <c:pt idx="5">
                    <c:v> Total </c:v>
                  </c:pt>
                  <c:pt idx="6">
                    <c:v> Central Rakhine </c:v>
                  </c:pt>
                  <c:pt idx="7">
                    <c:v> Northern Rakhine </c:v>
                  </c:pt>
                </c:lvl>
                <c:lvl>
                  <c:pt idx="0">
                    <c:v>Percentage of women, men, boys and girls benefitting from safe/improved drinking water, meeting demand for domestic purposes, at minimum/agreed standards</c:v>
                  </c:pt>
                  <c:pt idx="3">
                    <c:v>Percentage of targeted women, men, boys and girls benefitting from a functional excreta disposal system, reducing safety/public health/environmental risks</c:v>
                  </c:pt>
                  <c:pt idx="6">
                    <c:v>Percentage of targeted women, men, boys and girls benefitting from timely/adequate/tailored personal hygiene items and receiving appropriate/ community tailored messages that enable health seeking behavior</c:v>
                  </c:pt>
                </c:lvl>
              </c:multiLvlStrCache>
            </c:multiLvlStrRef>
          </c:cat>
          <c:val>
            <c:numRef>
              <c:f>HRP!$I$16:$I$23</c:f>
              <c:numCache>
                <c:formatCode>0%</c:formatCode>
                <c:ptCount val="8"/>
                <c:pt idx="0">
                  <c:v>0.6263379191565619</c:v>
                </c:pt>
                <c:pt idx="1">
                  <c:v>0.76266542597187759</c:v>
                </c:pt>
                <c:pt idx="2" formatCode="_(* #,##0_);_(* \(#,##0\);_(* &quot;-&quot;??_);_(@_)">
                  <c:v>0.6873171803281215</c:v>
                </c:pt>
                <c:pt idx="3">
                  <c:v>0.88062449010898591</c:v>
                </c:pt>
                <c:pt idx="4">
                  <c:v>0.91876895505927769</c:v>
                </c:pt>
                <c:pt idx="5">
                  <c:v>0.89768650015222928</c:v>
                </c:pt>
                <c:pt idx="6">
                  <c:v>0.43519764595957133</c:v>
                </c:pt>
                <c:pt idx="7">
                  <c:v>0.14717741935483875</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[20191105_Myanmar_WASH_4W_2019_Q3_Rakhine_Village_Consolidate.xlsx]Analysis!R_water1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Villages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Analysis!$C$31:$C$32</c:f>
              <c:strCache>
                <c:ptCount val="1"/>
                <c:pt idx="0">
                  <c:v>Village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Analysis!$B$33:$B$34</c:f>
              <c:strCache>
                <c:ptCount val="2"/>
                <c:pt idx="0">
                  <c:v>Coverage</c:v>
                </c:pt>
                <c:pt idx="1">
                  <c:v>Gap</c:v>
                </c:pt>
              </c:strCache>
            </c:strRef>
          </c:cat>
          <c:val>
            <c:numRef>
              <c:f>Analysis!$C$33:$C$34</c:f>
              <c:numCache>
                <c:formatCode>0</c:formatCode>
                <c:ptCount val="2"/>
                <c:pt idx="0">
                  <c:v>324.53599999999994</c:v>
                </c:pt>
                <c:pt idx="1">
                  <c:v>1256.4760000000001</c:v>
                </c:pt>
              </c:numCache>
            </c:numRef>
          </c:val>
          <c:extLst>
            <c:ext xmlns:c16="http://schemas.microsoft.com/office/drawing/2014/chart" uri="{C3380CC4-5D6E-409C-BE32-E72D297353CC}">
              <c16:uniqueId val="{00000000-8F04-4517-869A-45FA4E011E80}"/>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1054401644581159"/>
          <c:y val="0.21516191168752388"/>
          <c:w val="0.39963337140878941"/>
          <c:h val="0.60300038388522614"/>
        </c:manualLayout>
      </c:layout>
      <c:pieChart>
        <c:varyColors val="1"/>
        <c:ser>
          <c:idx val="0"/>
          <c:order val="0"/>
          <c:tx>
            <c:strRef>
              <c:f>Analysis!$C$78</c:f>
              <c:strCache>
                <c:ptCount val="1"/>
                <c:pt idx="0">
                  <c:v> # in villages (6:1) </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3-F265-40B2-A2CF-8E2569335AF8}"/>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D-F265-40B2-A2CF-8E2569335AF8}"/>
              </c:ext>
            </c:extLst>
          </c:dPt>
          <c:dLbls>
            <c:dLbl>
              <c:idx val="0"/>
              <c:layout>
                <c:manualLayout>
                  <c:x val="-1.1144593969156145E-2"/>
                  <c:y val="9.771736515890709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5-40B2-A2CF-8E2569335A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Analysis!$B$79:$B$80</c:f>
              <c:strCache>
                <c:ptCount val="2"/>
                <c:pt idx="0">
                  <c:v> Coverage </c:v>
                </c:pt>
                <c:pt idx="1">
                  <c:v> GAP </c:v>
                </c:pt>
              </c:strCache>
            </c:strRef>
          </c:cat>
          <c:val>
            <c:numRef>
              <c:f>Analysis!$C$79:$C$80</c:f>
              <c:numCache>
                <c:formatCode>_(* #,##0_);_(* \(#,##0\);_(* "-"??_);_(@_)</c:formatCode>
                <c:ptCount val="2"/>
                <c:pt idx="0">
                  <c:v>2870</c:v>
                </c:pt>
                <c:pt idx="1">
                  <c:v>61796</c:v>
                </c:pt>
              </c:numCache>
            </c:numRef>
          </c:val>
          <c:extLst>
            <c:ext xmlns:c16="http://schemas.microsoft.com/office/drawing/2014/chart" uri="{C3380CC4-5D6E-409C-BE32-E72D297353CC}">
              <c16:uniqueId val="{00000000-A6C3-4C9D-924E-545947A62E9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Analysis!$C$238</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E8F-4A87-832A-A9C7772CDEF5}"/>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920-47D8-A18A-4927C641013C}"/>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2359-413F-AD86-E76121A85E4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Analysis!$D$236:$H$236</c15:sqref>
                  </c15:fullRef>
                </c:ext>
              </c:extLst>
              <c:f>(Analysis!$D$236:$E$236,Analysis!$G$236:$H$236)</c:f>
              <c:strCache>
                <c:ptCount val="4"/>
                <c:pt idx="0">
                  <c:v> # of hand washing stations with sufficient soap</c:v>
                </c:pt>
                <c:pt idx="1">
                  <c:v> # of hand washing stations for school</c:v>
                </c:pt>
                <c:pt idx="2">
                  <c:v> # of latrines in schools</c:v>
                </c:pt>
                <c:pt idx="3">
                  <c:v># Water points in TLS</c:v>
                </c:pt>
              </c:strCache>
            </c:strRef>
          </c:cat>
          <c:val>
            <c:numRef>
              <c:extLst>
                <c:ext xmlns:c15="http://schemas.microsoft.com/office/drawing/2012/chart" uri="{02D57815-91ED-43cb-92C2-25804820EDAC}">
                  <c15:fullRef>
                    <c15:sqref>Analysis!$D$238:$H$238</c15:sqref>
                  </c15:fullRef>
                </c:ext>
              </c:extLst>
              <c:f>(Analysis!$D$238:$E$238,Analysis!$G$238:$H$238)</c:f>
              <c:numCache>
                <c:formatCode>_(* #,##0_);_(* \(#,##0\);_(* "-"??_);_(@_)</c:formatCode>
                <c:ptCount val="4"/>
                <c:pt idx="0">
                  <c:v>0</c:v>
                </c:pt>
                <c:pt idx="1">
                  <c:v>31</c:v>
                </c:pt>
                <c:pt idx="2">
                  <c:v>225</c:v>
                </c:pt>
                <c:pt idx="3">
                  <c:v>40</c:v>
                </c:pt>
              </c:numCache>
            </c:numRef>
          </c:val>
          <c:extLst>
            <c:ext xmlns:c15="http://schemas.microsoft.com/office/drawing/2012/chart" uri="{02D57815-91ED-43cb-92C2-25804820EDAC}">
              <c15:categoryFilterExceptions>
                <c15:categoryFilterException>
                  <c15:sqref>Analysis!$F$238</c15:sqref>
                  <c15:spPr xmlns:c15="http://schemas.microsoft.com/office/drawing/2012/chart">
                    <a:solidFill>
                      <a:schemeClr val="accent6">
                        <a:lumMod val="20000"/>
                        <a:lumOff val="80000"/>
                      </a:schemeClr>
                    </a:solidFill>
                    <a:ln>
                      <a:noFill/>
                    </a:ln>
                    <a:effectLst>
                      <a:outerShdw blurRad="57150" dist="19050" dir="5400000" algn="ctr" rotWithShape="0">
                        <a:srgbClr val="000000">
                          <a:alpha val="63000"/>
                        </a:srgbClr>
                      </a:outerShdw>
                    </a:effectLst>
                  </c15:spPr>
                  <c15:invertIfNegative val="0"/>
                  <c15:bubble3D val="0"/>
                </c15:categoryFilterException>
              </c15:categoryFilterExceptions>
            </c:ext>
            <c:ext xmlns:c16="http://schemas.microsoft.com/office/drawing/2014/chart" uri="{C3380CC4-5D6E-409C-BE32-E72D297353CC}">
              <c16:uniqueId val="{00000004-AE8F-4A87-832A-A9C7772CDEF5}"/>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[20191105_Myanmar_WASH_4W_2019_Q3_Rakhine_Village_Consolidate.xlsx]Analysis!R_Geo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457810678834817"/>
          <c:y val="0.18660326982618372"/>
          <c:w val="0.7162328642427549"/>
          <c:h val="0.59374132694776072"/>
        </c:manualLayout>
      </c:layout>
      <c:barChart>
        <c:barDir val="bar"/>
        <c:grouping val="clustered"/>
        <c:varyColors val="0"/>
        <c:ser>
          <c:idx val="0"/>
          <c:order val="0"/>
          <c:tx>
            <c:strRef>
              <c:f>Analysis!$I$181:$I$182</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Analysis!$H$183</c:f>
              <c:strCache>
                <c:ptCount val="1"/>
                <c:pt idx="0">
                  <c:v>Village</c:v>
                </c:pt>
              </c:strCache>
            </c:strRef>
          </c:cat>
          <c:val>
            <c:numRef>
              <c:f>Analysis!$I$183</c:f>
              <c:numCache>
                <c:formatCode>General</c:formatCode>
                <c:ptCount val="1"/>
                <c:pt idx="0">
                  <c:v>259</c:v>
                </c:pt>
              </c:numCache>
            </c:numRef>
          </c:val>
          <c:extLst>
            <c:ext xmlns:c16="http://schemas.microsoft.com/office/drawing/2014/chart" uri="{C3380CC4-5D6E-409C-BE32-E72D297353CC}">
              <c16:uniqueId val="{00000000-DE4B-42CE-85B3-AC16FC5401A6}"/>
            </c:ext>
          </c:extLst>
        </c:ser>
        <c:ser>
          <c:idx val="1"/>
          <c:order val="1"/>
          <c:tx>
            <c:strRef>
              <c:f>Analysis!$J$181:$J$182</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Analysis!$H$183</c:f>
              <c:strCache>
                <c:ptCount val="1"/>
                <c:pt idx="0">
                  <c:v>Village</c:v>
                </c:pt>
              </c:strCache>
            </c:strRef>
          </c:cat>
          <c:val>
            <c:numRef>
              <c:f>Analysis!$J$183</c:f>
              <c:numCache>
                <c:formatCode>General</c:formatCode>
                <c:ptCount val="1"/>
                <c:pt idx="0">
                  <c:v>8</c:v>
                </c:pt>
              </c:numCache>
            </c:numRef>
          </c:val>
          <c:extLst>
            <c:ext xmlns:c16="http://schemas.microsoft.com/office/drawing/2014/chart" uri="{C3380CC4-5D6E-409C-BE32-E72D297353CC}">
              <c16:uniqueId val="{00000000-A64C-4BC9-A3AA-6E6A89DE1BC5}"/>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55541762360014"/>
          <c:y val="0.32719656311617756"/>
          <c:w val="0.12912079368545037"/>
          <c:h val="0.3108379274322614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5">
  <a:schemeClr val="accent2"/>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18" Type="http://schemas.openxmlformats.org/officeDocument/2006/relationships/chart" Target="../charts/chart35.xml"/><Relationship Id="rId3" Type="http://schemas.openxmlformats.org/officeDocument/2006/relationships/hyperlink" Target="#Analysis!A199"/><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20.xml"/><Relationship Id="rId16" Type="http://schemas.openxmlformats.org/officeDocument/2006/relationships/chart" Target="../charts/chart33.xml"/><Relationship Id="rId1" Type="http://schemas.openxmlformats.org/officeDocument/2006/relationships/chart" Target="../charts/chart19.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19" Type="http://schemas.openxmlformats.org/officeDocument/2006/relationships/chart" Target="../charts/chart36.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6</xdr:col>
      <xdr:colOff>63788</xdr:colOff>
      <xdr:row>34</xdr:row>
      <xdr:rowOff>63500</xdr:rowOff>
    </xdr:from>
    <xdr:to>
      <xdr:col>13</xdr:col>
      <xdr:colOff>232832</xdr:colOff>
      <xdr:row>43</xdr:row>
      <xdr:rowOff>84666</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82491</xdr:colOff>
      <xdr:row>44</xdr:row>
      <xdr:rowOff>28228</xdr:rowOff>
    </xdr:from>
    <xdr:to>
      <xdr:col>13</xdr:col>
      <xdr:colOff>243417</xdr:colOff>
      <xdr:row>52</xdr:row>
      <xdr:rowOff>84667</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71908</xdr:colOff>
      <xdr:row>53</xdr:row>
      <xdr:rowOff>39143</xdr:rowOff>
    </xdr:from>
    <xdr:to>
      <xdr:col>13</xdr:col>
      <xdr:colOff>201083</xdr:colOff>
      <xdr:row>68</xdr:row>
      <xdr:rowOff>140573</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478390</xdr:colOff>
      <xdr:row>75</xdr:row>
      <xdr:rowOff>175395</xdr:rowOff>
    </xdr:from>
    <xdr:to>
      <xdr:col>15</xdr:col>
      <xdr:colOff>392907</xdr:colOff>
      <xdr:row>81</xdr:row>
      <xdr:rowOff>119062</xdr:rowOff>
    </xdr:to>
    <xdr:graphicFrame macro="">
      <xdr:nvGraphicFramePr>
        <xdr:cNvPr id="20" name="Chart 19">
          <a:extLst>
            <a:ext uri="{FF2B5EF4-FFF2-40B4-BE49-F238E27FC236}">
              <a16:creationId xmlns:a16="http://schemas.microsoft.com/office/drawing/2014/main" id="{00000000-0008-0000-07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190501</xdr:colOff>
      <xdr:row>10</xdr:row>
      <xdr:rowOff>114827</xdr:rowOff>
    </xdr:from>
    <xdr:to>
      <xdr:col>22</xdr:col>
      <xdr:colOff>688975</xdr:colOff>
      <xdr:row>32</xdr:row>
      <xdr:rowOff>89957</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693345</xdr:colOff>
      <xdr:row>25</xdr:row>
      <xdr:rowOff>165350</xdr:rowOff>
    </xdr:from>
    <xdr:to>
      <xdr:col>7</xdr:col>
      <xdr:colOff>526389</xdr:colOff>
      <xdr:row>38</xdr:row>
      <xdr:rowOff>166527</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862012</xdr:colOff>
      <xdr:row>203</xdr:row>
      <xdr:rowOff>142875</xdr:rowOff>
    </xdr:from>
    <xdr:to>
      <xdr:col>14</xdr:col>
      <xdr:colOff>856102</xdr:colOff>
      <xdr:row>212</xdr:row>
      <xdr:rowOff>105350</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409768</xdr:colOff>
      <xdr:row>66</xdr:row>
      <xdr:rowOff>85619</xdr:rowOff>
    </xdr:from>
    <xdr:to>
      <xdr:col>5</xdr:col>
      <xdr:colOff>738455</xdr:colOff>
      <xdr:row>79</xdr:row>
      <xdr:rowOff>96320</xdr:rowOff>
    </xdr:to>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450351</xdr:colOff>
      <xdr:row>241</xdr:row>
      <xdr:rowOff>170273</xdr:rowOff>
    </xdr:from>
    <xdr:to>
      <xdr:col>7</xdr:col>
      <xdr:colOff>177337</xdr:colOff>
      <xdr:row>255</xdr:row>
      <xdr:rowOff>113123</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215589</xdr:colOff>
      <xdr:row>176</xdr:row>
      <xdr:rowOff>30588</xdr:rowOff>
    </xdr:from>
    <xdr:to>
      <xdr:col>6</xdr:col>
      <xdr:colOff>183482</xdr:colOff>
      <xdr:row>193</xdr:row>
      <xdr:rowOff>110661</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858795</xdr:colOff>
      <xdr:row>42</xdr:row>
      <xdr:rowOff>99719</xdr:rowOff>
    </xdr:from>
    <xdr:to>
      <xdr:col>9</xdr:col>
      <xdr:colOff>716812</xdr:colOff>
      <xdr:row>58</xdr:row>
      <xdr:rowOff>115823</xdr:rowOff>
    </xdr:to>
    <xdr:graphicFrame macro="">
      <xdr:nvGraphicFramePr>
        <xdr:cNvPr id="26" name="Chart 25">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547469</xdr:colOff>
      <xdr:row>92</xdr:row>
      <xdr:rowOff>166217</xdr:rowOff>
    </xdr:from>
    <xdr:to>
      <xdr:col>8</xdr:col>
      <xdr:colOff>485396</xdr:colOff>
      <xdr:row>106</xdr:row>
      <xdr:rowOff>148237</xdr:rowOff>
    </xdr:to>
    <xdr:graphicFrame macro="">
      <xdr:nvGraphicFramePr>
        <xdr:cNvPr id="53" name="Chart 52">
          <a:extLst>
            <a:ext uri="{FF2B5EF4-FFF2-40B4-BE49-F238E27FC236}">
              <a16:creationId xmlns:a16="http://schemas.microsoft.com/office/drawing/2014/main" id="{00000000-0008-0000-08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303640</xdr:colOff>
      <xdr:row>153</xdr:row>
      <xdr:rowOff>121782</xdr:rowOff>
    </xdr:from>
    <xdr:to>
      <xdr:col>9</xdr:col>
      <xdr:colOff>684319</xdr:colOff>
      <xdr:row>170</xdr:row>
      <xdr:rowOff>148692</xdr:rowOff>
    </xdr:to>
    <xdr:graphicFrame macro="">
      <xdr:nvGraphicFramePr>
        <xdr:cNvPr id="59" name="Chart 58">
          <a:extLst>
            <a:ext uri="{FF2B5EF4-FFF2-40B4-BE49-F238E27FC236}">
              <a16:creationId xmlns:a16="http://schemas.microsoft.com/office/drawing/2014/main" id="{00000000-0008-0000-08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293327</xdr:colOff>
      <xdr:row>203</xdr:row>
      <xdr:rowOff>160627</xdr:rowOff>
    </xdr:from>
    <xdr:to>
      <xdr:col>17</xdr:col>
      <xdr:colOff>652245</xdr:colOff>
      <xdr:row>215</xdr:row>
      <xdr:rowOff>113038</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246151</xdr:colOff>
      <xdr:row>256</xdr:row>
      <xdr:rowOff>117724</xdr:rowOff>
    </xdr:from>
    <xdr:to>
      <xdr:col>6</xdr:col>
      <xdr:colOff>612544</xdr:colOff>
      <xdr:row>270</xdr:row>
      <xdr:rowOff>58434</xdr:rowOff>
    </xdr:to>
    <xdr:graphicFrame macro="">
      <xdr:nvGraphicFramePr>
        <xdr:cNvPr id="65" name="Chart 64">
          <a:extLst>
            <a:ext uri="{FF2B5EF4-FFF2-40B4-BE49-F238E27FC236}">
              <a16:creationId xmlns:a16="http://schemas.microsoft.com/office/drawing/2014/main" id="{A65B861A-2F65-49FE-BCC4-94FD95CC2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625011</xdr:colOff>
      <xdr:row>75</xdr:row>
      <xdr:rowOff>196278</xdr:rowOff>
    </xdr:from>
    <xdr:to>
      <xdr:col>15</xdr:col>
      <xdr:colOff>273978</xdr:colOff>
      <xdr:row>88</xdr:row>
      <xdr:rowOff>103382</xdr:rowOff>
    </xdr:to>
    <xdr:graphicFrame macro="">
      <xdr:nvGraphicFramePr>
        <xdr:cNvPr id="5" name="Chart 4">
          <a:extLst>
            <a:ext uri="{FF2B5EF4-FFF2-40B4-BE49-F238E27FC236}">
              <a16:creationId xmlns:a16="http://schemas.microsoft.com/office/drawing/2014/main" id="{A3CDD157-CD7C-4BC7-9267-0D16EEF652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196922</xdr:colOff>
      <xdr:row>107</xdr:row>
      <xdr:rowOff>174875</xdr:rowOff>
    </xdr:from>
    <xdr:to>
      <xdr:col>10</xdr:col>
      <xdr:colOff>770562</xdr:colOff>
      <xdr:row>120</xdr:row>
      <xdr:rowOff>10701</xdr:rowOff>
    </xdr:to>
    <xdr:graphicFrame macro="">
      <xdr:nvGraphicFramePr>
        <xdr:cNvPr id="7" name="Chart 6">
          <a:extLst>
            <a:ext uri="{FF2B5EF4-FFF2-40B4-BE49-F238E27FC236}">
              <a16:creationId xmlns:a16="http://schemas.microsoft.com/office/drawing/2014/main" id="{A591B72E-8E29-4CE6-8829-F87476CDFF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1218985</xdr:colOff>
      <xdr:row>138</xdr:row>
      <xdr:rowOff>3639</xdr:rowOff>
    </xdr:from>
    <xdr:to>
      <xdr:col>6</xdr:col>
      <xdr:colOff>898989</xdr:colOff>
      <xdr:row>151</xdr:row>
      <xdr:rowOff>124789</xdr:rowOff>
    </xdr:to>
    <xdr:graphicFrame macro="">
      <xdr:nvGraphicFramePr>
        <xdr:cNvPr id="9" name="Chart 8">
          <a:extLst>
            <a:ext uri="{FF2B5EF4-FFF2-40B4-BE49-F238E27FC236}">
              <a16:creationId xmlns:a16="http://schemas.microsoft.com/office/drawing/2014/main" id="{8FA9050C-C9CE-47DE-98AF-DAEB79AF5C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1128016</xdr:colOff>
      <xdr:row>123</xdr:row>
      <xdr:rowOff>14342</xdr:rowOff>
    </xdr:from>
    <xdr:to>
      <xdr:col>9</xdr:col>
      <xdr:colOff>107021</xdr:colOff>
      <xdr:row>136</xdr:row>
      <xdr:rowOff>189003</xdr:rowOff>
    </xdr:to>
    <xdr:graphicFrame macro="">
      <xdr:nvGraphicFramePr>
        <xdr:cNvPr id="2" name="Chart 1">
          <a:extLst>
            <a:ext uri="{FF2B5EF4-FFF2-40B4-BE49-F238E27FC236}">
              <a16:creationId xmlns:a16="http://schemas.microsoft.com/office/drawing/2014/main" id="{59185517-18D5-4F5B-AE70-F0B02F977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10583</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294481</xdr:colOff>
      <xdr:row>25</xdr:row>
      <xdr:rowOff>137583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160337</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657489</xdr:colOff>
      <xdr:row>24</xdr:row>
      <xdr:rowOff>127000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615157</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CC18EE75-28CB-47C4-BE2D-19C566AC9B5F}"/>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2019_Q3</a:t>
          </a:fld>
          <a:endParaRPr lang="en-US" sz="1600" b="1">
            <a:solidFill>
              <a:srgbClr val="44546A"/>
            </a:solidFil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12</xdr:col>
      <xdr:colOff>571503</xdr:colOff>
      <xdr:row>76</xdr:row>
      <xdr:rowOff>137584</xdr:rowOff>
    </xdr:from>
    <xdr:to>
      <xdr:col>16</xdr:col>
      <xdr:colOff>1238254</xdr:colOff>
      <xdr:row>91</xdr:row>
      <xdr:rowOff>42334</xdr:rowOff>
    </xdr:to>
    <xdr:graphicFrame macro="">
      <xdr:nvGraphicFramePr>
        <xdr:cNvPr id="46" name="Chart 45">
          <a:extLst>
            <a:ext uri="{FF2B5EF4-FFF2-40B4-BE49-F238E27FC236}">
              <a16:creationId xmlns:a16="http://schemas.microsoft.com/office/drawing/2014/main" id="{893392AE-33AA-46F8-A887-1E2EE5E1F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19842</xdr:colOff>
      <xdr:row>53</xdr:row>
      <xdr:rowOff>64555</xdr:rowOff>
    </xdr:from>
    <xdr:to>
      <xdr:col>7</xdr:col>
      <xdr:colOff>369</xdr:colOff>
      <xdr:row>62</xdr:row>
      <xdr:rowOff>42329</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125675" y="9250888"/>
          <a:ext cx="6616277" cy="1776941"/>
          <a:chOff x="6910423" y="7259679"/>
          <a:chExt cx="6379546" cy="417198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910423" y="7259679"/>
          <a:ext cx="6361075" cy="417198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B00-00000E000000}"/>
              </a:ext>
            </a:extLst>
          </xdr:cNvPr>
          <xdr:cNvSpPr txBox="1"/>
        </xdr:nvSpPr>
        <xdr:spPr>
          <a:xfrm>
            <a:off x="11761185" y="7343335"/>
            <a:ext cx="1528784" cy="1131421"/>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89171</xdr:colOff>
      <xdr:row>1</xdr:row>
      <xdr:rowOff>74346</xdr:rowOff>
    </xdr:from>
    <xdr:to>
      <xdr:col>16</xdr:col>
      <xdr:colOff>1263044</xdr:colOff>
      <xdr:row>3</xdr:row>
      <xdr:rowOff>122606</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830754" y="571763"/>
          <a:ext cx="6888873" cy="36576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t>
          </a:r>
        </a:p>
      </xdr:txBody>
    </xdr:sp>
    <xdr:clientData/>
  </xdr:twoCellAnchor>
  <xdr:twoCellAnchor>
    <xdr:from>
      <xdr:col>7</xdr:col>
      <xdr:colOff>64379</xdr:colOff>
      <xdr:row>23</xdr:row>
      <xdr:rowOff>59400</xdr:rowOff>
    </xdr:from>
    <xdr:to>
      <xdr:col>16</xdr:col>
      <xdr:colOff>1238251</xdr:colOff>
      <xdr:row>25</xdr:row>
      <xdr:rowOff>107660</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805962" y="4049317"/>
          <a:ext cx="6888872" cy="36576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in communities &amp; school</a:t>
          </a:r>
          <a:endParaRPr lang="en-US" sz="1400">
            <a:solidFill>
              <a:schemeClr val="bg1"/>
            </a:solidFill>
            <a:effectLst/>
          </a:endParaRPr>
        </a:p>
      </xdr:txBody>
    </xdr:sp>
    <xdr:clientData/>
  </xdr:twoCellAnchor>
  <xdr:twoCellAnchor>
    <xdr:from>
      <xdr:col>7</xdr:col>
      <xdr:colOff>66506</xdr:colOff>
      <xdr:row>60</xdr:row>
      <xdr:rowOff>120777</xdr:rowOff>
    </xdr:from>
    <xdr:to>
      <xdr:col>16</xdr:col>
      <xdr:colOff>1252898</xdr:colOff>
      <xdr:row>62</xdr:row>
      <xdr:rowOff>31454</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808089" y="10651194"/>
          <a:ext cx="6901392" cy="36576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9335</xdr:colOff>
      <xdr:row>1</xdr:row>
      <xdr:rowOff>47719</xdr:rowOff>
    </xdr:from>
    <xdr:to>
      <xdr:col>7</xdr:col>
      <xdr:colOff>2985</xdr:colOff>
      <xdr:row>20</xdr:row>
      <xdr:rowOff>95249</xdr:rowOff>
    </xdr:to>
    <xdr:graphicFrame macro="">
      <xdr:nvGraphicFramePr>
        <xdr:cNvPr id="23" name="Chart 22">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xdr:colOff>
      <xdr:row>50</xdr:row>
      <xdr:rowOff>95249</xdr:rowOff>
    </xdr:from>
    <xdr:to>
      <xdr:col>6</xdr:col>
      <xdr:colOff>899583</xdr:colOff>
      <xdr:row>53</xdr:row>
      <xdr:rowOff>0</xdr:rowOff>
    </xdr:to>
    <xdr:sp macro="" textlink="">
      <xdr:nvSpPr>
        <xdr:cNvPr id="27" name="Rectangle 26">
          <a:extLst>
            <a:ext uri="{FF2B5EF4-FFF2-40B4-BE49-F238E27FC236}">
              <a16:creationId xmlns:a16="http://schemas.microsoft.com/office/drawing/2014/main" id="{BE1C9EB0-7C68-46DB-AEA2-B156B31066A3}"/>
            </a:ext>
          </a:extLst>
        </xdr:cNvPr>
        <xdr:cNvSpPr/>
      </xdr:nvSpPr>
      <xdr:spPr>
        <a:xfrm>
          <a:off x="105836" y="8678332"/>
          <a:ext cx="6625164" cy="508001"/>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HARP, UNICEF, MHF, OFDA, WVI, BMZ, IOM, FFO, ECHO, German Humanitarain Assistance (AA), GIZ    </a:t>
          </a:r>
          <a:r>
            <a:rPr lang="en-US" sz="1400">
              <a:solidFill>
                <a:schemeClr val="bg1">
                  <a:lumMod val="50000"/>
                </a:schemeClr>
              </a:solidFill>
            </a:rPr>
            <a:t> </a:t>
          </a:r>
        </a:p>
      </xdr:txBody>
    </xdr:sp>
    <xdr:clientData/>
  </xdr:twoCellAnchor>
  <xdr:twoCellAnchor>
    <xdr:from>
      <xdr:col>7</xdr:col>
      <xdr:colOff>83018</xdr:colOff>
      <xdr:row>4</xdr:row>
      <xdr:rowOff>42336</xdr:rowOff>
    </xdr:from>
    <xdr:to>
      <xdr:col>16</xdr:col>
      <xdr:colOff>1227667</xdr:colOff>
      <xdr:row>22</xdr:row>
      <xdr:rowOff>119154</xdr:rowOff>
    </xdr:to>
    <xdr:grpSp>
      <xdr:nvGrpSpPr>
        <xdr:cNvPr id="2" name="Group 1">
          <a:extLst>
            <a:ext uri="{FF2B5EF4-FFF2-40B4-BE49-F238E27FC236}">
              <a16:creationId xmlns:a16="http://schemas.microsoft.com/office/drawing/2014/main" id="{630BE541-92BC-4D18-ADAC-64D1721BF7D0}"/>
            </a:ext>
          </a:extLst>
        </xdr:cNvPr>
        <xdr:cNvGrpSpPr/>
      </xdr:nvGrpSpPr>
      <xdr:grpSpPr>
        <a:xfrm>
          <a:off x="6824601" y="1016003"/>
          <a:ext cx="6859649" cy="2934318"/>
          <a:chOff x="6824601" y="1016003"/>
          <a:chExt cx="6859649" cy="2934318"/>
        </a:xfrm>
      </xdr:grpSpPr>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6824601" y="1024241"/>
          <a:ext cx="2372316" cy="292608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29" name="Chart 28">
            <a:extLst>
              <a:ext uri="{FF2B5EF4-FFF2-40B4-BE49-F238E27FC236}">
                <a16:creationId xmlns:a16="http://schemas.microsoft.com/office/drawing/2014/main" id="{83410BC6-51FA-4337-A284-2C368BE8E24F}"/>
              </a:ext>
            </a:extLst>
          </xdr:cNvPr>
          <xdr:cNvGraphicFramePr>
            <a:graphicFrameLocks/>
          </xdr:cNvGraphicFramePr>
        </xdr:nvGraphicFramePr>
        <xdr:xfrm>
          <a:off x="9239250" y="1016003"/>
          <a:ext cx="4445000" cy="292608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7</xdr:col>
      <xdr:colOff>63497</xdr:colOff>
      <xdr:row>43</xdr:row>
      <xdr:rowOff>285751</xdr:rowOff>
    </xdr:from>
    <xdr:to>
      <xdr:col>11</xdr:col>
      <xdr:colOff>346876</xdr:colOff>
      <xdr:row>59</xdr:row>
      <xdr:rowOff>153248</xdr:rowOff>
    </xdr:to>
    <xdr:graphicFrame macro="">
      <xdr:nvGraphicFramePr>
        <xdr:cNvPr id="26" name="Chart 25">
          <a:extLst>
            <a:ext uri="{FF2B5EF4-FFF2-40B4-BE49-F238E27FC236}">
              <a16:creationId xmlns:a16="http://schemas.microsoft.com/office/drawing/2014/main" id="{4633865C-426F-44A8-86A0-2B254B8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105832</xdr:colOff>
      <xdr:row>76</xdr:row>
      <xdr:rowOff>190495</xdr:rowOff>
    </xdr:from>
    <xdr:to>
      <xdr:col>3</xdr:col>
      <xdr:colOff>339089</xdr:colOff>
      <xdr:row>88</xdr:row>
      <xdr:rowOff>63495</xdr:rowOff>
    </xdr:to>
    <xdr:graphicFrame macro="">
      <xdr:nvGraphicFramePr>
        <xdr:cNvPr id="35" name="Chart 34">
          <a:extLst>
            <a:ext uri="{FF2B5EF4-FFF2-40B4-BE49-F238E27FC236}">
              <a16:creationId xmlns:a16="http://schemas.microsoft.com/office/drawing/2014/main" id="{E0811339-3E7E-4954-A7BE-57788EDAF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59266</xdr:colOff>
      <xdr:row>26</xdr:row>
      <xdr:rowOff>63505</xdr:rowOff>
    </xdr:from>
    <xdr:to>
      <xdr:col>16</xdr:col>
      <xdr:colOff>1217084</xdr:colOff>
      <xdr:row>43</xdr:row>
      <xdr:rowOff>185003</xdr:rowOff>
    </xdr:to>
    <xdr:grpSp>
      <xdr:nvGrpSpPr>
        <xdr:cNvPr id="3" name="Group 2">
          <a:extLst>
            <a:ext uri="{FF2B5EF4-FFF2-40B4-BE49-F238E27FC236}">
              <a16:creationId xmlns:a16="http://schemas.microsoft.com/office/drawing/2014/main" id="{CD2F4AF6-31A1-4130-9C44-CB6C7EEFA3DD}"/>
            </a:ext>
          </a:extLst>
        </xdr:cNvPr>
        <xdr:cNvGrpSpPr/>
      </xdr:nvGrpSpPr>
      <xdr:grpSpPr>
        <a:xfrm>
          <a:off x="6800849" y="4529672"/>
          <a:ext cx="6872818" cy="2926081"/>
          <a:chOff x="6800849" y="4529672"/>
          <a:chExt cx="6872818" cy="2926081"/>
        </a:xfrm>
      </xdr:grpSpPr>
      <xdr:graphicFrame macro="">
        <xdr:nvGraphicFramePr>
          <xdr:cNvPr id="30" name="Chart 29">
            <a:extLst>
              <a:ext uri="{FF2B5EF4-FFF2-40B4-BE49-F238E27FC236}">
                <a16:creationId xmlns:a16="http://schemas.microsoft.com/office/drawing/2014/main" id="{7D6939BD-6D89-4C08-968B-9F3D783E3291}"/>
              </a:ext>
            </a:extLst>
          </xdr:cNvPr>
          <xdr:cNvGraphicFramePr>
            <a:graphicFrameLocks/>
          </xdr:cNvGraphicFramePr>
        </xdr:nvGraphicFramePr>
        <xdr:xfrm>
          <a:off x="6800849" y="4529673"/>
          <a:ext cx="2368296" cy="292608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37" name="Chart 36">
            <a:extLst>
              <a:ext uri="{FF2B5EF4-FFF2-40B4-BE49-F238E27FC236}">
                <a16:creationId xmlns:a16="http://schemas.microsoft.com/office/drawing/2014/main" id="{9C650B7A-879F-4A37-B1D8-D52998DC07E5}"/>
              </a:ext>
            </a:extLst>
          </xdr:cNvPr>
          <xdr:cNvGraphicFramePr>
            <a:graphicFrameLocks/>
          </xdr:cNvGraphicFramePr>
        </xdr:nvGraphicFramePr>
        <xdr:xfrm>
          <a:off x="9239250" y="4529672"/>
          <a:ext cx="4434417" cy="292608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3</xdr:col>
      <xdr:colOff>412752</xdr:colOff>
      <xdr:row>76</xdr:row>
      <xdr:rowOff>190501</xdr:rowOff>
    </xdr:from>
    <xdr:to>
      <xdr:col>7</xdr:col>
      <xdr:colOff>21592</xdr:colOff>
      <xdr:row>88</xdr:row>
      <xdr:rowOff>52916</xdr:rowOff>
    </xdr:to>
    <xdr:graphicFrame macro="">
      <xdr:nvGraphicFramePr>
        <xdr:cNvPr id="36" name="Chart 35">
          <a:extLst>
            <a:ext uri="{FF2B5EF4-FFF2-40B4-BE49-F238E27FC236}">
              <a16:creationId xmlns:a16="http://schemas.microsoft.com/office/drawing/2014/main" id="{B2A1AF90-B621-40B8-B6A8-E517EF1D6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74</xdr:row>
      <xdr:rowOff>105833</xdr:rowOff>
    </xdr:from>
    <xdr:to>
      <xdr:col>7</xdr:col>
      <xdr:colOff>31750</xdr:colOff>
      <xdr:row>76</xdr:row>
      <xdr:rowOff>69427</xdr:rowOff>
    </xdr:to>
    <xdr:sp macro="" textlink="">
      <xdr:nvSpPr>
        <xdr:cNvPr id="38" name="TextBox 45">
          <a:extLst>
            <a:ext uri="{FF2B5EF4-FFF2-40B4-BE49-F238E27FC236}">
              <a16:creationId xmlns:a16="http://schemas.microsoft.com/office/drawing/2014/main" id="{66BFFDDF-7BEE-4965-B4FC-7FF6D0E0B1FD}"/>
            </a:ext>
          </a:extLst>
        </xdr:cNvPr>
        <xdr:cNvSpPr txBox="1"/>
      </xdr:nvSpPr>
      <xdr:spPr>
        <a:xfrm>
          <a:off x="95250" y="14382750"/>
          <a:ext cx="6678083" cy="365760"/>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School</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0</xdr:col>
      <xdr:colOff>95250</xdr:colOff>
      <xdr:row>89</xdr:row>
      <xdr:rowOff>10583</xdr:rowOff>
    </xdr:from>
    <xdr:to>
      <xdr:col>7</xdr:col>
      <xdr:colOff>31750</xdr:colOff>
      <xdr:row>90</xdr:row>
      <xdr:rowOff>175260</xdr:rowOff>
    </xdr:to>
    <xdr:sp macro="" textlink="">
      <xdr:nvSpPr>
        <xdr:cNvPr id="39" name="TextBox 45">
          <a:extLst>
            <a:ext uri="{FF2B5EF4-FFF2-40B4-BE49-F238E27FC236}">
              <a16:creationId xmlns:a16="http://schemas.microsoft.com/office/drawing/2014/main" id="{EF6170A5-FC6A-4DE7-942F-E7452652B638}"/>
            </a:ext>
          </a:extLst>
        </xdr:cNvPr>
        <xdr:cNvSpPr txBox="1"/>
      </xdr:nvSpPr>
      <xdr:spPr>
        <a:xfrm>
          <a:off x="95250" y="17208500"/>
          <a:ext cx="6678083" cy="365760"/>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New Displacement </a:t>
          </a:r>
          <a:r>
            <a:rPr lang="en-US" sz="1100" b="1" i="0" baseline="0">
              <a:solidFill>
                <a:schemeClr val="bg1"/>
              </a:solidFill>
              <a:effectLst/>
              <a:latin typeface="+mn-lt"/>
              <a:ea typeface="+mn-ea"/>
              <a:cs typeface="+mn-cs"/>
            </a:rPr>
            <a:t>(as of September 2019)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8</xdr:col>
      <xdr:colOff>10584</xdr:colOff>
      <xdr:row>74</xdr:row>
      <xdr:rowOff>105833</xdr:rowOff>
    </xdr:from>
    <xdr:to>
      <xdr:col>16</xdr:col>
      <xdr:colOff>1238250</xdr:colOff>
      <xdr:row>76</xdr:row>
      <xdr:rowOff>69427</xdr:rowOff>
    </xdr:to>
    <xdr:sp macro="" textlink="">
      <xdr:nvSpPr>
        <xdr:cNvPr id="42" name="TextBox 45">
          <a:extLst>
            <a:ext uri="{FF2B5EF4-FFF2-40B4-BE49-F238E27FC236}">
              <a16:creationId xmlns:a16="http://schemas.microsoft.com/office/drawing/2014/main" id="{146D1625-2BC5-4511-8839-62566A4D03C8}"/>
            </a:ext>
          </a:extLst>
        </xdr:cNvPr>
        <xdr:cNvSpPr txBox="1"/>
      </xdr:nvSpPr>
      <xdr:spPr>
        <a:xfrm>
          <a:off x="6847417" y="14287500"/>
          <a:ext cx="6847416" cy="365760"/>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New Displacement </a:t>
          </a:r>
          <a:r>
            <a:rPr lang="en-US" sz="1100" b="1" i="0" baseline="0">
              <a:solidFill>
                <a:schemeClr val="bg1"/>
              </a:solidFill>
              <a:effectLst/>
              <a:latin typeface="+mn-lt"/>
              <a:ea typeface="+mn-ea"/>
              <a:cs typeface="+mn-cs"/>
            </a:rPr>
            <a:t>(as of September 2019)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12</xdr:col>
      <xdr:colOff>578640</xdr:colOff>
      <xdr:row>89</xdr:row>
      <xdr:rowOff>262</xdr:rowOff>
    </xdr:from>
    <xdr:to>
      <xdr:col>16</xdr:col>
      <xdr:colOff>1269999</xdr:colOff>
      <xdr:row>91</xdr:row>
      <xdr:rowOff>26722</xdr:rowOff>
    </xdr:to>
    <xdr:sp macro="" textlink="">
      <xdr:nvSpPr>
        <xdr:cNvPr id="45" name="Text Box 54">
          <a:extLst>
            <a:ext uri="{FF2B5EF4-FFF2-40B4-BE49-F238E27FC236}">
              <a16:creationId xmlns:a16="http://schemas.microsoft.com/office/drawing/2014/main" id="{2FB581F0-011A-4CF4-85E6-FED44C889FD7}"/>
            </a:ext>
          </a:extLst>
        </xdr:cNvPr>
        <xdr:cNvSpPr txBox="1"/>
      </xdr:nvSpPr>
      <xdr:spPr>
        <a:xfrm>
          <a:off x="10220057" y="17198179"/>
          <a:ext cx="3506525" cy="428626"/>
        </a:xfrm>
        <a:prstGeom prst="rect">
          <a:avLst/>
        </a:prstGeom>
        <a:solidFill>
          <a:schemeClr val="accent6">
            <a:lumMod val="40000"/>
            <a:lumOff val="60000"/>
          </a:schemeClr>
        </a:solidFill>
        <a:ln w="6350">
          <a:solidFill>
            <a:schemeClr val="bg2">
              <a:lumMod val="90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15000"/>
            </a:lnSpc>
            <a:spcBef>
              <a:spcPts val="0"/>
            </a:spcBef>
            <a:spcAft>
              <a:spcPts val="0"/>
            </a:spcAft>
          </a:pPr>
          <a:r>
            <a:rPr lang="en-US" sz="1100" b="1" kern="100">
              <a:solidFill>
                <a:srgbClr val="44546A"/>
              </a:solidFill>
              <a:effectLst/>
              <a:latin typeface="Calibri" panose="020F0502020204030204" pitchFamily="34" charset="0"/>
              <a:ea typeface="Verdana" panose="020B0604030504040204" pitchFamily="34" charset="0"/>
              <a:cs typeface="Arial" panose="020B0604020202020204" pitchFamily="34" charset="0"/>
            </a:rPr>
            <a:t>P.S Currently verifying discripency between verbal reporting of partners and database</a:t>
          </a:r>
          <a:endParaRPr lang="en-US" sz="1100" kern="100">
            <a:solidFill>
              <a:srgbClr val="44546A"/>
            </a:solidFill>
            <a:effectLst/>
            <a:ea typeface="Verdana" panose="020B0604030504040204" pitchFamily="34" charset="0"/>
            <a:cs typeface="Times New Roman" panose="02020603050405020304" pitchFamily="18" charset="0"/>
          </a:endParaRPr>
        </a:p>
        <a:p>
          <a:pPr marL="0" marR="0">
            <a:lnSpc>
              <a:spcPct val="115000"/>
            </a:lnSpc>
            <a:spcBef>
              <a:spcPts val="0"/>
            </a:spcBef>
            <a:spcAft>
              <a:spcPts val="800"/>
            </a:spcAft>
          </a:pPr>
          <a:r>
            <a:rPr lang="en-US" sz="1100" kern="100">
              <a:solidFill>
                <a:srgbClr val="262626"/>
              </a:solidFill>
              <a:effectLst/>
              <a:ea typeface="Verdana" panose="020B0604030504040204" pitchFamily="34" charset="0"/>
              <a:cs typeface="Times New Roman" panose="02020603050405020304" pitchFamily="18" charset="0"/>
            </a:rPr>
            <a:t> </a:t>
          </a:r>
        </a:p>
      </xdr:txBody>
    </xdr:sp>
    <xdr:clientData/>
  </xdr:twoCellAnchor>
  <xdr:twoCellAnchor>
    <xdr:from>
      <xdr:col>11</xdr:col>
      <xdr:colOff>391584</xdr:colOff>
      <xdr:row>43</xdr:row>
      <xdr:rowOff>275165</xdr:rowOff>
    </xdr:from>
    <xdr:to>
      <xdr:col>16</xdr:col>
      <xdr:colOff>1217085</xdr:colOff>
      <xdr:row>59</xdr:row>
      <xdr:rowOff>158749</xdr:rowOff>
    </xdr:to>
    <xdr:graphicFrame macro="">
      <xdr:nvGraphicFramePr>
        <xdr:cNvPr id="31" name="Chart 30">
          <a:extLst>
            <a:ext uri="{FF2B5EF4-FFF2-40B4-BE49-F238E27FC236}">
              <a16:creationId xmlns:a16="http://schemas.microsoft.com/office/drawing/2014/main" id="{D400583B-D94B-476C-870F-7FA893DF4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63501</xdr:colOff>
      <xdr:row>62</xdr:row>
      <xdr:rowOff>126999</xdr:rowOff>
    </xdr:from>
    <xdr:to>
      <xdr:col>16</xdr:col>
      <xdr:colOff>1217085</xdr:colOff>
      <xdr:row>74</xdr:row>
      <xdr:rowOff>21165</xdr:rowOff>
    </xdr:to>
    <xdr:graphicFrame macro="">
      <xdr:nvGraphicFramePr>
        <xdr:cNvPr id="32" name="Chart 31">
          <a:extLst>
            <a:ext uri="{FF2B5EF4-FFF2-40B4-BE49-F238E27FC236}">
              <a16:creationId xmlns:a16="http://schemas.microsoft.com/office/drawing/2014/main" id="{A92DB93F-20DB-43F2-85A2-0DA598D09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10584</xdr:colOff>
      <xdr:row>91</xdr:row>
      <xdr:rowOff>105834</xdr:rowOff>
    </xdr:from>
    <xdr:to>
      <xdr:col>12</xdr:col>
      <xdr:colOff>550333</xdr:colOff>
      <xdr:row>104</xdr:row>
      <xdr:rowOff>105832</xdr:rowOff>
    </xdr:to>
    <xdr:graphicFrame macro="">
      <xdr:nvGraphicFramePr>
        <xdr:cNvPr id="34" name="Chart 33">
          <a:extLst>
            <a:ext uri="{FF2B5EF4-FFF2-40B4-BE49-F238E27FC236}">
              <a16:creationId xmlns:a16="http://schemas.microsoft.com/office/drawing/2014/main" id="{302F8ACC-3F8E-4367-8D2D-F65AC3C38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563299</xdr:colOff>
      <xdr:row>91</xdr:row>
      <xdr:rowOff>105834</xdr:rowOff>
    </xdr:from>
    <xdr:to>
      <xdr:col>16</xdr:col>
      <xdr:colOff>1248834</xdr:colOff>
      <xdr:row>104</xdr:row>
      <xdr:rowOff>95250</xdr:rowOff>
    </xdr:to>
    <xdr:grpSp>
      <xdr:nvGrpSpPr>
        <xdr:cNvPr id="48" name="Group 47">
          <a:extLst>
            <a:ext uri="{FF2B5EF4-FFF2-40B4-BE49-F238E27FC236}">
              <a16:creationId xmlns:a16="http://schemas.microsoft.com/office/drawing/2014/main" id="{6322EF33-83FD-4FF2-8174-664BF04827FB}"/>
            </a:ext>
          </a:extLst>
        </xdr:cNvPr>
        <xdr:cNvGrpSpPr/>
      </xdr:nvGrpSpPr>
      <xdr:grpSpPr>
        <a:xfrm>
          <a:off x="10204716" y="18108084"/>
          <a:ext cx="3500701" cy="2984499"/>
          <a:chOff x="4337846" y="7689849"/>
          <a:chExt cx="3363118" cy="2942167"/>
        </a:xfrm>
      </xdr:grpSpPr>
      <xdr:graphicFrame macro="">
        <xdr:nvGraphicFramePr>
          <xdr:cNvPr id="49" name="Chart 48">
            <a:extLst>
              <a:ext uri="{FF2B5EF4-FFF2-40B4-BE49-F238E27FC236}">
                <a16:creationId xmlns:a16="http://schemas.microsoft.com/office/drawing/2014/main" id="{13C1BEEB-9FAA-4AB4-93DF-78AE80732957}"/>
              </a:ext>
            </a:extLst>
          </xdr:cNvPr>
          <xdr:cNvGraphicFramePr>
            <a:graphicFrameLocks/>
          </xdr:cNvGraphicFramePr>
        </xdr:nvGraphicFramePr>
        <xdr:xfrm>
          <a:off x="4346047" y="7689849"/>
          <a:ext cx="3344334" cy="2942167"/>
        </xdr:xfrm>
        <a:graphic>
          <a:graphicData uri="http://schemas.openxmlformats.org/drawingml/2006/chart">
            <c:chart xmlns:c="http://schemas.openxmlformats.org/drawingml/2006/chart" xmlns:r="http://schemas.openxmlformats.org/officeDocument/2006/relationships" r:id="rId15"/>
          </a:graphicData>
        </a:graphic>
      </xdr:graphicFrame>
      <xdr:sp macro="" textlink="">
        <xdr:nvSpPr>
          <xdr:cNvPr id="50" name="Text Box 54">
            <a:extLst>
              <a:ext uri="{FF2B5EF4-FFF2-40B4-BE49-F238E27FC236}">
                <a16:creationId xmlns:a16="http://schemas.microsoft.com/office/drawing/2014/main" id="{7EA55E9F-2D7F-4E21-959D-3C902889C15F}"/>
              </a:ext>
            </a:extLst>
          </xdr:cNvPr>
          <xdr:cNvSpPr txBox="1"/>
        </xdr:nvSpPr>
        <xdr:spPr>
          <a:xfrm>
            <a:off x="4337846" y="10089885"/>
            <a:ext cx="3363118" cy="535779"/>
          </a:xfrm>
          <a:prstGeom prst="rect">
            <a:avLst/>
          </a:prstGeom>
          <a:solidFill>
            <a:schemeClr val="accent6">
              <a:lumMod val="20000"/>
              <a:lumOff val="80000"/>
            </a:schemeClr>
          </a:solidFill>
          <a:ln w="6350">
            <a:solidFill>
              <a:schemeClr val="bg2">
                <a:lumMod val="90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US" sz="1100">
                <a:solidFill>
                  <a:schemeClr val="dk1"/>
                </a:solidFill>
                <a:effectLst/>
                <a:latin typeface="+mn-lt"/>
                <a:ea typeface="+mn-ea"/>
                <a:cs typeface="+mn-cs"/>
              </a:rPr>
              <a:t>This</a:t>
            </a:r>
            <a:r>
              <a:rPr lang="en-US" sz="1100" baseline="0">
                <a:solidFill>
                  <a:schemeClr val="dk1"/>
                </a:solidFill>
                <a:effectLst/>
                <a:latin typeface="+mn-lt"/>
                <a:ea typeface="+mn-ea"/>
                <a:cs typeface="+mn-cs"/>
              </a:rPr>
              <a:t> analysis is based on hygiene kits distribution in September in central Rakhine</a:t>
            </a:r>
            <a:endParaRPr lang="en-US">
              <a:effectLst/>
            </a:endParaRPr>
          </a:p>
        </xdr:txBody>
      </xdr:sp>
    </xdr:grpSp>
    <xdr:clientData/>
  </xdr:twoCellAnchor>
  <xdr:twoCellAnchor>
    <xdr:from>
      <xdr:col>8</xdr:col>
      <xdr:colOff>1</xdr:colOff>
      <xdr:row>76</xdr:row>
      <xdr:rowOff>127000</xdr:rowOff>
    </xdr:from>
    <xdr:to>
      <xdr:col>12</xdr:col>
      <xdr:colOff>529584</xdr:colOff>
      <xdr:row>84</xdr:row>
      <xdr:rowOff>63500</xdr:rowOff>
    </xdr:to>
    <xdr:graphicFrame macro="">
      <xdr:nvGraphicFramePr>
        <xdr:cNvPr id="51" name="Chart 50">
          <a:extLst>
            <a:ext uri="{FF2B5EF4-FFF2-40B4-BE49-F238E27FC236}">
              <a16:creationId xmlns:a16="http://schemas.microsoft.com/office/drawing/2014/main" id="{33752EDF-3A3E-4DA9-942C-08080D570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10584</xdr:colOff>
      <xdr:row>84</xdr:row>
      <xdr:rowOff>126999</xdr:rowOff>
    </xdr:from>
    <xdr:to>
      <xdr:col>12</xdr:col>
      <xdr:colOff>550333</xdr:colOff>
      <xdr:row>91</xdr:row>
      <xdr:rowOff>42334</xdr:rowOff>
    </xdr:to>
    <xdr:graphicFrame macro="">
      <xdr:nvGraphicFramePr>
        <xdr:cNvPr id="52" name="Chart 51">
          <a:extLst>
            <a:ext uri="{FF2B5EF4-FFF2-40B4-BE49-F238E27FC236}">
              <a16:creationId xmlns:a16="http://schemas.microsoft.com/office/drawing/2014/main" id="{F1D95776-7A30-4AC6-8E6D-688FDAB37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10583</xdr:colOff>
      <xdr:row>21</xdr:row>
      <xdr:rowOff>52917</xdr:rowOff>
    </xdr:from>
    <xdr:to>
      <xdr:col>6</xdr:col>
      <xdr:colOff>899583</xdr:colOff>
      <xdr:row>36</xdr:row>
      <xdr:rowOff>42333</xdr:rowOff>
    </xdr:to>
    <xdr:graphicFrame macro="">
      <xdr:nvGraphicFramePr>
        <xdr:cNvPr id="33" name="Chart 32">
          <a:extLst>
            <a:ext uri="{FF2B5EF4-FFF2-40B4-BE49-F238E27FC236}">
              <a16:creationId xmlns:a16="http://schemas.microsoft.com/office/drawing/2014/main" id="{37D0A260-753F-4369-A43F-9DDEE62E6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36</xdr:row>
      <xdr:rowOff>148167</xdr:rowOff>
    </xdr:from>
    <xdr:to>
      <xdr:col>6</xdr:col>
      <xdr:colOff>899583</xdr:colOff>
      <xdr:row>49</xdr:row>
      <xdr:rowOff>190500</xdr:rowOff>
    </xdr:to>
    <xdr:graphicFrame macro="">
      <xdr:nvGraphicFramePr>
        <xdr:cNvPr id="40" name="Chart 39">
          <a:extLst>
            <a:ext uri="{FF2B5EF4-FFF2-40B4-BE49-F238E27FC236}">
              <a16:creationId xmlns:a16="http://schemas.microsoft.com/office/drawing/2014/main" id="{C358F619-07DA-41EC-8251-1A1A987E5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3004152</xdr:colOff>
      <xdr:row>2</xdr:row>
      <xdr:rowOff>11717</xdr:rowOff>
    </xdr:from>
    <xdr:to>
      <xdr:col>20</xdr:col>
      <xdr:colOff>13607</xdr:colOff>
      <xdr:row>37</xdr:row>
      <xdr:rowOff>240741</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65011</xdr:colOff>
      <xdr:row>2</xdr:row>
      <xdr:rowOff>1814</xdr:rowOff>
    </xdr:from>
    <xdr:to>
      <xdr:col>5</xdr:col>
      <xdr:colOff>1893810</xdr:colOff>
      <xdr:row>12</xdr:row>
      <xdr:rowOff>6048</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65011" y="535633"/>
              <a:ext cx="1828799" cy="19929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1052285</xdr:colOff>
      <xdr:row>2</xdr:row>
      <xdr:rowOff>15575</xdr:rowOff>
    </xdr:from>
    <xdr:to>
      <xdr:col>6</xdr:col>
      <xdr:colOff>2867681</xdr:colOff>
      <xdr:row>22</xdr:row>
      <xdr:rowOff>176892</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3888851" y="549394"/>
              <a:ext cx="1815396" cy="41387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48382</xdr:colOff>
      <xdr:row>12</xdr:row>
      <xdr:rowOff>133048</xdr:rowOff>
    </xdr:from>
    <xdr:to>
      <xdr:col>6</xdr:col>
      <xdr:colOff>1003904</xdr:colOff>
      <xdr:row>22</xdr:row>
      <xdr:rowOff>196547</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48382" y="2655603"/>
              <a:ext cx="3792088" cy="20522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1994353</xdr:colOff>
      <xdr:row>1</xdr:row>
      <xdr:rowOff>188989</xdr:rowOff>
    </xdr:from>
    <xdr:to>
      <xdr:col>6</xdr:col>
      <xdr:colOff>972204</xdr:colOff>
      <xdr:row>12</xdr:row>
      <xdr:rowOff>51405</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5931821A-DDAF-4FBF-8E6A-43CBDAF27F91}"/>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1994353" y="523934"/>
              <a:ext cx="1814417" cy="2050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133351</xdr:rowOff>
    </xdr:from>
    <xdr:to>
      <xdr:col>7</xdr:col>
      <xdr:colOff>1028700</xdr:colOff>
      <xdr:row>32</xdr:row>
      <xdr:rowOff>38101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0</xdr:rowOff>
    </xdr:from>
    <xdr:to>
      <xdr:col>9</xdr:col>
      <xdr:colOff>180975</xdr:colOff>
      <xdr:row>11</xdr:row>
      <xdr:rowOff>123825</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2066925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142875</xdr:colOff>
      <xdr:row>11</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598385C2-5E67-4F9F-992A-3E846D400C4E}"/>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28575</xdr:colOff>
      <xdr:row>12</xdr:row>
      <xdr:rowOff>1</xdr:rowOff>
    </xdr:from>
    <xdr:to>
      <xdr:col>10</xdr:col>
      <xdr:colOff>171450</xdr:colOff>
      <xdr:row>26</xdr:row>
      <xdr:rowOff>76200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562975" y="2400301"/>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Q2_2019/Core_File_Myanmar_WASH_4W_2019_Q2_Rakhine_Villag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M_Preparedness%20and%20Contingency/Conflict/2019/Rakhine/Database/20191003_WASH%20Cluster%20New%20Displaced%20Respon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9/2019-Q3/2019-10-31_Funding%20Matrix_2019_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s>
    <sheetDataSet>
      <sheetData sheetId="0"/>
      <sheetData sheetId="1"/>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DistanceToCamp"/>
      <sheetName val="Definition"/>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Backend"/>
      <sheetName val="back end"/>
      <sheetName val="graph"/>
      <sheetName val="Kris"/>
      <sheetName val="Sheet1"/>
      <sheetName val="Dashboard"/>
      <sheetName val="Sheet6"/>
      <sheetName val="Sheet7"/>
      <sheetName val="Quantitative Assessment REPORT"/>
      <sheetName val="Field Assessment Form"/>
      <sheetName val="Sheet2"/>
      <sheetName val="SiteDatabase"/>
      <sheetName val="Lookup"/>
    </sheetNames>
    <sheetDataSet>
      <sheetData sheetId="0"/>
      <sheetData sheetId="1">
        <row r="55">
          <cell r="B55" t="str">
            <v>No Access</v>
          </cell>
          <cell r="C55" t="str">
            <v>Yes (no restricted access)</v>
          </cell>
        </row>
        <row r="56">
          <cell r="A56" t="str">
            <v xml:space="preserve"> Assessed to displaced sites</v>
          </cell>
          <cell r="B56">
            <v>0.35294117647058826</v>
          </cell>
          <cell r="C56">
            <v>0.6470588235294118</v>
          </cell>
        </row>
        <row r="62">
          <cell r="B62" t="str">
            <v>Coverage</v>
          </cell>
          <cell r="C62" t="str">
            <v>Gap</v>
          </cell>
        </row>
        <row r="63">
          <cell r="A63" t="str">
            <v>Hygiene item</v>
          </cell>
          <cell r="B63">
            <v>0.31836306400839454</v>
          </cell>
          <cell r="C63">
            <v>0.68163693599160546</v>
          </cell>
        </row>
        <row r="65">
          <cell r="B65" t="str">
            <v>Coverage</v>
          </cell>
          <cell r="C65" t="str">
            <v>Gap</v>
          </cell>
        </row>
        <row r="66">
          <cell r="A66" t="str">
            <v>Emergency Latrine</v>
          </cell>
          <cell r="B66">
            <v>0.70890905341307486</v>
          </cell>
          <cell r="C66">
            <v>0.29109094658692514</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Rakhine_funding_matrix"/>
      <sheetName val="Kachin-shan_funding_matrix"/>
      <sheetName val="fund received by partners"/>
      <sheetName val="Funding Tracking"/>
      <sheetName val="Timelinebysite"/>
      <sheetName val="Sheet5"/>
      <sheetName val="National_Analysis by donor"/>
      <sheetName val="Sheet1"/>
      <sheetName val="National"/>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row r="3">
          <cell r="D3" t="str">
            <v>Cumulative Funding Received for 2019</v>
          </cell>
          <cell r="E3" t="str">
            <v>Gap</v>
          </cell>
        </row>
        <row r="4">
          <cell r="B4" t="str">
            <v>Kachin/Shan</v>
          </cell>
          <cell r="D4">
            <v>2718210.2232243037</v>
          </cell>
          <cell r="E4">
            <v>4781789.7767756963</v>
          </cell>
        </row>
        <row r="5">
          <cell r="B5" t="str">
            <v>Rakhine</v>
          </cell>
          <cell r="D5">
            <v>10119072.807686871</v>
          </cell>
          <cell r="E5">
            <v>9580927.1923131291</v>
          </cell>
        </row>
        <row r="6">
          <cell r="B6" t="str">
            <v>National (Total)</v>
          </cell>
          <cell r="D6">
            <v>12837283.030911174</v>
          </cell>
          <cell r="E6">
            <v>14362716.969088826</v>
          </cell>
        </row>
      </sheetData>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3770.587397916664" createdVersion="6" refreshedVersion="6" minRefreshableVersion="3" recordCount="483" xr:uid="{00000000-000A-0000-FFFF-FFFF00000000}">
  <cacheSource type="worksheet">
    <worksheetSource name="WWWW"/>
  </cacheSource>
  <cacheFields count="84">
    <cacheField name="Reporting Period" numFmtId="167">
      <sharedItems containsBlank="1" count="13">
        <s v="2019_Q2"/>
        <s v="2019_Q3"/>
        <m u="1"/>
        <s v="2018-Q1" u="1"/>
        <s v="2018  Q1" u="1"/>
        <s v="2019_Q1" u="1"/>
        <s v="2018_Q1" u="1"/>
        <s v="2018_Q2" u="1"/>
        <s v="2018_Q3" u="1"/>
        <s v="2018_Q4" u="1"/>
        <s v="2017_Q3" u="1"/>
        <s v="2017_Q4" u="1"/>
        <s v="2018 -Q1" u="1"/>
      </sharedItems>
    </cacheField>
    <cacheField name="WASH project agency" numFmtId="0">
      <sharedItems containsBlank="1" count="46">
        <s v="SCI"/>
        <s v="PIN"/>
        <s v="Unicef"/>
        <s v="CDA"/>
        <s v="GIZ"/>
        <s v="ACF"/>
        <s v="OXSI (Oxfam)"/>
        <s v="OXSI (SI)"/>
        <s v="RI"/>
        <s v="SI"/>
        <s v="CDN"/>
        <s v="None"/>
        <s v="Malteser"/>
        <s v="WVI"/>
        <s v="OXSI (Oxfam),ACF"/>
        <s v="UNICEF,CDN"/>
        <s v="UNICEF, "/>
        <s v="PIN,WVI"/>
        <m u="1"/>
        <s v="KBC" u="1"/>
        <s v="OXSI(Oxfam), MA_UK" u="1"/>
        <s v="KMSS" u="1"/>
        <s v="MRCS" u="1"/>
        <s v="Shalom" u="1"/>
        <s v="Metta, KMSS" u="1"/>
        <s v="MRCS,Others/ WVI" u="1"/>
        <s v="MRCS,Others,UNICEF/ACF" u="1"/>
        <s v="MRCS,others" u="1"/>
        <s v="MA_UK" u="1"/>
        <s v="Others/ WVI" u="1"/>
        <s v="KBC, KMSS" u="1"/>
        <s v="Others,MRCS" u="1"/>
        <s v="Others" u="1"/>
        <s v="MRCS, PLAN, RI,Others" u="1"/>
        <s v="DRC" u="1"/>
        <s v="UNICEF,Others" u="1"/>
        <s v="MRCS, PLAN, RI" u="1"/>
        <s v="Metta" u="1"/>
        <s v="MRCS, Others" u="1"/>
        <s v="WPN" u="1"/>
        <s v="MRCS,Others,UNICEF" u="1"/>
        <s v="CARE" u="1"/>
        <s v="CARE,Others" u="1"/>
        <s v="MRCS,UNICEF" u="1"/>
        <s v="OXSI (SI), ACF" u="1"/>
        <s v="SCI, Metta" u="1"/>
      </sharedItems>
    </cacheField>
    <cacheField name="WASH implementing agency" numFmtId="0">
      <sharedItems containsBlank="1" count="44">
        <s v="SCI"/>
        <s v="MHDO"/>
        <s v="WFP"/>
        <s v="CDA"/>
        <s v="GIZ"/>
        <s v="ACF"/>
        <s v="OXSI (Oxfam)"/>
        <s v="OXSI (SI)"/>
        <s v="RI"/>
        <s v="SI"/>
        <s v="CDN"/>
        <s v="None"/>
        <s v="Malteser"/>
        <s v="OXSI (Oxfam),ACF"/>
        <s v="UNICEF,CDN"/>
        <s v="UNICEF"/>
        <m u="1"/>
        <s v="KBC" u="1"/>
        <s v="OXSI(Oxfam), MA_UK" u="1"/>
        <s v="KMSS" u="1"/>
        <s v="MRCS" u="1"/>
        <s v="Shalom" u="1"/>
        <s v="Metta, KMSS" u="1"/>
        <s v="MRCS,Others/ WVI" u="1"/>
        <s v="MRCS,others" u="1"/>
        <s v="MA_UK" u="1"/>
        <s v="Others/ WVI" u="1"/>
        <s v="KBC, KMSS" u="1"/>
        <s v="Others,MRCS" u="1"/>
        <s v="Others" u="1"/>
        <s v="MRCS, PLAN, RI,Others" u="1"/>
        <s v="DRC" u="1"/>
        <s v="MRCS, ACF" u="1"/>
        <s v="UNICEF/ UNHCR/UNFPA" u="1"/>
        <s v="UNICEF,Others" u="1"/>
        <s v="MRCS, PLAN, RI" u="1"/>
        <s v="Metta" u="1"/>
        <s v="MRCS, Others" u="1"/>
        <s v="MRCS,Others,ACF" u="1"/>
        <s v="WPN" u="1"/>
        <s v="CARE" u="1"/>
        <s v="CARE,Others" u="1"/>
        <s v="SCI, Metta" u="1"/>
        <s v="MRCS,ACF" u="1"/>
      </sharedItems>
    </cacheField>
    <cacheField name="Primary Donor covering WASH activities at site " numFmtId="0">
      <sharedItems containsBlank="1"/>
    </cacheField>
    <cacheField name="State" numFmtId="0">
      <sharedItems containsBlank="1" count="6">
        <s v="Central Rakhine"/>
        <s v="Northern Rakhine"/>
        <m u="1"/>
        <s v="Shan (North)" u="1"/>
        <s v="Kachin" u="1"/>
        <s v="Rakhine" u="1"/>
      </sharedItems>
    </cacheField>
    <cacheField name="Township" numFmtId="0">
      <sharedItems containsBlank="1" count="41">
        <s v="Pauktaw"/>
        <s v="Buthidaung"/>
        <s v="Maungdaw"/>
        <s v="Kyaukpyu"/>
        <s v="Sittwe"/>
        <s v="Minbya"/>
        <s v="Myebon"/>
        <s v="Kyauktaw"/>
        <s v="Rathedaung"/>
        <s v="Mrauk-U"/>
        <m u="1"/>
        <s v="Mohyin" u="1"/>
        <s v="Kutkai" u="1"/>
        <s v="Nawnghkio" u="1"/>
        <s v="Mansi" u="1"/>
        <s v="Pangsang" u="1"/>
        <s v="Lashio" u="1"/>
        <s v="Ann" u="1"/>
        <s v="Muse" u="1"/>
        <s v="Manton" u="1"/>
        <s v="Bhamo" u="1"/>
        <s v="Namatee" u="1"/>
        <s v="Puta-O" u="1"/>
        <s v="Buthidaung " u="1"/>
        <s v="Mogaung" u="1"/>
        <s v="Namhkan" u="1"/>
        <s v="Hsipaw" u="1"/>
        <s v="Momauk" u="1"/>
        <s v="Myitkyina" u="1"/>
        <s v="Hpakant" u="1"/>
        <s v="Namtu" u="1"/>
        <s v="Ponnagyun" u="1"/>
        <s v="Hseni" u="1"/>
        <s v="Chipwi" u="1"/>
        <s v="Mohnyin" u="1"/>
        <s v="Mai Ja Yang " u="1"/>
        <s v="Waingmaw" u="1"/>
        <s v="Tanai" u="1"/>
        <s v="Ramree" u="1"/>
        <s v="Shwegu" u="1"/>
        <s v="Sumprabum" u="1"/>
      </sharedItems>
    </cacheField>
    <cacheField name="Location Type" numFmtId="0">
      <sharedItems count="11">
        <s v="Village"/>
        <e v="#REF!" u="1"/>
        <s v="Town_New_Displaced" u="1"/>
        <s v="Town" u="1"/>
        <s v="Camp" u="1"/>
        <e v="#N/A" u="1"/>
        <s v="New Temporary Site" u="1"/>
        <s v="Village_New_Displaced" u="1"/>
        <s v="New Site" u="1"/>
        <s v="Camp_not registered" u="1"/>
        <s v="Village_Not HRP" u="1"/>
      </sharedItems>
    </cacheField>
    <cacheField name="Village  Name" numFmtId="0">
      <sharedItems count="270">
        <s v="Gyin Chaung"/>
        <s v="Ku Lar Te"/>
        <s v="Ku La Thein"/>
        <s v="Ah Twin Hnget Thay"/>
        <s v="Ar Kya"/>
        <s v="Aung Thar Yar"/>
        <s v="Aung Zay Ya"/>
        <s v="Baw Li (Muslim)"/>
        <s v="Baw Li (Rakhine)"/>
        <s v="Gone Nar"/>
        <s v="Gwa Sone (Muslim)"/>
        <s v="Gwa Sone (Rakhine)"/>
        <s v="Htan Shauk Khan"/>
        <s v="Ka Nyin Taw"/>
        <s v="Ka Yin"/>
        <s v="Kin Chaung"/>
        <s v="Kyauk Yit (Rakhine)"/>
        <s v="Na Nwin Ku"/>
        <s v="Nyaung Chaung"/>
        <s v="Paung Zar"/>
        <s v="Pyar Pin Yin"/>
        <s v="Sha Kay Ywa"/>
        <s v="Shat Shar Taung"/>
        <s v="Shwe Baho"/>
        <s v="Shwe Yin Aye (NaTaLa)"/>
        <s v="Tha Bauk Chaung"/>
        <s v="Tha Yet Pyin (Rakhine)"/>
        <s v="Than Chay (Rakhine)"/>
        <s v="Thay Kan (Muslim)"/>
        <s v="Thay Kan (Rakhine)"/>
        <s v="Wai Thar Li"/>
        <s v="Ward (1)"/>
        <s v="Kyu Taw Chaing"/>
        <s v="Na Htoe Pyin"/>
        <s v="Sin Aing"/>
        <s v="Sin Tet Maw (Host)"/>
        <s v="Sin Tet Maw Rakhine(Baw Da Li)"/>
        <s v="Thit Pok Chaung"/>
        <s v="War Lan"/>
        <s v="War Lan Kone"/>
        <s v="Yae Hnyin Chaung"/>
        <s v="Hpa Yar Pyin Thein Tan"/>
        <s v="Ah Lel Chaung"/>
        <s v="Zay Di Taung"/>
        <s v="Hpon Nyo Leik"/>
        <s v="Kin Taung"/>
        <s v="Say Taung"/>
        <s v="Aung Tha Pyay"/>
        <s v="Yae Nauk Ngar Thar"/>
        <s v="Zaw Ma Tat"/>
        <s v="Pyin Hpyu Maw"/>
        <s v="Kar Hpi Chaung"/>
        <s v="U Gar Hton"/>
        <s v="Ma La Kyun"/>
        <s v="Dway Cha"/>
        <s v="HlaKhaing"/>
        <s v="KaLarChaung"/>
        <s v="MiGyaungTet"/>
        <s v="MinPauk"/>
        <s v="Nga Khu Chaung"/>
        <s v="NgaWetSway"/>
        <s v="NgweTwinDway"/>
        <s v="OhnHnanChaung"/>
        <s v="Pyein Chaung (ngwe Twin Dway tract)"/>
        <s v="PyunTo"/>
        <s v="Sar Pyin"/>
        <s v="Tha Yet"/>
        <s v="Tha Yet Cho"/>
        <s v="ThonePetChaing"/>
        <s v="YinYeKan"/>
        <s v="Chaung New Min Gan"/>
        <s v="Kan Pyin Ywa Haung"/>
        <s v="Kan Pyin Ywar Thit"/>
        <s v="Thone Saung"/>
        <s v="Kyauk Tan Gyi"/>
        <s v="Kyauk Tan Chay"/>
        <s v="Kyar Ma Thauk"/>
        <s v="Thein Tan"/>
        <s v="Kyan Taw"/>
        <s v="Say Tha Mar Gyi village"/>
        <s v="Baw Du Pha Village"/>
        <s v="Zaw Pu Gyar"/>
        <s v="Done Pyin (North)"/>
        <s v="Done Pyin (South)"/>
        <s v="Maung Ni Pyin"/>
        <s v="Pyar Lay Chaung Ywar Haung"/>
        <s v="Thin Pone Tan"/>
        <s v="Yae Chan Pyin"/>
        <s v="Ohn Ye Paw"/>
        <s v="Kyet Taw Pyin"/>
        <s v="Kha Tin Paik"/>
        <s v="Pyin Shey Ku lar"/>
        <s v="Ywar Thar Yar"/>
        <s v="Ohn Taw Gyi"/>
        <s v="Bu May Ohn Daw Chay"/>
        <s v="Dar Paing Ywar Haung"/>
        <s v="Dar Paing Ywar Thit"/>
        <s v="Sa Ma Nya Village"/>
        <s v="San Htoe Tan"/>
        <s v="Koe Saung (1) village"/>
        <s v="Hla May Shwe"/>
        <s v="Thet Kay Pyin"/>
        <s v="Shwe Zin Khin (Ku Lar)"/>
        <s v="Kyan Taik"/>
        <s v="Sat Yon Maw (Rakhine)"/>
        <s v="Ann Thar"/>
        <s v="Naw Naw(Rakhine)"/>
        <s v="Naw Naw(Ku Lar)"/>
        <s v="Ah Pyin Done Chaung"/>
        <s v="Thin Ga Zar"/>
        <s v="Than Shin Ywar Thit"/>
        <s v="Tan Seik"/>
        <s v="Sat Kyar"/>
        <s v="Let Taw Ri"/>
        <s v="Har Ra Paing"/>
        <s v="Kan Hpay"/>
        <s v="Thin Khaung Maw"/>
        <s v="Beik Taung"/>
        <s v="Sa Par Htar"/>
        <s v="Aung Taing"/>
        <s v="Taw Tan"/>
        <s v="Sin Seik"/>
        <s v="Ta Khun Taing"/>
        <s v="Done Thar"/>
        <s v="War Taung"/>
        <s v="Athay Kar La"/>
        <s v="Myin Kan Seik"/>
        <s v="Chaik Taung"/>
        <s v="Thar Dar"/>
        <s v="Shwe Zin Khin (Rakhine)"/>
        <s v="Seik Ta Ra"/>
        <s v="Gwa Sone Chin"/>
        <s v="Taung Poke Kay"/>
        <s v="Shwe Zin Yaw"/>
        <s v="Pale Taung"/>
        <s v="Sat Roe Kya 1"/>
        <s v="Sat Roe Kya 2"/>
        <s v="Say Tha Mar Nge"/>
        <s v="Set Yone Su 1"/>
        <s v="Set Yone Su 3 (Mingan)"/>
        <s v="Thae Chaung(Rakhine)"/>
        <s v="Thea Chaung Ku Lar"/>
        <s v="Thea Chaung Let Tha Mar Kone"/>
        <s v="Thin Ga Net"/>
        <s v="Thet Kay Pyin Ywar Ma"/>
        <s v="Kan Thar Htwat Wa"/>
        <s v="Ah Nauk Ye Ku Lar"/>
        <s v="Yar Taik"/>
        <s v="Ah Htet Gar Pu"/>
        <s v="In Bar Yi"/>
        <s v="Kar Di Ha Yar"/>
        <s v="Kar Di (Middle)"/>
        <s v="Pyar"/>
        <s v="Yun Nyar"/>
        <s v="Ngar Saung Bet"/>
        <s v="San Thar Pyin"/>
        <s v="Sabei Hla"/>
        <s v="Pon Nar"/>
        <s v="Ah Pauk Wa"/>
        <s v="Goke Pi Htaunt"/>
        <s v="Khaung Htoke"/>
        <s v="Let Saung Kauk"/>
        <s v="Shwe Hlaing"/>
        <s v="Kyet Yoe Pyin (Ywa Ma)"/>
        <s v="Ta Man Thar (Thar Zay)_(Myo)"/>
        <s v="Thar Yar Kone (Rakhine)"/>
        <s v="Thin Baw Hla (Rakhine) (Thar Yar Gone)"/>
        <s v="Tha Dar"/>
        <s v="Ah Nauk Pyin"/>
        <s v="Nyaung Pin Gyi (Ku Lar)"/>
        <s v="Bar Ri Zar"/>
        <s v="Chan Pyin"/>
        <s v="Done Thein"/>
        <s v="Inn Hpauk"/>
        <s v="Ka Doe Seik"/>
        <s v="Kan Thar Yar"/>
        <s v="Kyar Nyo Pyin (Muslim)"/>
        <s v="Kyauk Hlay Kar"/>
        <s v="Nan Yah Gone Ahtet"/>
        <s v="Ngwe Taung"/>
        <s v="Nwar Yone Taung"/>
        <s v="Sa Bai Pin Yin"/>
        <s v="San Go Taung"/>
        <s v="Shwe Baho+Sein P M"/>
        <s v="Tat U Chaung (West)"/>
        <s v="Teik Tu Pauk"/>
        <s v="Thar Zay Kone (Thar Zi Kone)"/>
        <s v="Thein Tan (Ku Lar)"/>
        <s v="Thein Tan (Rakhine)"/>
        <s v="Ywa Haung"/>
        <s v="Ywa Thit"/>
        <s v="Zay Di Taung (Rakhine)"/>
        <s v="Thone Gwa"/>
        <s v="Taung Htaung Hayar_Wa Lar Kan (Ku Lar)"/>
        <s v="Pi Htu_Wa Lar Kan"/>
        <s v="Taung Htaung Ha Yar"/>
        <s v="Taung Htaung"/>
        <s v="Pyaing Chaung"/>
        <s v="Pin Zaing"/>
        <s v="Kyar Nyo Inn"/>
        <s v="Tha Yet Oke Ywar Haung"/>
        <s v="Tha Yet Oke Ywar Thit"/>
        <s v="Shauk Chaung"/>
        <s v="Palae' Kaine"/>
        <s v="Ngar Yauk Kaing"/>
        <s v="Kyauk Se"/>
        <s v="Hla Nyo Kan"/>
        <s v="Gar Pu (Lower)"/>
        <s v="Pyaung Seik"/>
        <s v="Oke Taung Pyin"/>
        <s v="Nga Ta Paung"/>
        <s v="Nay Pu Khan"/>
        <s v="Min Thar Seik"/>
        <s v="Doke Kan Chaung"/>
        <s v="Min Te"/>
        <s v="Myar Lee Kan"/>
        <s v="Tha Zin"/>
        <s v="Taw Pan Zin"/>
        <s v="U Sun Taung"/>
        <s v="Yin Dar"/>
        <s v="Oak Ta Ma"/>
        <s v="Chaung Du"/>
        <s v="Ah Lel Kyun"/>
        <s v="Chaung Hpyar"/>
        <s v="Nar Yi Kan"/>
        <s v="Ta Yar Thee Su Ward"/>
        <s v="Ah Nauk San Pya Ward"/>
        <s v="Aung Min Ga Lar Ward"/>
        <s v="Shwe Pyi Thar"/>
        <s v="Chi Laing Hpin"/>
        <s v="Min Gan 1"/>
        <s v="Par Taw"/>
        <s v="Nan Kya (Nan Kyar)"/>
        <s v="Kyauk Kyat"/>
        <s v="Taung U"/>
        <s v="Hteik Wa Pyin"/>
        <s v="Bu Ywet Ma Nyoe"/>
        <s v="Kan Sauk"/>
        <s v="Ah Nauk"/>
        <s v="Ah Shey"/>
        <s v="Ywar Gyi (Middle)"/>
        <s v="Aung Thar Yar (NaTaLa)"/>
        <s v="Aung Zay Ya (Su See)"/>
        <s v="Kyee Kan Pyin (South)"/>
        <s v="Kan Thar Yar(Upper)"/>
        <s v="Kan Thar Yar(Lower)"/>
        <s v="Kine Gyi (Myo)"/>
        <s v="Aung Mingalar (NaTaLa)"/>
        <s v="Pae Youne (NaTaLa)"/>
        <s v="Min Gyi"/>
        <s v="Har Bi (West)"/>
        <s v="Zay Kone Tan"/>
        <s v="Gan Gaw Myaing ( Na Ta La )"/>
        <s v="Hpa Yar Pyin"/>
        <s v="Aung Pa"/>
        <s v="Da Pyu Chaung"/>
        <s v="Inn Gyin Myaing (NaTaLa)"/>
        <s v="Tat Min Chaung (Muslim)"/>
        <s v="Tat Min Chaung (Daing Net/Rakhine)"/>
        <s v="Gu Dar Pyin"/>
        <s v="Laung Chaung"/>
        <s v="Nga Kyin Tauk"/>
        <s v="Tha Peik Taung (Rakhine)"/>
        <s v="Nga Yant Chaung"/>
        <s v="Ywet Nyo Taung"/>
        <s v="Dar Paing Sa Yar"/>
        <s v="Mee Kyaung Khaung Swea"/>
        <s v="Kha Maung Seik"/>
        <s v="Wet Kyein"/>
        <s v="Ah Lel Than Kyaw"/>
      </sharedItems>
    </cacheField>
    <cacheField name="Total HH" numFmtId="0">
      <sharedItems containsString="0" containsBlank="1" containsNumber="1" minValue="8" maxValue="3210"/>
    </cacheField>
    <cacheField name="Total PoP " numFmtId="0">
      <sharedItems containsSemiMixedTypes="0" containsString="0" containsNumber="1" containsInteger="1" minValue="39" maxValue="86502"/>
    </cacheField>
    <cacheField name="Project start date" numFmtId="0">
      <sharedItems containsDate="1" containsBlank="1" containsMixedTypes="1" minDate="2017-01-01T00:00:00" maxDate="2020-10-31T00:00:00"/>
    </cacheField>
    <cacheField name="Project end date" numFmtId="165">
      <sharedItems containsDate="1" containsBlank="1" containsMixedTypes="1" minDate="2019-05-31T00:00:00" maxDate="2021-12-22T00:00:00"/>
    </cacheField>
    <cacheField name="#of students in school" numFmtId="164">
      <sharedItems containsString="0" containsBlank="1" containsNumber="1" containsInteger="1" minValue="0" maxValue="86502"/>
    </cacheField>
    <cacheField name="# Work days (approx) lost in this site due to access restrictions" numFmtId="164">
      <sharedItems containsBlank="1" containsMixedTypes="1" containsNumber="1" containsInteger="1" minValue="0" maxValue="150"/>
    </cacheField>
    <cacheField name="#_Functioning_protected_hand_dug_well/open_well" numFmtId="164">
      <sharedItems containsString="0" containsBlank="1" containsNumber="1" containsInteger="1" minValue="0" maxValue="4"/>
    </cacheField>
    <cacheField name="#_Functioning_Tube_wells/boreholes/hand_pumps_including_community's_own_hand_pumps" numFmtId="164">
      <sharedItems containsString="0" containsBlank="1" containsNumber="1" containsInteger="1" minValue="0" maxValue="70"/>
    </cacheField>
    <cacheField name="#_Existing_protected/fenced_ponds" numFmtId="164">
      <sharedItems containsString="0" containsBlank="1" containsNumber="1" containsInteger="1" minValue="0" maxValue="9"/>
    </cacheField>
    <cacheField name="#_of_people_accessing_to_other_types_of_un-improved_water_sources_(river,_spring)" numFmtId="164">
      <sharedItems containsString="0" containsBlank="1" containsNumber="1" containsInteger="1" minValue="0" maxValue="8"/>
    </cacheField>
    <cacheField name="#_Functioning_water_points_at_school" numFmtId="164">
      <sharedItems containsString="0" containsBlank="1" containsNumber="1" containsInteger="1" minValue="0" maxValue="3"/>
    </cacheField>
    <cacheField name="WATER_Comments" numFmtId="49">
      <sharedItems containsNonDate="0" containsString="0" containsBlank="1"/>
    </cacheField>
    <cacheField name="#_of_sanitary_fly-proof_HH_latrines" numFmtId="164">
      <sharedItems containsString="0" containsBlank="1" containsNumber="1" containsInteger="1" minValue="1" maxValue="182"/>
    </cacheField>
    <cacheField name="Availability_of_drainage_in_school_compound_(Yes_or_No)" numFmtId="164">
      <sharedItems containsBlank="1" count="7">
        <s v="NA"/>
        <s v="Yes"/>
        <s v="No"/>
        <m/>
        <s v=" NA "/>
        <s v=" No " u="1"/>
        <s v=" Yes " u="1"/>
      </sharedItems>
    </cacheField>
    <cacheField name="#_of_Functioning_latrines_in_school" numFmtId="164">
      <sharedItems containsString="0" containsBlank="1" containsNumber="1" containsInteger="1" minValue="0" maxValue="10"/>
    </cacheField>
    <cacheField name="#_of_PWD_at_village" numFmtId="164">
      <sharedItems containsString="0" containsBlank="1" containsNumber="1" containsInteger="1" minValue="0" maxValue="20"/>
    </cacheField>
    <cacheField name="#_of_PWD_with_adapted_sanitation_option_at_HH_level_" numFmtId="164">
      <sharedItems containsString="0" containsBlank="1" containsNumber="1" containsInteger="1" minValue="0" maxValue="0"/>
    </cacheField>
    <cacheField name="#_of_PWD_at_school" numFmtId="164">
      <sharedItems containsString="0" containsBlank="1" containsNumber="1" containsInteger="1" minValue="0" maxValue="1"/>
    </cacheField>
    <cacheField name="#_of_PWD_with_access_to_adapted_sanitation_option_at_School" numFmtId="164">
      <sharedItems containsString="0" containsBlank="1" containsNumber="1" containsInteger="1" minValue="0" maxValue="0"/>
    </cacheField>
    <cacheField name="SANITATION_Comment" numFmtId="49">
      <sharedItems containsNonDate="0" containsString="0" containsBlank="1"/>
    </cacheField>
    <cacheField name="#_of_Men_who_received_appropirate/community_tailored_hygiene_messages" numFmtId="164">
      <sharedItems containsString="0" containsBlank="1" containsNumber="1" containsInteger="1" minValue="0" maxValue="250"/>
    </cacheField>
    <cacheField name="#_of_Women_who_received_appropirate/community_tailored_hygiene_messages" numFmtId="164">
      <sharedItems containsString="0" containsBlank="1" containsNumber="1" containsInteger="1" minValue="0" maxValue="693"/>
    </cacheField>
    <cacheField name="#_of_Boys_who_received_appropirate/community_tailored_hygiene_messages" numFmtId="164">
      <sharedItems containsString="0" containsBlank="1" containsNumber="1" containsInteger="1" minValue="0" maxValue="537"/>
    </cacheField>
    <cacheField name="#_of_Girls_who_received_appropirate/community_tailored_hygiene_messages" numFmtId="164">
      <sharedItems containsString="0" containsBlank="1" containsNumber="1" containsInteger="1" minValue="0" maxValue="515"/>
    </cacheField>
    <cacheField name="#_of_students_(boys)_who_received_appropirate_hygiene_messages" numFmtId="164">
      <sharedItems containsString="0" containsBlank="1" containsNumber="1" containsInteger="1" minValue="0" maxValue="616"/>
    </cacheField>
    <cacheField name="#_of_students_(girls)_who_received_appropirate_hygiene_messages" numFmtId="164">
      <sharedItems containsString="0" containsBlank="1" containsNumber="1" containsInteger="1" minValue="0" maxValue="740"/>
    </cacheField>
    <cacheField name="#_of_functional_handwashing_facilities_at_HH_level" numFmtId="164">
      <sharedItems containsBlank="1" containsMixedTypes="1" containsNumber="1" containsInteger="1" minValue="0" maxValue="65"/>
    </cacheField>
    <cacheField name="#_of_functional_handwashing_facilities_at_school" numFmtId="164">
      <sharedItems containsBlank="1" containsMixedTypes="1" containsNumber="1" containsInteger="1" minValue="0" maxValue="1"/>
    </cacheField>
    <cacheField name="#_of_affected_households_receiving_a_sufficient_quantity_of_soap" numFmtId="164">
      <sharedItems containsString="0" containsBlank="1" containsNumber="1" minValue="40" maxValue="3097"/>
    </cacheField>
    <cacheField name="#_of_affected_women_and_girls_receiving_a_sufficient_quantity_of_sanitary_pads" numFmtId="164">
      <sharedItems containsString="0" containsBlank="1" containsNumber="1" containsInteger="1" minValue="80" maxValue="1178"/>
    </cacheField>
    <cacheField name="HYGIENE_Comments" numFmtId="49">
      <sharedItems containsNonDate="0" containsString="0" containsBlank="1"/>
    </cacheField>
    <cacheField name="%_of_affected_people_surveyed_who_feel_informed_about_the_WASH_services_available_to_them" numFmtId="0">
      <sharedItems containsString="0" containsBlank="1" containsNumber="1" minValue="0" maxValue="1"/>
    </cacheField>
    <cacheField name="%_of_people_surveryed_who_know_how_to_and_feel_comfortable_to_make_suggestions_or_complaints" numFmtId="0">
      <sharedItems containsString="0" containsBlank="1" containsNumber="1" minValue="0" maxValue="70"/>
    </cacheField>
    <cacheField name="%Equitable and continuous access to sufficient quantity of safe drinking water"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minValue="0" maxValue="5579"/>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containsInteger="1" minValue="0" maxValue="3946"/>
    </cacheField>
    <cacheField name="% Equitable and continuous access to sufficient quantity of domestic water" numFmtId="9">
      <sharedItems containsSemiMixedTypes="0" containsString="0" containsNumber="1" minValue="0" maxValue="1"/>
    </cacheField>
    <cacheField name="HRP1" numFmtId="1">
      <sharedItems containsSemiMixedTypes="0" containsString="0" containsNumber="1" minValue="0" maxValue="5579"/>
    </cacheField>
    <cacheField name="#Water points coverage" numFmtId="1">
      <sharedItems containsSemiMixedTypes="0" containsString="0" containsNumber="1" minValue="0" maxValue="22.315999999999999"/>
    </cacheField>
    <cacheField name="%equitable and continuous access to sufficient quantity of safe drinking and domestic water's GAP" numFmtId="9">
      <sharedItems containsSemiMixedTypes="0" containsString="0" containsNumber="1" minValue="0" maxValue="1"/>
    </cacheField>
    <cacheField name="# people needs equitable and continuous access to sufficient quantity of safe drinking and domestic water GAP" numFmtId="1">
      <sharedItems containsSemiMixedTypes="0" containsString="0" containsNumber="1" minValue="0" maxValue="85752"/>
    </cacheField>
    <cacheField name="#Potential required new water points" numFmtId="1">
      <sharedItems containsSemiMixedTypes="0" containsString="0" containsNumber="1" minValue="0" maxValue="343"/>
    </cacheField>
    <cacheField name="Total required water points" numFmtId="1">
      <sharedItems containsSemiMixedTypes="0" containsString="0" containsNumber="1" containsInteger="1" minValue="1" maxValue="346"/>
    </cacheField>
    <cacheField name="% people access to functioning Latrine" numFmtId="9">
      <sharedItems containsSemiMixedTypes="0" containsString="0" containsNumber="1" minValue="0" maxValue="1"/>
    </cacheField>
    <cacheField name="HRP2" numFmtId="1">
      <sharedItems containsSemiMixedTypes="0" containsString="0" containsNumber="1" minValue="0" maxValue="1292"/>
    </cacheField>
    <cacheField name="# students access to functioning school latrines" numFmtId="1">
      <sharedItems containsSemiMixedTypes="0" containsString="0" containsNumber="1" containsInteger="1" minValue="0" maxValue="500"/>
    </cacheField>
    <cacheField name="Total required Latrines" numFmtId="1">
      <sharedItems containsSemiMixedTypes="0" containsString="0" containsNumber="1" containsInteger="1" minValue="7" maxValue="14417"/>
    </cacheField>
    <cacheField name="# potential required new latrines" numFmtId="1">
      <sharedItems containsSemiMixedTypes="0" containsString="0" containsNumber="1" containsInteger="1" minValue="0" maxValue="14417"/>
    </cacheField>
    <cacheField name="% of Latrine Gap" numFmtId="9">
      <sharedItems containsSemiMixedTypes="0" containsString="0" containsNumber="1" minValue="0" maxValue="1"/>
    </cacheField>
    <cacheField name="# people reached by regular dedicated hygiene promotion" numFmtId="1">
      <sharedItems containsSemiMixedTypes="0" containsString="0" containsNumber="1" containsInteger="1" minValue="0" maxValue="1129"/>
    </cacheField>
    <cacheField name="# people access to functional handwashing facilities" numFmtId="1">
      <sharedItems containsMixedTypes="1" containsNumber="1" containsInteger="1" minValue="0" maxValue="323"/>
    </cacheField>
    <cacheField name="HRP3" numFmtId="1">
      <sharedItems containsSemiMixedTypes="0" containsString="0" containsNumber="1" containsInteger="1" minValue="0" maxValue="15485"/>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 People with access to soap" numFmtId="1">
      <sharedItems containsSemiMixedTypes="0" containsString="0" containsNumber="1" containsInteger="1" minValue="0" maxValue="15485"/>
    </cacheField>
    <cacheField name="# People with access to Sanity Pads" numFmtId="1">
      <sharedItems containsSemiMixedTypes="0" containsString="0" containsNumber="1" containsInteger="1" minValue="0" maxValue="1178"/>
    </cacheField>
    <cacheField name="# People received regular supply of hygiene items" numFmtId="164">
      <sharedItems containsSemiMixedTypes="0" containsString="0" containsNumber="1" containsInteger="1" minValue="0" maxValue="15485"/>
    </cacheField>
    <cacheField name="Village with School" numFmtId="1">
      <sharedItems count="2">
        <s v="No"/>
        <s v="Yes"/>
      </sharedItems>
    </cacheField>
    <cacheField name="Location Type 1" numFmtId="0">
      <sharedItems/>
    </cacheField>
    <cacheField name="Type of accommodation" numFmtId="0">
      <sharedItems containsMixedTypes="1" containsNumber="1" containsInteger="1" minValue="0" maxValue="0" count="4">
        <s v="Village"/>
        <s v="Relocated"/>
        <s v="Returned"/>
        <n v="0" u="1"/>
      </sharedItems>
    </cacheField>
    <cacheField name="Ethnic or GCA/NGCA" numFmtId="0">
      <sharedItems containsMixedTypes="1" containsNumber="1" containsInteger="1" minValue="0" maxValue="0"/>
    </cacheField>
    <cacheField name="Lat" numFmtId="0">
      <sharedItems containsSemiMixedTypes="0" containsString="0" containsNumber="1" minValue="0" maxValue="93.009900000000002"/>
    </cacheField>
    <cacheField name="Long" numFmtId="0">
      <sharedItems containsSemiMixedTypes="0" containsString="0" containsNumber="1" minValue="0" maxValue="93.565246579999993"/>
    </cacheField>
    <cacheField name="Pcode" numFmtId="0">
      <sharedItems containsMixedTypes="1" containsNumber="1" containsInteger="1" minValue="0" maxValue="220977"/>
    </cacheField>
    <cacheField name="Covered" numFmtId="0">
      <sharedItems containsBlank="1" count="4">
        <s v="Covered"/>
        <s v="Notcovered"/>
        <m u="1"/>
        <e v="#REF!" u="1"/>
      </sharedItems>
    </cacheField>
    <cacheField name="Remark" numFmtId="0">
      <sharedItems containsNonDate="0" containsString="0" containsBlank="1"/>
    </cacheField>
    <cacheField name="Total Latrines" numFmtId="0" formula="#NAME?+#NAME?"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3">
  <r>
    <x v="0"/>
    <x v="0"/>
    <x v="0"/>
    <s v="BMZ"/>
    <x v="0"/>
    <x v="0"/>
    <x v="0"/>
    <x v="0"/>
    <n v="217"/>
    <n v="663"/>
    <d v="2018-09-16T00:00:00"/>
    <d v="2019-12-31T00:00:00"/>
    <m/>
    <m/>
    <m/>
    <m/>
    <m/>
    <m/>
    <m/>
    <m/>
    <m/>
    <x v="0"/>
    <m/>
    <m/>
    <m/>
    <m/>
    <m/>
    <m/>
    <m/>
    <m/>
    <m/>
    <m/>
    <m/>
    <m/>
    <m/>
    <m/>
    <m/>
    <m/>
    <m/>
    <m/>
    <m/>
    <n v="0"/>
    <n v="0"/>
    <n v="0"/>
    <n v="0"/>
    <n v="0"/>
    <n v="0"/>
    <n v="0"/>
    <n v="1"/>
    <n v="663"/>
    <n v="3"/>
    <n v="3"/>
    <n v="0"/>
    <n v="0"/>
    <n v="0"/>
    <n v="111"/>
    <n v="111"/>
    <n v="1"/>
    <n v="0"/>
    <n v="0"/>
    <n v="0"/>
    <n v="0"/>
    <n v="1"/>
    <n v="0"/>
    <n v="0"/>
    <n v="0"/>
    <n v="0"/>
    <x v="0"/>
    <s v="Village"/>
    <x v="0"/>
    <n v="0"/>
    <n v="20.072999954223601"/>
    <n v="92.924957275390597"/>
    <n v="197561"/>
    <x v="0"/>
    <m/>
  </r>
  <r>
    <x v="0"/>
    <x v="0"/>
    <x v="0"/>
    <s v="BMZ"/>
    <x v="0"/>
    <x v="0"/>
    <x v="0"/>
    <x v="1"/>
    <n v="90"/>
    <n v="393"/>
    <d v="2018-09-16T00:00:00"/>
    <d v="2019-12-31T00:00:00"/>
    <m/>
    <m/>
    <m/>
    <m/>
    <m/>
    <m/>
    <m/>
    <m/>
    <m/>
    <x v="0"/>
    <m/>
    <m/>
    <m/>
    <m/>
    <m/>
    <m/>
    <m/>
    <m/>
    <m/>
    <m/>
    <m/>
    <m/>
    <m/>
    <m/>
    <m/>
    <m/>
    <m/>
    <m/>
    <m/>
    <n v="0"/>
    <n v="0"/>
    <n v="0"/>
    <n v="0"/>
    <n v="0"/>
    <n v="0"/>
    <n v="0"/>
    <n v="1"/>
    <n v="393"/>
    <n v="2"/>
    <n v="2"/>
    <n v="0"/>
    <n v="0"/>
    <n v="0"/>
    <n v="66"/>
    <n v="66"/>
    <n v="1"/>
    <n v="0"/>
    <n v="0"/>
    <n v="0"/>
    <n v="0"/>
    <n v="1"/>
    <n v="0"/>
    <n v="0"/>
    <n v="0"/>
    <n v="0"/>
    <x v="0"/>
    <s v="Village"/>
    <x v="0"/>
    <n v="0"/>
    <n v="19.986650466918899"/>
    <n v="92.986160278320298"/>
    <n v="197546"/>
    <x v="0"/>
    <m/>
  </r>
  <r>
    <x v="0"/>
    <x v="0"/>
    <x v="0"/>
    <s v="BMZ"/>
    <x v="0"/>
    <x v="0"/>
    <x v="0"/>
    <x v="2"/>
    <n v="53"/>
    <n v="248"/>
    <d v="2018-09-16T00:00:00"/>
    <d v="2019-12-31T00:00:00"/>
    <m/>
    <m/>
    <m/>
    <m/>
    <m/>
    <m/>
    <m/>
    <m/>
    <m/>
    <x v="0"/>
    <m/>
    <m/>
    <m/>
    <m/>
    <m/>
    <m/>
    <m/>
    <m/>
    <m/>
    <m/>
    <m/>
    <m/>
    <m/>
    <m/>
    <m/>
    <m/>
    <m/>
    <m/>
    <m/>
    <n v="0"/>
    <n v="0"/>
    <n v="0"/>
    <n v="0"/>
    <n v="0"/>
    <n v="0"/>
    <n v="0"/>
    <n v="1"/>
    <n v="248"/>
    <n v="1"/>
    <n v="1"/>
    <n v="0"/>
    <n v="0"/>
    <n v="0"/>
    <n v="41"/>
    <n v="41"/>
    <n v="1"/>
    <n v="0"/>
    <n v="0"/>
    <n v="0"/>
    <n v="0"/>
    <n v="1"/>
    <n v="0"/>
    <n v="0"/>
    <n v="0"/>
    <n v="0"/>
    <x v="0"/>
    <s v="Village"/>
    <x v="0"/>
    <n v="0"/>
    <n v="19.863630294799801"/>
    <n v="93.030677795410199"/>
    <n v="217985"/>
    <x v="0"/>
    <m/>
  </r>
  <r>
    <x v="0"/>
    <x v="1"/>
    <x v="1"/>
    <s v="IOM"/>
    <x v="1"/>
    <x v="1"/>
    <x v="0"/>
    <x v="3"/>
    <n v="153"/>
    <n v="838"/>
    <d v="2019-01-15T00:00:00"/>
    <d v="2019-09-15T00:00:00"/>
    <m/>
    <m/>
    <m/>
    <m/>
    <m/>
    <m/>
    <m/>
    <m/>
    <m/>
    <x v="0"/>
    <m/>
    <m/>
    <m/>
    <m/>
    <m/>
    <m/>
    <n v="127"/>
    <n v="26"/>
    <m/>
    <m/>
    <m/>
    <m/>
    <m/>
    <m/>
    <m/>
    <m/>
    <m/>
    <m/>
    <m/>
    <n v="0"/>
    <n v="0"/>
    <n v="0"/>
    <n v="0"/>
    <n v="0"/>
    <n v="0"/>
    <n v="0"/>
    <n v="1"/>
    <n v="838"/>
    <n v="3"/>
    <n v="3"/>
    <n v="0"/>
    <n v="0"/>
    <n v="0"/>
    <n v="140"/>
    <n v="140"/>
    <n v="1"/>
    <n v="153"/>
    <n v="0"/>
    <n v="153"/>
    <n v="0.18257756563245822"/>
    <n v="0.81742243436754181"/>
    <n v="0.18257756563245822"/>
    <n v="0"/>
    <n v="0"/>
    <n v="0"/>
    <x v="0"/>
    <s v="Village"/>
    <x v="0"/>
    <s v="Muslim"/>
    <n v="20.819919586181602"/>
    <n v="92.589729309082003"/>
    <n v="198349"/>
    <x v="0"/>
    <m/>
  </r>
  <r>
    <x v="0"/>
    <x v="1"/>
    <x v="1"/>
    <s v="IOM"/>
    <x v="1"/>
    <x v="2"/>
    <x v="0"/>
    <x v="4"/>
    <n v="275"/>
    <n v="1698"/>
    <d v="2019-01-15T00:00:00"/>
    <d v="2019-09-15T00:00:00"/>
    <m/>
    <m/>
    <m/>
    <m/>
    <m/>
    <m/>
    <m/>
    <m/>
    <m/>
    <x v="0"/>
    <m/>
    <m/>
    <m/>
    <m/>
    <m/>
    <m/>
    <n v="183"/>
    <n v="92"/>
    <m/>
    <m/>
    <m/>
    <m/>
    <m/>
    <m/>
    <m/>
    <m/>
    <m/>
    <m/>
    <m/>
    <n v="0"/>
    <n v="0"/>
    <n v="0"/>
    <n v="0"/>
    <n v="0"/>
    <n v="0"/>
    <n v="0"/>
    <n v="1"/>
    <n v="1698"/>
    <n v="7"/>
    <n v="7"/>
    <n v="0"/>
    <n v="0"/>
    <n v="0"/>
    <n v="283"/>
    <n v="283"/>
    <n v="1"/>
    <n v="275"/>
    <n v="0"/>
    <n v="275"/>
    <n v="0.16195524146054183"/>
    <n v="0.83804475853945815"/>
    <n v="0.16195524146054183"/>
    <n v="0"/>
    <n v="0"/>
    <n v="0"/>
    <x v="0"/>
    <s v="Village"/>
    <x v="0"/>
    <s v="Muslim"/>
    <n v="0"/>
    <n v="0"/>
    <n v="197968"/>
    <x v="0"/>
    <m/>
  </r>
  <r>
    <x v="0"/>
    <x v="1"/>
    <x v="1"/>
    <s v="IOM"/>
    <x v="1"/>
    <x v="2"/>
    <x v="0"/>
    <x v="5"/>
    <n v="119"/>
    <n v="428"/>
    <d v="2019-01-15T00:00:00"/>
    <d v="2019-09-15T00:00:00"/>
    <m/>
    <m/>
    <m/>
    <m/>
    <m/>
    <m/>
    <m/>
    <m/>
    <m/>
    <x v="0"/>
    <m/>
    <m/>
    <m/>
    <m/>
    <m/>
    <m/>
    <n v="95"/>
    <n v="18"/>
    <m/>
    <m/>
    <m/>
    <m/>
    <m/>
    <m/>
    <m/>
    <m/>
    <m/>
    <m/>
    <m/>
    <n v="0"/>
    <n v="0"/>
    <n v="0"/>
    <n v="0"/>
    <n v="0"/>
    <n v="0"/>
    <n v="0"/>
    <n v="1"/>
    <n v="428"/>
    <n v="2"/>
    <n v="2"/>
    <n v="0"/>
    <n v="0"/>
    <n v="0"/>
    <n v="71"/>
    <n v="71"/>
    <n v="1"/>
    <n v="113"/>
    <n v="0"/>
    <n v="113"/>
    <n v="0.26401869158878505"/>
    <n v="0.73598130841121501"/>
    <n v="0.26401869158878505"/>
    <n v="0"/>
    <n v="0"/>
    <n v="0"/>
    <x v="0"/>
    <s v="Village"/>
    <x v="0"/>
    <s v="Rakhine"/>
    <n v="0"/>
    <n v="0"/>
    <n v="220977"/>
    <x v="0"/>
    <m/>
  </r>
  <r>
    <x v="0"/>
    <x v="1"/>
    <x v="1"/>
    <s v="IOM"/>
    <x v="1"/>
    <x v="2"/>
    <x v="0"/>
    <x v="6"/>
    <n v="60"/>
    <n v="314"/>
    <d v="2019-01-15T00:00:00"/>
    <d v="2019-09-15T00:00:00"/>
    <m/>
    <m/>
    <m/>
    <m/>
    <m/>
    <m/>
    <m/>
    <m/>
    <m/>
    <x v="0"/>
    <m/>
    <m/>
    <m/>
    <m/>
    <m/>
    <m/>
    <n v="46"/>
    <n v="14"/>
    <m/>
    <m/>
    <m/>
    <m/>
    <m/>
    <m/>
    <m/>
    <m/>
    <m/>
    <m/>
    <m/>
    <n v="0"/>
    <n v="0"/>
    <n v="0"/>
    <n v="0"/>
    <n v="0"/>
    <n v="0"/>
    <n v="0"/>
    <n v="1"/>
    <n v="314"/>
    <n v="1"/>
    <n v="1"/>
    <n v="0"/>
    <n v="0"/>
    <n v="0"/>
    <n v="52"/>
    <n v="52"/>
    <n v="1"/>
    <n v="60"/>
    <n v="0"/>
    <n v="60"/>
    <n v="0.19108280254777071"/>
    <n v="0.80891719745222934"/>
    <n v="0.19108280254777071"/>
    <n v="0"/>
    <n v="0"/>
    <n v="0"/>
    <x v="0"/>
    <s v="Village"/>
    <x v="0"/>
    <s v="Rakhine"/>
    <n v="20.646560668945298"/>
    <n v="92.976043701171903"/>
    <n v="196937"/>
    <x v="0"/>
    <m/>
  </r>
  <r>
    <x v="0"/>
    <x v="1"/>
    <x v="1"/>
    <s v="IOM"/>
    <x v="1"/>
    <x v="1"/>
    <x v="0"/>
    <x v="7"/>
    <n v="95"/>
    <n v="570"/>
    <d v="2019-01-15T00:00:00"/>
    <d v="2019-09-15T00:00:00"/>
    <m/>
    <m/>
    <m/>
    <m/>
    <m/>
    <m/>
    <m/>
    <m/>
    <m/>
    <x v="0"/>
    <m/>
    <m/>
    <m/>
    <m/>
    <m/>
    <m/>
    <n v="67"/>
    <n v="28"/>
    <m/>
    <m/>
    <m/>
    <m/>
    <m/>
    <m/>
    <m/>
    <m/>
    <m/>
    <m/>
    <m/>
    <n v="0"/>
    <n v="0"/>
    <n v="0"/>
    <n v="0"/>
    <n v="0"/>
    <n v="0"/>
    <n v="0"/>
    <n v="1"/>
    <n v="570"/>
    <n v="2"/>
    <n v="2"/>
    <n v="0"/>
    <n v="0"/>
    <n v="0"/>
    <n v="95"/>
    <n v="95"/>
    <n v="1"/>
    <n v="95"/>
    <n v="0"/>
    <n v="95"/>
    <n v="0.16666666666666666"/>
    <n v="0.83333333333333337"/>
    <n v="0.16666666666666666"/>
    <n v="0"/>
    <n v="0"/>
    <n v="0"/>
    <x v="0"/>
    <s v="Village"/>
    <x v="0"/>
    <s v="Muslim"/>
    <n v="0"/>
    <n v="0"/>
    <n v="198427"/>
    <x v="0"/>
    <m/>
  </r>
  <r>
    <x v="0"/>
    <x v="1"/>
    <x v="1"/>
    <s v="IOM"/>
    <x v="1"/>
    <x v="1"/>
    <x v="0"/>
    <x v="8"/>
    <n v="8"/>
    <n v="42"/>
    <d v="2019-01-15T00:00:00"/>
    <d v="2019-09-15T00:00:00"/>
    <m/>
    <m/>
    <m/>
    <m/>
    <m/>
    <m/>
    <m/>
    <m/>
    <m/>
    <x v="0"/>
    <m/>
    <m/>
    <m/>
    <m/>
    <m/>
    <m/>
    <n v="2"/>
    <n v="6"/>
    <m/>
    <m/>
    <m/>
    <m/>
    <m/>
    <m/>
    <m/>
    <m/>
    <m/>
    <m/>
    <m/>
    <n v="0"/>
    <n v="0"/>
    <n v="0"/>
    <n v="0"/>
    <n v="0"/>
    <n v="0"/>
    <n v="0"/>
    <n v="1"/>
    <n v="42"/>
    <n v="1"/>
    <n v="1"/>
    <n v="0"/>
    <n v="0"/>
    <n v="0"/>
    <n v="7"/>
    <n v="7"/>
    <n v="1"/>
    <n v="8"/>
    <n v="0"/>
    <n v="8"/>
    <n v="0.19047619047619047"/>
    <n v="0.80952380952380953"/>
    <n v="0.19047619047619047"/>
    <n v="0"/>
    <n v="0"/>
    <n v="0"/>
    <x v="0"/>
    <s v="Village"/>
    <x v="0"/>
    <s v="Rakhine"/>
    <n v="0"/>
    <n v="0"/>
    <n v="198426"/>
    <x v="0"/>
    <m/>
  </r>
  <r>
    <x v="0"/>
    <x v="1"/>
    <x v="1"/>
    <s v="IOM"/>
    <x v="1"/>
    <x v="1"/>
    <x v="0"/>
    <x v="9"/>
    <n v="96"/>
    <n v="533"/>
    <d v="2019-01-15T00:00:00"/>
    <d v="2019-09-15T00:00:00"/>
    <m/>
    <m/>
    <m/>
    <m/>
    <m/>
    <m/>
    <m/>
    <m/>
    <m/>
    <x v="0"/>
    <m/>
    <m/>
    <m/>
    <m/>
    <m/>
    <m/>
    <n v="79"/>
    <n v="18"/>
    <m/>
    <m/>
    <m/>
    <m/>
    <m/>
    <m/>
    <m/>
    <m/>
    <m/>
    <m/>
    <m/>
    <n v="0"/>
    <n v="0"/>
    <n v="0"/>
    <n v="0"/>
    <n v="0"/>
    <n v="0"/>
    <n v="0"/>
    <n v="1"/>
    <n v="533"/>
    <n v="2"/>
    <n v="2"/>
    <n v="0"/>
    <n v="0"/>
    <n v="0"/>
    <n v="89"/>
    <n v="89"/>
    <n v="1"/>
    <n v="97"/>
    <n v="0"/>
    <n v="97"/>
    <n v="0.18198874296435272"/>
    <n v="0.81801125703564725"/>
    <n v="0.18198874296435272"/>
    <n v="0"/>
    <n v="0"/>
    <n v="0"/>
    <x v="0"/>
    <s v="Village"/>
    <x v="0"/>
    <s v="Muslim"/>
    <n v="0"/>
    <n v="0"/>
    <n v="198435"/>
    <x v="0"/>
    <m/>
  </r>
  <r>
    <x v="0"/>
    <x v="1"/>
    <x v="1"/>
    <s v="IOM"/>
    <x v="1"/>
    <x v="1"/>
    <x v="0"/>
    <x v="10"/>
    <n v="217"/>
    <n v="1155"/>
    <d v="2019-01-15T00:00:00"/>
    <d v="2019-09-15T00:00:00"/>
    <m/>
    <m/>
    <m/>
    <m/>
    <m/>
    <m/>
    <m/>
    <m/>
    <m/>
    <x v="0"/>
    <m/>
    <m/>
    <m/>
    <m/>
    <m/>
    <m/>
    <n v="174"/>
    <n v="43"/>
    <m/>
    <m/>
    <m/>
    <m/>
    <m/>
    <m/>
    <m/>
    <m/>
    <m/>
    <m/>
    <m/>
    <n v="0"/>
    <n v="0"/>
    <n v="0"/>
    <n v="0"/>
    <n v="0"/>
    <n v="0"/>
    <n v="0"/>
    <n v="1"/>
    <n v="1155"/>
    <n v="5"/>
    <n v="5"/>
    <n v="0"/>
    <n v="0"/>
    <n v="0"/>
    <n v="193"/>
    <n v="193"/>
    <n v="1"/>
    <n v="217"/>
    <n v="0"/>
    <n v="217"/>
    <n v="0.18787878787878787"/>
    <n v="0.81212121212121213"/>
    <n v="0.18787878787878787"/>
    <n v="0"/>
    <n v="0"/>
    <n v="0"/>
    <x v="0"/>
    <s v="Village"/>
    <x v="0"/>
    <s v="Muslim"/>
    <n v="20.703790659999999"/>
    <n v="92.628463749999995"/>
    <n v="198431"/>
    <x v="0"/>
    <m/>
  </r>
  <r>
    <x v="0"/>
    <x v="1"/>
    <x v="1"/>
    <s v="IOM"/>
    <x v="1"/>
    <x v="1"/>
    <x v="0"/>
    <x v="11"/>
    <n v="129"/>
    <n v="664"/>
    <d v="2019-01-15T00:00:00"/>
    <d v="2019-09-15T00:00:00"/>
    <m/>
    <m/>
    <m/>
    <m/>
    <m/>
    <m/>
    <m/>
    <m/>
    <m/>
    <x v="0"/>
    <m/>
    <m/>
    <m/>
    <m/>
    <m/>
    <m/>
    <n v="127"/>
    <n v="33"/>
    <m/>
    <m/>
    <m/>
    <m/>
    <m/>
    <m/>
    <m/>
    <m/>
    <m/>
    <m/>
    <m/>
    <n v="0"/>
    <n v="0"/>
    <n v="0"/>
    <n v="0"/>
    <n v="0"/>
    <n v="0"/>
    <n v="0"/>
    <n v="1"/>
    <n v="664"/>
    <n v="3"/>
    <n v="3"/>
    <n v="0"/>
    <n v="0"/>
    <n v="0"/>
    <n v="111"/>
    <n v="111"/>
    <n v="1"/>
    <n v="160"/>
    <n v="0"/>
    <n v="160"/>
    <n v="0.24096385542168675"/>
    <n v="0.75903614457831325"/>
    <n v="0.24096385542168675"/>
    <n v="0"/>
    <n v="0"/>
    <n v="0"/>
    <x v="0"/>
    <s v="Village"/>
    <x v="0"/>
    <s v="Rakhine"/>
    <n v="20.703920360000001"/>
    <n v="92.631500239999994"/>
    <n v="198428"/>
    <x v="0"/>
    <m/>
  </r>
  <r>
    <x v="0"/>
    <x v="1"/>
    <x v="1"/>
    <s v="IOM"/>
    <x v="1"/>
    <x v="1"/>
    <x v="0"/>
    <x v="12"/>
    <n v="171"/>
    <n v="908"/>
    <d v="2019-01-15T00:00:00"/>
    <d v="2019-09-15T00:00:00"/>
    <m/>
    <m/>
    <m/>
    <m/>
    <m/>
    <m/>
    <m/>
    <m/>
    <m/>
    <x v="0"/>
    <m/>
    <m/>
    <m/>
    <m/>
    <m/>
    <m/>
    <n v="137"/>
    <n v="34"/>
    <m/>
    <m/>
    <m/>
    <m/>
    <m/>
    <m/>
    <m/>
    <m/>
    <m/>
    <m/>
    <m/>
    <n v="0"/>
    <n v="0"/>
    <n v="0"/>
    <n v="0"/>
    <n v="0"/>
    <n v="0"/>
    <n v="0"/>
    <n v="1"/>
    <n v="908"/>
    <n v="4"/>
    <n v="4"/>
    <n v="0"/>
    <n v="0"/>
    <n v="0"/>
    <n v="151"/>
    <n v="151"/>
    <n v="1"/>
    <n v="171"/>
    <n v="0"/>
    <n v="171"/>
    <n v="0.18832599118942731"/>
    <n v="0.81167400881057272"/>
    <n v="0.18832599118942731"/>
    <n v="0"/>
    <n v="0"/>
    <n v="0"/>
    <x v="0"/>
    <s v="Village"/>
    <x v="0"/>
    <s v="Muslim"/>
    <n v="0"/>
    <n v="0"/>
    <n v="198350"/>
    <x v="0"/>
    <m/>
  </r>
  <r>
    <x v="0"/>
    <x v="1"/>
    <x v="1"/>
    <s v="IOM"/>
    <x v="1"/>
    <x v="2"/>
    <x v="0"/>
    <x v="13"/>
    <n v="376"/>
    <n v="2392"/>
    <d v="2019-01-15T00:00:00"/>
    <d v="2019-09-15T00:00:00"/>
    <m/>
    <m/>
    <m/>
    <m/>
    <m/>
    <m/>
    <m/>
    <m/>
    <m/>
    <x v="0"/>
    <m/>
    <m/>
    <m/>
    <m/>
    <m/>
    <m/>
    <n v="250"/>
    <n v="126"/>
    <m/>
    <m/>
    <m/>
    <m/>
    <m/>
    <m/>
    <m/>
    <m/>
    <m/>
    <m/>
    <m/>
    <n v="0"/>
    <n v="0"/>
    <n v="0"/>
    <n v="0"/>
    <n v="0"/>
    <n v="0"/>
    <n v="0"/>
    <n v="1"/>
    <n v="2392"/>
    <n v="10"/>
    <n v="10"/>
    <n v="0"/>
    <n v="0"/>
    <n v="0"/>
    <n v="399"/>
    <n v="399"/>
    <n v="1"/>
    <n v="376"/>
    <n v="0"/>
    <n v="376"/>
    <n v="0.15719063545150502"/>
    <n v="0.84280936454849498"/>
    <n v="0.15719063545150502"/>
    <n v="0"/>
    <n v="0"/>
    <n v="0"/>
    <x v="0"/>
    <s v="Village"/>
    <x v="1"/>
    <s v="Rakhine"/>
    <n v="19.421102000000001"/>
    <n v="93.552452000000002"/>
    <s v="MMR012CMP036"/>
    <x v="0"/>
    <m/>
  </r>
  <r>
    <x v="0"/>
    <x v="1"/>
    <x v="1"/>
    <s v="IOM"/>
    <x v="1"/>
    <x v="2"/>
    <x v="0"/>
    <x v="14"/>
    <n v="145"/>
    <n v="702"/>
    <d v="2019-01-15T00:00:00"/>
    <d v="2019-09-15T00:00:00"/>
    <m/>
    <m/>
    <m/>
    <m/>
    <m/>
    <m/>
    <m/>
    <m/>
    <m/>
    <x v="0"/>
    <m/>
    <m/>
    <m/>
    <m/>
    <m/>
    <m/>
    <n v="112"/>
    <n v="33"/>
    <m/>
    <m/>
    <m/>
    <m/>
    <m/>
    <m/>
    <m/>
    <m/>
    <m/>
    <m/>
    <m/>
    <n v="0"/>
    <n v="0"/>
    <n v="0"/>
    <n v="0"/>
    <n v="0"/>
    <n v="0"/>
    <n v="0"/>
    <n v="1"/>
    <n v="702"/>
    <n v="3"/>
    <n v="3"/>
    <n v="0"/>
    <n v="0"/>
    <n v="0"/>
    <n v="117"/>
    <n v="117"/>
    <n v="1"/>
    <n v="145"/>
    <n v="0"/>
    <n v="145"/>
    <n v="0.20655270655270655"/>
    <n v="0.79344729344729348"/>
    <n v="0.20655270655270655"/>
    <n v="0"/>
    <n v="0"/>
    <n v="0"/>
    <x v="0"/>
    <s v="Village"/>
    <x v="0"/>
    <s v="Muslim"/>
    <n v="0"/>
    <n v="0"/>
    <n v="0"/>
    <x v="0"/>
    <m/>
  </r>
  <r>
    <x v="0"/>
    <x v="1"/>
    <x v="1"/>
    <s v="IOM"/>
    <x v="1"/>
    <x v="1"/>
    <x v="0"/>
    <x v="15"/>
    <n v="22"/>
    <n v="100"/>
    <d v="2019-01-15T00:00:00"/>
    <d v="2019-09-15T00:00:00"/>
    <m/>
    <m/>
    <m/>
    <m/>
    <m/>
    <m/>
    <m/>
    <m/>
    <m/>
    <x v="0"/>
    <m/>
    <m/>
    <m/>
    <m/>
    <m/>
    <m/>
    <n v="22"/>
    <n v="0"/>
    <m/>
    <m/>
    <m/>
    <m/>
    <m/>
    <m/>
    <m/>
    <m/>
    <m/>
    <m/>
    <m/>
    <n v="0"/>
    <n v="0"/>
    <n v="0"/>
    <n v="0"/>
    <n v="0"/>
    <n v="0"/>
    <n v="0"/>
    <n v="1"/>
    <n v="100"/>
    <n v="1"/>
    <n v="1"/>
    <n v="0"/>
    <n v="0"/>
    <n v="0"/>
    <n v="17"/>
    <n v="17"/>
    <n v="1"/>
    <n v="22"/>
    <n v="0"/>
    <n v="22"/>
    <n v="0.22"/>
    <n v="0.78"/>
    <n v="0.22"/>
    <n v="0"/>
    <n v="0"/>
    <n v="0"/>
    <x v="0"/>
    <s v="Village"/>
    <x v="0"/>
    <s v="Rakhine"/>
    <n v="20.80558014"/>
    <n v="92.549842830000003"/>
    <n v="198336"/>
    <x v="0"/>
    <m/>
  </r>
  <r>
    <x v="0"/>
    <x v="1"/>
    <x v="1"/>
    <s v="IOM"/>
    <x v="1"/>
    <x v="1"/>
    <x v="0"/>
    <x v="16"/>
    <n v="18"/>
    <n v="85"/>
    <d v="2019-01-15T00:00:00"/>
    <d v="2019-09-15T00:00:00"/>
    <m/>
    <m/>
    <m/>
    <m/>
    <m/>
    <m/>
    <m/>
    <m/>
    <m/>
    <x v="0"/>
    <m/>
    <m/>
    <m/>
    <m/>
    <m/>
    <m/>
    <n v="15"/>
    <n v="1"/>
    <m/>
    <m/>
    <m/>
    <m/>
    <m/>
    <m/>
    <m/>
    <m/>
    <m/>
    <m/>
    <m/>
    <n v="0"/>
    <n v="0"/>
    <n v="0"/>
    <n v="0"/>
    <n v="0"/>
    <n v="0"/>
    <n v="0"/>
    <n v="1"/>
    <n v="85"/>
    <n v="1"/>
    <n v="1"/>
    <n v="0"/>
    <n v="0"/>
    <n v="0"/>
    <n v="14"/>
    <n v="14"/>
    <n v="1"/>
    <n v="16"/>
    <n v="0"/>
    <n v="16"/>
    <n v="0.18823529411764706"/>
    <n v="0.81176470588235294"/>
    <n v="0.18823529411764706"/>
    <n v="0"/>
    <n v="0"/>
    <n v="0"/>
    <x v="0"/>
    <s v="Village"/>
    <x v="0"/>
    <s v="Rakhine"/>
    <n v="20.892290119999998"/>
    <n v="92.550079350000004"/>
    <n v="198303"/>
    <x v="0"/>
    <m/>
  </r>
  <r>
    <x v="0"/>
    <x v="1"/>
    <x v="1"/>
    <s v="IOM"/>
    <x v="1"/>
    <x v="1"/>
    <x v="0"/>
    <x v="17"/>
    <n v="162"/>
    <n v="927"/>
    <d v="2019-01-15T00:00:00"/>
    <d v="2019-09-15T00:00:00"/>
    <m/>
    <m/>
    <m/>
    <m/>
    <m/>
    <m/>
    <m/>
    <m/>
    <m/>
    <x v="0"/>
    <m/>
    <m/>
    <m/>
    <m/>
    <m/>
    <m/>
    <n v="121"/>
    <n v="41"/>
    <m/>
    <m/>
    <m/>
    <m/>
    <m/>
    <m/>
    <m/>
    <m/>
    <m/>
    <m/>
    <m/>
    <n v="0"/>
    <n v="0"/>
    <n v="0"/>
    <n v="0"/>
    <n v="0"/>
    <n v="0"/>
    <n v="0"/>
    <n v="1"/>
    <n v="927"/>
    <n v="4"/>
    <n v="4"/>
    <n v="0"/>
    <n v="0"/>
    <n v="0"/>
    <n v="155"/>
    <n v="155"/>
    <n v="1"/>
    <n v="162"/>
    <n v="0"/>
    <n v="162"/>
    <n v="0.17475728155339806"/>
    <n v="0.82524271844660191"/>
    <n v="0.17475728155339806"/>
    <n v="0"/>
    <n v="0"/>
    <n v="0"/>
    <x v="0"/>
    <s v="Village"/>
    <x v="0"/>
    <s v="Muslim"/>
    <n v="0"/>
    <n v="0"/>
    <n v="198405"/>
    <x v="0"/>
    <m/>
  </r>
  <r>
    <x v="0"/>
    <x v="1"/>
    <x v="1"/>
    <s v="IOM"/>
    <x v="1"/>
    <x v="2"/>
    <x v="0"/>
    <x v="18"/>
    <n v="181"/>
    <n v="1089"/>
    <d v="2019-01-15T00:00:00"/>
    <d v="2019-09-15T00:00:00"/>
    <m/>
    <m/>
    <m/>
    <m/>
    <m/>
    <m/>
    <m/>
    <m/>
    <m/>
    <x v="0"/>
    <m/>
    <m/>
    <m/>
    <m/>
    <m/>
    <m/>
    <n v="136"/>
    <n v="45"/>
    <m/>
    <m/>
    <m/>
    <m/>
    <m/>
    <m/>
    <m/>
    <m/>
    <m/>
    <m/>
    <m/>
    <n v="0"/>
    <n v="0"/>
    <n v="0"/>
    <n v="0"/>
    <n v="0"/>
    <n v="0"/>
    <n v="0"/>
    <n v="1"/>
    <n v="1089"/>
    <n v="4"/>
    <n v="4"/>
    <n v="0"/>
    <n v="0"/>
    <n v="0"/>
    <n v="182"/>
    <n v="182"/>
    <n v="1"/>
    <n v="181"/>
    <n v="0"/>
    <n v="181"/>
    <n v="0.16620752984389348"/>
    <n v="0.83379247015610658"/>
    <n v="0.16620752984389348"/>
    <n v="0"/>
    <n v="0"/>
    <n v="0"/>
    <x v="0"/>
    <s v="Village"/>
    <x v="0"/>
    <s v="Rakhine"/>
    <n v="20.691099170000001"/>
    <n v="92.590652469999995"/>
    <n v="198446"/>
    <x v="0"/>
    <m/>
  </r>
  <r>
    <x v="0"/>
    <x v="1"/>
    <x v="1"/>
    <s v="IOM"/>
    <x v="1"/>
    <x v="2"/>
    <x v="0"/>
    <x v="19"/>
    <n v="241"/>
    <n v="1397"/>
    <d v="2019-01-15T00:00:00"/>
    <d v="2019-09-15T00:00:00"/>
    <m/>
    <m/>
    <m/>
    <m/>
    <m/>
    <m/>
    <m/>
    <m/>
    <m/>
    <x v="0"/>
    <m/>
    <m/>
    <m/>
    <m/>
    <m/>
    <m/>
    <n v="193"/>
    <n v="48"/>
    <m/>
    <m/>
    <m/>
    <m/>
    <m/>
    <m/>
    <m/>
    <m/>
    <m/>
    <m/>
    <m/>
    <n v="0"/>
    <n v="0"/>
    <n v="0"/>
    <n v="0"/>
    <n v="0"/>
    <n v="0"/>
    <n v="0"/>
    <n v="1"/>
    <n v="1397"/>
    <n v="6"/>
    <n v="6"/>
    <n v="0"/>
    <n v="0"/>
    <n v="0"/>
    <n v="233"/>
    <n v="233"/>
    <n v="1"/>
    <n v="241"/>
    <n v="0"/>
    <n v="241"/>
    <n v="0.17251252684323551"/>
    <n v="0.82748747315676452"/>
    <n v="0.17251252684323551"/>
    <n v="0"/>
    <n v="0"/>
    <n v="0"/>
    <x v="0"/>
    <s v="Village"/>
    <x v="0"/>
    <s v="Muslim"/>
    <n v="20.872400280000001"/>
    <n v="92.337608340000003"/>
    <n v="197971"/>
    <x v="0"/>
    <m/>
  </r>
  <r>
    <x v="0"/>
    <x v="1"/>
    <x v="1"/>
    <s v="IOM"/>
    <x v="1"/>
    <x v="1"/>
    <x v="0"/>
    <x v="20"/>
    <n v="152"/>
    <n v="798"/>
    <d v="2019-01-15T00:00:00"/>
    <d v="2019-09-15T00:00:00"/>
    <m/>
    <m/>
    <m/>
    <m/>
    <m/>
    <m/>
    <m/>
    <m/>
    <m/>
    <x v="0"/>
    <m/>
    <m/>
    <m/>
    <m/>
    <m/>
    <m/>
    <n v="130"/>
    <n v="22"/>
    <m/>
    <m/>
    <m/>
    <m/>
    <m/>
    <m/>
    <m/>
    <m/>
    <m/>
    <m/>
    <m/>
    <n v="0"/>
    <n v="0"/>
    <n v="0"/>
    <n v="0"/>
    <n v="0"/>
    <n v="0"/>
    <n v="0"/>
    <n v="1"/>
    <n v="798"/>
    <n v="3"/>
    <n v="3"/>
    <n v="0"/>
    <n v="0"/>
    <n v="0"/>
    <n v="133"/>
    <n v="133"/>
    <n v="1"/>
    <n v="152"/>
    <n v="0"/>
    <n v="152"/>
    <n v="0.19047619047619047"/>
    <n v="0.80952380952380953"/>
    <n v="0.19047619047619047"/>
    <n v="0"/>
    <n v="0"/>
    <n v="0"/>
    <x v="0"/>
    <s v="Village"/>
    <x v="0"/>
    <s v="Muslim"/>
    <n v="0"/>
    <n v="0"/>
    <n v="198351"/>
    <x v="0"/>
    <m/>
  </r>
  <r>
    <x v="0"/>
    <x v="1"/>
    <x v="1"/>
    <s v="IOM"/>
    <x v="1"/>
    <x v="1"/>
    <x v="0"/>
    <x v="21"/>
    <n v="136"/>
    <n v="847"/>
    <d v="2019-01-15T00:00:00"/>
    <d v="2019-09-15T00:00:00"/>
    <m/>
    <m/>
    <m/>
    <m/>
    <m/>
    <m/>
    <m/>
    <m/>
    <m/>
    <x v="0"/>
    <m/>
    <m/>
    <m/>
    <m/>
    <m/>
    <m/>
    <n v="96"/>
    <n v="41"/>
    <m/>
    <m/>
    <m/>
    <m/>
    <m/>
    <m/>
    <m/>
    <m/>
    <m/>
    <m/>
    <m/>
    <n v="0"/>
    <n v="0"/>
    <n v="0"/>
    <n v="0"/>
    <n v="0"/>
    <n v="0"/>
    <n v="0"/>
    <n v="1"/>
    <n v="847"/>
    <n v="3"/>
    <n v="3"/>
    <n v="0"/>
    <n v="0"/>
    <n v="0"/>
    <n v="141"/>
    <n v="141"/>
    <n v="1"/>
    <n v="137"/>
    <n v="0"/>
    <n v="137"/>
    <n v="0.16174734356552539"/>
    <n v="0.83825265643447455"/>
    <n v="0.16174734356552539"/>
    <n v="0"/>
    <n v="0"/>
    <n v="0"/>
    <x v="0"/>
    <s v="Village"/>
    <x v="0"/>
    <s v="Muslim"/>
    <n v="0"/>
    <n v="0"/>
    <n v="0"/>
    <x v="0"/>
    <m/>
  </r>
  <r>
    <x v="0"/>
    <x v="1"/>
    <x v="1"/>
    <s v="IOM"/>
    <x v="1"/>
    <x v="1"/>
    <x v="0"/>
    <x v="22"/>
    <n v="20"/>
    <n v="91"/>
    <d v="2019-01-15T00:00:00"/>
    <d v="2019-09-15T00:00:00"/>
    <m/>
    <m/>
    <m/>
    <m/>
    <m/>
    <m/>
    <m/>
    <m/>
    <m/>
    <x v="0"/>
    <m/>
    <m/>
    <m/>
    <m/>
    <m/>
    <m/>
    <n v="15"/>
    <n v="5"/>
    <m/>
    <m/>
    <m/>
    <m/>
    <m/>
    <m/>
    <m/>
    <m/>
    <m/>
    <m/>
    <m/>
    <n v="0"/>
    <n v="0"/>
    <n v="0"/>
    <n v="0"/>
    <n v="0"/>
    <n v="0"/>
    <n v="0"/>
    <n v="1"/>
    <n v="91"/>
    <n v="1"/>
    <n v="1"/>
    <n v="0"/>
    <n v="0"/>
    <n v="0"/>
    <n v="15"/>
    <n v="15"/>
    <n v="1"/>
    <n v="20"/>
    <n v="0"/>
    <n v="20"/>
    <n v="0.21978021978021978"/>
    <n v="0.78021978021978022"/>
    <n v="0.21978021978021978"/>
    <n v="0"/>
    <n v="0"/>
    <n v="0"/>
    <x v="0"/>
    <s v="Village"/>
    <x v="0"/>
    <s v="Rakhine"/>
    <n v="20.767719270000001"/>
    <n v="92.631736759999995"/>
    <n v="198409"/>
    <x v="0"/>
    <m/>
  </r>
  <r>
    <x v="0"/>
    <x v="1"/>
    <x v="1"/>
    <s v="IOM"/>
    <x v="1"/>
    <x v="2"/>
    <x v="0"/>
    <x v="23"/>
    <n v="31"/>
    <n v="256"/>
    <d v="2019-01-15T00:00:00"/>
    <d v="2019-09-15T00:00:00"/>
    <m/>
    <m/>
    <m/>
    <m/>
    <m/>
    <m/>
    <m/>
    <m/>
    <m/>
    <x v="0"/>
    <m/>
    <m/>
    <m/>
    <m/>
    <m/>
    <m/>
    <n v="40"/>
    <n v="24"/>
    <m/>
    <m/>
    <m/>
    <m/>
    <m/>
    <m/>
    <m/>
    <m/>
    <m/>
    <m/>
    <m/>
    <n v="0"/>
    <n v="0"/>
    <n v="0"/>
    <n v="0"/>
    <n v="0"/>
    <n v="0"/>
    <n v="0"/>
    <n v="1"/>
    <n v="256"/>
    <n v="1"/>
    <n v="1"/>
    <n v="0"/>
    <n v="0"/>
    <n v="0"/>
    <n v="43"/>
    <n v="43"/>
    <n v="1"/>
    <n v="64"/>
    <n v="0"/>
    <n v="64"/>
    <n v="0.25"/>
    <n v="0.75"/>
    <n v="0.25"/>
    <n v="0"/>
    <n v="0"/>
    <n v="0"/>
    <x v="0"/>
    <s v="Village"/>
    <x v="0"/>
    <s v="Rakhine"/>
    <n v="0"/>
    <n v="0"/>
    <n v="0"/>
    <x v="0"/>
    <m/>
  </r>
  <r>
    <x v="0"/>
    <x v="1"/>
    <x v="1"/>
    <s v="IOM"/>
    <x v="1"/>
    <x v="2"/>
    <x v="0"/>
    <x v="24"/>
    <n v="86"/>
    <n v="401"/>
    <d v="2019-01-15T00:00:00"/>
    <d v="2019-09-15T00:00:00"/>
    <m/>
    <m/>
    <m/>
    <m/>
    <m/>
    <m/>
    <m/>
    <m/>
    <m/>
    <x v="0"/>
    <m/>
    <m/>
    <m/>
    <m/>
    <m/>
    <m/>
    <n v="45"/>
    <n v="45"/>
    <m/>
    <m/>
    <m/>
    <m/>
    <m/>
    <m/>
    <m/>
    <m/>
    <m/>
    <m/>
    <m/>
    <n v="0"/>
    <n v="0"/>
    <n v="0"/>
    <n v="0"/>
    <n v="0"/>
    <n v="0"/>
    <n v="0"/>
    <n v="1"/>
    <n v="401"/>
    <n v="2"/>
    <n v="2"/>
    <n v="0"/>
    <n v="0"/>
    <n v="0"/>
    <n v="67"/>
    <n v="67"/>
    <n v="1"/>
    <n v="90"/>
    <n v="0"/>
    <n v="90"/>
    <n v="0.22443890274314215"/>
    <n v="0.77556109725685785"/>
    <n v="0.22443890274314215"/>
    <n v="0"/>
    <n v="0"/>
    <n v="0"/>
    <x v="0"/>
    <s v="Village"/>
    <x v="0"/>
    <s v="Rakhine"/>
    <n v="20.806211470000001"/>
    <n v="92.404357910000002"/>
    <n v="220737"/>
    <x v="0"/>
    <m/>
  </r>
  <r>
    <x v="0"/>
    <x v="1"/>
    <x v="1"/>
    <s v="IOM"/>
    <x v="1"/>
    <x v="1"/>
    <x v="0"/>
    <x v="25"/>
    <n v="23"/>
    <n v="86"/>
    <d v="2019-01-15T00:00:00"/>
    <d v="2019-09-15T00:00:00"/>
    <m/>
    <m/>
    <m/>
    <m/>
    <m/>
    <m/>
    <m/>
    <m/>
    <m/>
    <x v="0"/>
    <m/>
    <m/>
    <m/>
    <m/>
    <m/>
    <m/>
    <n v="17"/>
    <n v="6"/>
    <m/>
    <m/>
    <m/>
    <m/>
    <m/>
    <m/>
    <m/>
    <m/>
    <m/>
    <m/>
    <m/>
    <n v="0"/>
    <n v="0"/>
    <n v="0"/>
    <n v="0"/>
    <n v="0"/>
    <n v="0"/>
    <n v="0"/>
    <n v="1"/>
    <n v="86"/>
    <n v="1"/>
    <n v="1"/>
    <n v="0"/>
    <n v="0"/>
    <n v="0"/>
    <n v="14"/>
    <n v="14"/>
    <n v="1"/>
    <n v="23"/>
    <n v="0"/>
    <n v="23"/>
    <n v="0.26744186046511625"/>
    <n v="0.73255813953488369"/>
    <n v="0.26744186046511625"/>
    <n v="0"/>
    <n v="0"/>
    <n v="0"/>
    <x v="0"/>
    <s v="Village"/>
    <x v="0"/>
    <s v="Rakhine"/>
    <n v="0"/>
    <n v="0"/>
    <n v="198337"/>
    <x v="0"/>
    <m/>
  </r>
  <r>
    <x v="0"/>
    <x v="1"/>
    <x v="1"/>
    <s v="IOM"/>
    <x v="1"/>
    <x v="1"/>
    <x v="0"/>
    <x v="26"/>
    <n v="74"/>
    <n v="343"/>
    <d v="2019-01-15T00:00:00"/>
    <d v="2019-09-15T00:00:00"/>
    <m/>
    <m/>
    <m/>
    <m/>
    <m/>
    <m/>
    <m/>
    <m/>
    <m/>
    <x v="0"/>
    <m/>
    <m/>
    <m/>
    <m/>
    <m/>
    <m/>
    <n v="52"/>
    <n v="19"/>
    <m/>
    <m/>
    <m/>
    <m/>
    <m/>
    <m/>
    <m/>
    <m/>
    <m/>
    <m/>
    <m/>
    <n v="0"/>
    <n v="0"/>
    <n v="0"/>
    <n v="0"/>
    <n v="0"/>
    <n v="0"/>
    <n v="0"/>
    <n v="1"/>
    <n v="343"/>
    <n v="1"/>
    <n v="1"/>
    <n v="0"/>
    <n v="0"/>
    <n v="0"/>
    <n v="57"/>
    <n v="57"/>
    <n v="1"/>
    <n v="71"/>
    <n v="0"/>
    <n v="71"/>
    <n v="0.20699708454810495"/>
    <n v="0.79300291545189505"/>
    <n v="0.20699708454810495"/>
    <n v="0"/>
    <n v="0"/>
    <n v="0"/>
    <x v="0"/>
    <s v="Village"/>
    <x v="0"/>
    <s v="Rakhine"/>
    <n v="0"/>
    <n v="0"/>
    <n v="198363"/>
    <x v="0"/>
    <m/>
  </r>
  <r>
    <x v="0"/>
    <x v="1"/>
    <x v="1"/>
    <s v="IOM"/>
    <x v="1"/>
    <x v="1"/>
    <x v="0"/>
    <x v="27"/>
    <n v="18"/>
    <n v="73"/>
    <d v="2019-01-15T00:00:00"/>
    <d v="2019-09-15T00:00:00"/>
    <m/>
    <m/>
    <m/>
    <m/>
    <m/>
    <m/>
    <m/>
    <m/>
    <m/>
    <x v="0"/>
    <m/>
    <m/>
    <m/>
    <m/>
    <m/>
    <m/>
    <n v="17"/>
    <n v="4"/>
    <m/>
    <m/>
    <m/>
    <m/>
    <m/>
    <m/>
    <m/>
    <m/>
    <m/>
    <m/>
    <m/>
    <n v="0"/>
    <n v="0"/>
    <n v="0"/>
    <n v="0"/>
    <n v="0"/>
    <n v="0"/>
    <n v="0"/>
    <n v="1"/>
    <n v="73"/>
    <n v="1"/>
    <n v="1"/>
    <n v="0"/>
    <n v="0"/>
    <n v="0"/>
    <n v="12"/>
    <n v="12"/>
    <n v="1"/>
    <n v="21"/>
    <n v="0"/>
    <n v="21"/>
    <n v="0.28767123287671231"/>
    <n v="0.71232876712328763"/>
    <n v="0.28767123287671231"/>
    <n v="0"/>
    <n v="0"/>
    <n v="0"/>
    <x v="0"/>
    <s v="Village"/>
    <x v="0"/>
    <s v="Rakhine"/>
    <n v="20.887420649999999"/>
    <n v="92.545410160000003"/>
    <n v="198300"/>
    <x v="0"/>
    <m/>
  </r>
  <r>
    <x v="0"/>
    <x v="1"/>
    <x v="1"/>
    <s v="IOM"/>
    <x v="1"/>
    <x v="1"/>
    <x v="0"/>
    <x v="28"/>
    <n v="218"/>
    <n v="1207"/>
    <d v="2019-01-15T00:00:00"/>
    <d v="2019-09-15T00:00:00"/>
    <m/>
    <m/>
    <m/>
    <m/>
    <m/>
    <m/>
    <m/>
    <m/>
    <m/>
    <x v="0"/>
    <m/>
    <m/>
    <m/>
    <m/>
    <m/>
    <m/>
    <n v="185"/>
    <n v="34"/>
    <m/>
    <m/>
    <m/>
    <m/>
    <m/>
    <m/>
    <m/>
    <m/>
    <m/>
    <m/>
    <m/>
    <n v="0"/>
    <n v="0"/>
    <n v="0"/>
    <n v="0"/>
    <n v="0"/>
    <n v="0"/>
    <n v="0"/>
    <n v="1"/>
    <n v="1207"/>
    <n v="5"/>
    <n v="5"/>
    <n v="0"/>
    <n v="0"/>
    <n v="0"/>
    <n v="201"/>
    <n v="201"/>
    <n v="1"/>
    <n v="219"/>
    <n v="0"/>
    <n v="219"/>
    <n v="0.18144159072079535"/>
    <n v="0.81855840927920465"/>
    <n v="0.18144159072079535"/>
    <n v="0"/>
    <n v="0"/>
    <n v="0"/>
    <x v="0"/>
    <s v="Village"/>
    <x v="0"/>
    <s v="Muslim"/>
    <n v="0"/>
    <n v="0"/>
    <n v="198434"/>
    <x v="0"/>
    <m/>
  </r>
  <r>
    <x v="0"/>
    <x v="1"/>
    <x v="1"/>
    <s v="IOM"/>
    <x v="1"/>
    <x v="1"/>
    <x v="0"/>
    <x v="29"/>
    <n v="11"/>
    <n v="39"/>
    <d v="2019-01-15T00:00:00"/>
    <d v="2019-09-15T00:00:00"/>
    <m/>
    <m/>
    <m/>
    <m/>
    <m/>
    <m/>
    <m/>
    <m/>
    <m/>
    <x v="0"/>
    <m/>
    <m/>
    <m/>
    <m/>
    <m/>
    <m/>
    <n v="8"/>
    <n v="0"/>
    <m/>
    <m/>
    <m/>
    <m/>
    <m/>
    <m/>
    <m/>
    <m/>
    <m/>
    <m/>
    <m/>
    <n v="0"/>
    <n v="0"/>
    <n v="0"/>
    <n v="0"/>
    <n v="0"/>
    <n v="0"/>
    <n v="0"/>
    <n v="1"/>
    <n v="39"/>
    <n v="1"/>
    <n v="1"/>
    <n v="0"/>
    <n v="0"/>
    <n v="0"/>
    <n v="7"/>
    <n v="7"/>
    <n v="1"/>
    <n v="8"/>
    <n v="0"/>
    <n v="8"/>
    <n v="0.20512820512820512"/>
    <n v="0.79487179487179493"/>
    <n v="0.20512820512820512"/>
    <n v="0"/>
    <n v="0"/>
    <n v="0"/>
    <x v="0"/>
    <s v="Village"/>
    <x v="0"/>
    <s v="Rakhine"/>
    <n v="0"/>
    <n v="0"/>
    <n v="198433"/>
    <x v="0"/>
    <m/>
  </r>
  <r>
    <x v="0"/>
    <x v="1"/>
    <x v="1"/>
    <s v="IOM"/>
    <x v="1"/>
    <x v="2"/>
    <x v="0"/>
    <x v="30"/>
    <n v="53"/>
    <n v="263"/>
    <d v="2019-01-15T00:00:00"/>
    <d v="2019-09-15T00:00:00"/>
    <m/>
    <m/>
    <m/>
    <m/>
    <m/>
    <m/>
    <m/>
    <m/>
    <m/>
    <x v="0"/>
    <m/>
    <m/>
    <m/>
    <m/>
    <m/>
    <m/>
    <n v="40"/>
    <n v="13"/>
    <m/>
    <m/>
    <m/>
    <m/>
    <m/>
    <m/>
    <m/>
    <m/>
    <m/>
    <m/>
    <m/>
    <n v="0"/>
    <n v="0"/>
    <n v="0"/>
    <n v="0"/>
    <n v="0"/>
    <n v="0"/>
    <n v="0"/>
    <n v="1"/>
    <n v="263"/>
    <n v="1"/>
    <n v="1"/>
    <n v="0"/>
    <n v="0"/>
    <n v="0"/>
    <n v="44"/>
    <n v="44"/>
    <n v="1"/>
    <n v="53"/>
    <n v="0"/>
    <n v="53"/>
    <n v="0.20152091254752852"/>
    <n v="0.79847908745247143"/>
    <n v="0.20152091254752852"/>
    <n v="0"/>
    <n v="0"/>
    <n v="0"/>
    <x v="0"/>
    <s v="Village"/>
    <x v="0"/>
    <s v="Rakhine"/>
    <n v="0"/>
    <n v="0"/>
    <n v="220736"/>
    <x v="0"/>
    <m/>
  </r>
  <r>
    <x v="0"/>
    <x v="1"/>
    <x v="1"/>
    <s v="IOM"/>
    <x v="1"/>
    <x v="1"/>
    <x v="0"/>
    <x v="31"/>
    <n v="125"/>
    <n v="580"/>
    <d v="2019-01-15T00:00:00"/>
    <d v="2019-09-15T00:00:00"/>
    <m/>
    <m/>
    <m/>
    <m/>
    <m/>
    <m/>
    <m/>
    <m/>
    <m/>
    <x v="0"/>
    <m/>
    <m/>
    <m/>
    <m/>
    <m/>
    <m/>
    <n v="93"/>
    <n v="32"/>
    <m/>
    <m/>
    <m/>
    <m/>
    <m/>
    <m/>
    <m/>
    <m/>
    <m/>
    <m/>
    <m/>
    <n v="0"/>
    <n v="0"/>
    <n v="0"/>
    <n v="0"/>
    <n v="0"/>
    <n v="0"/>
    <n v="0"/>
    <n v="1"/>
    <n v="580"/>
    <n v="2"/>
    <n v="2"/>
    <n v="0"/>
    <n v="0"/>
    <n v="0"/>
    <n v="97"/>
    <n v="97"/>
    <n v="1"/>
    <n v="125"/>
    <n v="0"/>
    <n v="125"/>
    <n v="0.21551724137931033"/>
    <n v="0.78448275862068972"/>
    <n v="0.21551724137931033"/>
    <n v="0"/>
    <n v="0"/>
    <n v="0"/>
    <x v="0"/>
    <s v="Village"/>
    <x v="0"/>
    <s v="Muslim"/>
    <n v="0"/>
    <n v="0"/>
    <n v="198370"/>
    <x v="0"/>
    <m/>
  </r>
  <r>
    <x v="0"/>
    <x v="0"/>
    <x v="0"/>
    <s v="BMZ"/>
    <x v="0"/>
    <x v="0"/>
    <x v="0"/>
    <x v="32"/>
    <n v="43"/>
    <n v="193"/>
    <d v="2018-09-16T00:00:00"/>
    <d v="2019-12-31T00:00:00"/>
    <m/>
    <m/>
    <m/>
    <m/>
    <m/>
    <m/>
    <m/>
    <m/>
    <m/>
    <x v="0"/>
    <m/>
    <m/>
    <m/>
    <m/>
    <m/>
    <m/>
    <m/>
    <m/>
    <m/>
    <m/>
    <m/>
    <m/>
    <m/>
    <m/>
    <m/>
    <m/>
    <m/>
    <m/>
    <m/>
    <n v="0"/>
    <n v="0"/>
    <n v="0"/>
    <n v="0"/>
    <n v="0"/>
    <n v="0"/>
    <n v="0"/>
    <n v="1"/>
    <n v="193"/>
    <n v="1"/>
    <n v="1"/>
    <n v="0"/>
    <n v="0"/>
    <n v="0"/>
    <n v="32"/>
    <n v="32"/>
    <n v="1"/>
    <n v="0"/>
    <n v="0"/>
    <n v="0"/>
    <n v="0"/>
    <n v="1"/>
    <n v="0"/>
    <n v="0"/>
    <n v="0"/>
    <n v="0"/>
    <x v="0"/>
    <s v="Village"/>
    <x v="0"/>
    <n v="0"/>
    <n v="19.9233303070068"/>
    <n v="93.018592834472699"/>
    <n v="197547"/>
    <x v="0"/>
    <m/>
  </r>
  <r>
    <x v="0"/>
    <x v="0"/>
    <x v="0"/>
    <s v="BMZ"/>
    <x v="0"/>
    <x v="0"/>
    <x v="0"/>
    <x v="33"/>
    <n v="38"/>
    <n v="81"/>
    <d v="2018-09-16T00:00:00"/>
    <d v="2019-12-31T00:00:00"/>
    <m/>
    <m/>
    <m/>
    <m/>
    <m/>
    <m/>
    <m/>
    <m/>
    <m/>
    <x v="0"/>
    <m/>
    <m/>
    <m/>
    <m/>
    <m/>
    <m/>
    <m/>
    <m/>
    <m/>
    <m/>
    <m/>
    <m/>
    <m/>
    <m/>
    <m/>
    <m/>
    <m/>
    <m/>
    <m/>
    <n v="0"/>
    <n v="0"/>
    <n v="0"/>
    <n v="0"/>
    <n v="0"/>
    <n v="0"/>
    <n v="0"/>
    <n v="1"/>
    <n v="81"/>
    <n v="1"/>
    <n v="1"/>
    <n v="0"/>
    <n v="0"/>
    <n v="0"/>
    <n v="14"/>
    <n v="14"/>
    <n v="1"/>
    <n v="0"/>
    <n v="0"/>
    <n v="0"/>
    <n v="0"/>
    <n v="1"/>
    <n v="0"/>
    <n v="0"/>
    <n v="0"/>
    <n v="0"/>
    <x v="0"/>
    <s v="Village"/>
    <x v="0"/>
    <n v="0"/>
    <n v="20.005199432373001"/>
    <n v="92.948463439941406"/>
    <n v="197565"/>
    <x v="0"/>
    <m/>
  </r>
  <r>
    <x v="0"/>
    <x v="0"/>
    <x v="0"/>
    <s v="OFDA"/>
    <x v="0"/>
    <x v="0"/>
    <x v="0"/>
    <x v="34"/>
    <n v="204"/>
    <n v="1055"/>
    <d v="2019-04-01T00:00:00"/>
    <d v="2020-03-31T00:00:00"/>
    <n v="241"/>
    <n v="0"/>
    <m/>
    <m/>
    <n v="3"/>
    <n v="1"/>
    <m/>
    <m/>
    <m/>
    <x v="1"/>
    <n v="2"/>
    <m/>
    <m/>
    <m/>
    <m/>
    <m/>
    <m/>
    <m/>
    <m/>
    <m/>
    <m/>
    <m/>
    <m/>
    <n v="1"/>
    <m/>
    <m/>
    <m/>
    <m/>
    <m/>
    <n v="0"/>
    <n v="0"/>
    <n v="1"/>
    <n v="1055"/>
    <n v="1"/>
    <n v="1055"/>
    <n v="4.22"/>
    <n v="0"/>
    <n v="0"/>
    <n v="0"/>
    <n v="4"/>
    <n v="9.4786729857819899E-2"/>
    <n v="100"/>
    <n v="100"/>
    <n v="176"/>
    <n v="176"/>
    <n v="0.90521327014218012"/>
    <n v="0"/>
    <n v="0"/>
    <n v="0"/>
    <n v="0"/>
    <n v="1"/>
    <n v="0"/>
    <n v="0"/>
    <n v="0"/>
    <n v="0"/>
    <x v="1"/>
    <s v="Village"/>
    <x v="0"/>
    <s v="Rakhine"/>
    <n v="20.0839"/>
    <n v="92.993799999999993"/>
    <n v="197557"/>
    <x v="0"/>
    <m/>
  </r>
  <r>
    <x v="0"/>
    <x v="0"/>
    <x v="0"/>
    <s v="OFDA"/>
    <x v="0"/>
    <x v="0"/>
    <x v="0"/>
    <x v="35"/>
    <n v="948"/>
    <n v="3946"/>
    <d v="2019-04-01T00:00:00"/>
    <d v="2020-03-31T00:00:00"/>
    <n v="342"/>
    <n v="0"/>
    <m/>
    <m/>
    <n v="3"/>
    <n v="1"/>
    <n v="2"/>
    <m/>
    <m/>
    <x v="1"/>
    <n v="2"/>
    <m/>
    <m/>
    <m/>
    <m/>
    <m/>
    <m/>
    <m/>
    <m/>
    <m/>
    <m/>
    <m/>
    <m/>
    <n v="1"/>
    <m/>
    <m/>
    <m/>
    <m/>
    <m/>
    <n v="0.12671059300557527"/>
    <n v="500"/>
    <n v="1"/>
    <n v="3946"/>
    <n v="1"/>
    <n v="3946"/>
    <n v="15.784000000000001"/>
    <n v="0"/>
    <n v="0"/>
    <n v="0.2159999999999993"/>
    <n v="16"/>
    <n v="2.5342118601115054E-2"/>
    <n v="100"/>
    <n v="100"/>
    <n v="658"/>
    <n v="658"/>
    <n v="0.97465788139888498"/>
    <n v="0"/>
    <n v="0"/>
    <n v="0"/>
    <n v="0"/>
    <n v="1"/>
    <n v="0"/>
    <n v="0"/>
    <n v="0"/>
    <n v="0"/>
    <x v="1"/>
    <s v="Village"/>
    <x v="0"/>
    <s v="Muslim"/>
    <n v="20.0641"/>
    <n v="92.994600000000005"/>
    <n v="197548"/>
    <x v="0"/>
    <m/>
  </r>
  <r>
    <x v="0"/>
    <x v="0"/>
    <x v="0"/>
    <s v="OFDA"/>
    <x v="0"/>
    <x v="0"/>
    <x v="0"/>
    <x v="36"/>
    <n v="477"/>
    <n v="2034"/>
    <d v="2019-04-01T00:00:00"/>
    <d v="2020-03-31T00:00:00"/>
    <n v="462"/>
    <n v="0"/>
    <m/>
    <m/>
    <n v="1"/>
    <m/>
    <n v="2"/>
    <m/>
    <m/>
    <x v="1"/>
    <n v="8"/>
    <m/>
    <m/>
    <m/>
    <m/>
    <m/>
    <m/>
    <m/>
    <m/>
    <m/>
    <m/>
    <m/>
    <m/>
    <m/>
    <m/>
    <m/>
    <m/>
    <m/>
    <m/>
    <n v="0.24582104228121926"/>
    <n v="500"/>
    <n v="1"/>
    <n v="2034"/>
    <n v="1"/>
    <n v="2034"/>
    <n v="8.1359999999999992"/>
    <n v="0"/>
    <n v="0"/>
    <n v="0"/>
    <n v="8"/>
    <n v="0.19665683382497542"/>
    <n v="400"/>
    <n v="400"/>
    <n v="339"/>
    <n v="339"/>
    <n v="0.80334316617502455"/>
    <n v="0"/>
    <n v="0"/>
    <n v="0"/>
    <n v="0"/>
    <n v="1"/>
    <n v="0"/>
    <n v="0"/>
    <n v="0"/>
    <n v="0"/>
    <x v="1"/>
    <s v="Village"/>
    <x v="0"/>
    <s v="Rakhine"/>
    <n v="20.057860999999999"/>
    <n v="92.995181000000002"/>
    <n v="197550"/>
    <x v="0"/>
    <m/>
  </r>
  <r>
    <x v="0"/>
    <x v="0"/>
    <x v="0"/>
    <s v="BMZ"/>
    <x v="0"/>
    <x v="0"/>
    <x v="0"/>
    <x v="37"/>
    <n v="97"/>
    <n v="97"/>
    <d v="2018-09-16T00:00:00"/>
    <d v="2019-12-31T00:00:00"/>
    <m/>
    <m/>
    <m/>
    <m/>
    <m/>
    <m/>
    <m/>
    <m/>
    <m/>
    <x v="0"/>
    <m/>
    <m/>
    <m/>
    <m/>
    <m/>
    <m/>
    <m/>
    <m/>
    <m/>
    <m/>
    <m/>
    <m/>
    <m/>
    <m/>
    <m/>
    <m/>
    <m/>
    <m/>
    <m/>
    <n v="0"/>
    <n v="0"/>
    <n v="0"/>
    <n v="0"/>
    <n v="0"/>
    <n v="0"/>
    <n v="0"/>
    <n v="1"/>
    <n v="97"/>
    <n v="1"/>
    <n v="1"/>
    <n v="0"/>
    <n v="0"/>
    <n v="0"/>
    <n v="16"/>
    <n v="16"/>
    <n v="1"/>
    <n v="0"/>
    <n v="0"/>
    <n v="0"/>
    <n v="0"/>
    <n v="1"/>
    <n v="0"/>
    <n v="0"/>
    <n v="0"/>
    <n v="0"/>
    <x v="0"/>
    <s v="Village"/>
    <x v="0"/>
    <n v="0"/>
    <n v="19.9964408874512"/>
    <n v="92.951683044433594"/>
    <n v="217986"/>
    <x v="0"/>
    <m/>
  </r>
  <r>
    <x v="0"/>
    <x v="0"/>
    <x v="0"/>
    <s v="BMZ"/>
    <x v="0"/>
    <x v="0"/>
    <x v="0"/>
    <x v="38"/>
    <n v="47"/>
    <n v="239"/>
    <d v="2018-09-16T00:00:00"/>
    <d v="2019-12-31T00:00:00"/>
    <m/>
    <m/>
    <m/>
    <m/>
    <m/>
    <m/>
    <m/>
    <m/>
    <m/>
    <x v="0"/>
    <m/>
    <m/>
    <m/>
    <m/>
    <m/>
    <m/>
    <m/>
    <m/>
    <m/>
    <m/>
    <m/>
    <m/>
    <m/>
    <m/>
    <m/>
    <m/>
    <m/>
    <m/>
    <m/>
    <n v="0"/>
    <n v="0"/>
    <n v="0"/>
    <n v="0"/>
    <n v="0"/>
    <n v="0"/>
    <n v="0"/>
    <n v="1"/>
    <n v="239"/>
    <n v="1"/>
    <n v="1"/>
    <n v="0"/>
    <n v="0"/>
    <n v="0"/>
    <n v="40"/>
    <n v="40"/>
    <n v="1"/>
    <n v="0"/>
    <n v="0"/>
    <n v="0"/>
    <n v="0"/>
    <n v="1"/>
    <n v="0"/>
    <n v="0"/>
    <n v="0"/>
    <n v="0"/>
    <x v="0"/>
    <s v="Village"/>
    <x v="0"/>
    <n v="0"/>
    <n v="20.032600402831999"/>
    <n v="92.931488037109403"/>
    <n v="197563"/>
    <x v="0"/>
    <m/>
  </r>
  <r>
    <x v="0"/>
    <x v="0"/>
    <x v="0"/>
    <s v="BMZ"/>
    <x v="0"/>
    <x v="0"/>
    <x v="0"/>
    <x v="39"/>
    <n v="113"/>
    <n v="506"/>
    <d v="2018-09-16T00:00:00"/>
    <d v="2019-12-31T00:00:00"/>
    <m/>
    <m/>
    <m/>
    <m/>
    <m/>
    <m/>
    <m/>
    <m/>
    <m/>
    <x v="0"/>
    <m/>
    <m/>
    <m/>
    <m/>
    <m/>
    <m/>
    <m/>
    <m/>
    <m/>
    <m/>
    <m/>
    <m/>
    <m/>
    <m/>
    <m/>
    <m/>
    <m/>
    <m/>
    <m/>
    <n v="0"/>
    <n v="0"/>
    <n v="0"/>
    <n v="0"/>
    <n v="0"/>
    <n v="0"/>
    <n v="0"/>
    <n v="1"/>
    <n v="506"/>
    <n v="2"/>
    <n v="2"/>
    <n v="0"/>
    <n v="0"/>
    <n v="0"/>
    <n v="84"/>
    <n v="84"/>
    <n v="1"/>
    <n v="0"/>
    <n v="0"/>
    <n v="0"/>
    <n v="0"/>
    <n v="1"/>
    <n v="0"/>
    <n v="0"/>
    <n v="0"/>
    <n v="0"/>
    <x v="0"/>
    <s v="Village"/>
    <x v="0"/>
    <n v="0"/>
    <n v="20.0275993347168"/>
    <n v="92.936653137207003"/>
    <n v="197564"/>
    <x v="0"/>
    <m/>
  </r>
  <r>
    <x v="0"/>
    <x v="0"/>
    <x v="0"/>
    <s v="BMZ"/>
    <x v="0"/>
    <x v="0"/>
    <x v="0"/>
    <x v="40"/>
    <n v="66"/>
    <n v="315"/>
    <d v="2018-09-16T00:00:00"/>
    <d v="2019-12-31T00:00:00"/>
    <m/>
    <m/>
    <m/>
    <m/>
    <m/>
    <m/>
    <m/>
    <m/>
    <m/>
    <x v="0"/>
    <m/>
    <m/>
    <m/>
    <m/>
    <m/>
    <m/>
    <m/>
    <m/>
    <m/>
    <m/>
    <m/>
    <m/>
    <m/>
    <m/>
    <m/>
    <m/>
    <m/>
    <m/>
    <m/>
    <n v="0"/>
    <n v="0"/>
    <n v="0"/>
    <n v="0"/>
    <n v="0"/>
    <n v="0"/>
    <n v="0"/>
    <n v="1"/>
    <n v="315"/>
    <n v="1"/>
    <n v="1"/>
    <n v="0"/>
    <n v="0"/>
    <n v="0"/>
    <n v="53"/>
    <n v="53"/>
    <n v="1"/>
    <n v="0"/>
    <n v="0"/>
    <n v="0"/>
    <n v="0"/>
    <n v="1"/>
    <n v="0"/>
    <n v="0"/>
    <n v="0"/>
    <n v="0"/>
    <x v="0"/>
    <s v="Village"/>
    <x v="0"/>
    <n v="0"/>
    <n v="19.9403591156006"/>
    <n v="93.009452819824205"/>
    <n v="197543"/>
    <x v="0"/>
    <m/>
  </r>
  <r>
    <x v="0"/>
    <x v="2"/>
    <x v="2"/>
    <m/>
    <x v="1"/>
    <x v="1"/>
    <x v="0"/>
    <x v="41"/>
    <n v="935.8"/>
    <n v="4679"/>
    <m/>
    <m/>
    <m/>
    <m/>
    <m/>
    <m/>
    <m/>
    <m/>
    <m/>
    <m/>
    <m/>
    <x v="0"/>
    <m/>
    <m/>
    <m/>
    <m/>
    <m/>
    <m/>
    <m/>
    <m/>
    <m/>
    <m/>
    <m/>
    <m/>
    <m/>
    <m/>
    <m/>
    <m/>
    <m/>
    <m/>
    <m/>
    <n v="0"/>
    <n v="0"/>
    <n v="0"/>
    <n v="0"/>
    <n v="0"/>
    <n v="0"/>
    <n v="0"/>
    <n v="1"/>
    <n v="4679"/>
    <n v="19"/>
    <n v="19"/>
    <n v="0"/>
    <n v="0"/>
    <n v="0"/>
    <n v="780"/>
    <n v="780"/>
    <n v="1"/>
    <n v="0"/>
    <n v="0"/>
    <n v="0"/>
    <n v="0"/>
    <n v="1"/>
    <n v="0"/>
    <n v="0"/>
    <n v="0"/>
    <n v="0"/>
    <x v="0"/>
    <s v="Village"/>
    <x v="0"/>
    <n v="0"/>
    <n v="0"/>
    <n v="0"/>
    <n v="0"/>
    <x v="0"/>
    <m/>
  </r>
  <r>
    <x v="0"/>
    <x v="2"/>
    <x v="2"/>
    <m/>
    <x v="1"/>
    <x v="1"/>
    <x v="0"/>
    <x v="42"/>
    <n v="3210"/>
    <n v="16050"/>
    <m/>
    <m/>
    <m/>
    <m/>
    <m/>
    <m/>
    <m/>
    <m/>
    <m/>
    <m/>
    <m/>
    <x v="0"/>
    <m/>
    <m/>
    <m/>
    <m/>
    <m/>
    <m/>
    <m/>
    <m/>
    <m/>
    <m/>
    <m/>
    <m/>
    <m/>
    <m/>
    <m/>
    <m/>
    <m/>
    <m/>
    <m/>
    <n v="0"/>
    <n v="0"/>
    <n v="0"/>
    <n v="0"/>
    <n v="0"/>
    <n v="0"/>
    <n v="0"/>
    <n v="1"/>
    <n v="16050"/>
    <n v="64"/>
    <n v="64"/>
    <n v="0"/>
    <n v="0"/>
    <n v="0"/>
    <n v="2675"/>
    <n v="2675"/>
    <n v="1"/>
    <n v="0"/>
    <n v="0"/>
    <n v="0"/>
    <n v="0"/>
    <n v="1"/>
    <n v="0"/>
    <n v="0"/>
    <n v="0"/>
    <n v="0"/>
    <x v="0"/>
    <s v="Village"/>
    <x v="0"/>
    <n v="0"/>
    <n v="20.825700759887699"/>
    <n v="92.542686462402301"/>
    <n v="198334"/>
    <x v="0"/>
    <m/>
  </r>
  <r>
    <x v="0"/>
    <x v="2"/>
    <x v="2"/>
    <m/>
    <x v="1"/>
    <x v="1"/>
    <x v="0"/>
    <x v="43"/>
    <n v="1048"/>
    <n v="5240"/>
    <m/>
    <m/>
    <m/>
    <m/>
    <m/>
    <m/>
    <m/>
    <m/>
    <m/>
    <m/>
    <m/>
    <x v="0"/>
    <m/>
    <m/>
    <m/>
    <m/>
    <m/>
    <m/>
    <m/>
    <m/>
    <m/>
    <m/>
    <m/>
    <m/>
    <m/>
    <m/>
    <m/>
    <m/>
    <m/>
    <m/>
    <m/>
    <n v="0"/>
    <n v="0"/>
    <n v="0"/>
    <n v="0"/>
    <n v="0"/>
    <n v="0"/>
    <n v="0"/>
    <n v="1"/>
    <n v="5240"/>
    <n v="21"/>
    <n v="21"/>
    <n v="0"/>
    <n v="0"/>
    <n v="0"/>
    <n v="873"/>
    <n v="873"/>
    <n v="1"/>
    <n v="0"/>
    <n v="0"/>
    <n v="0"/>
    <n v="0"/>
    <n v="1"/>
    <n v="0"/>
    <n v="0"/>
    <n v="0"/>
    <n v="0"/>
    <x v="0"/>
    <s v="Village"/>
    <x v="0"/>
    <n v="0"/>
    <n v="20.8608493804932"/>
    <n v="92.539390563964801"/>
    <n v="198326"/>
    <x v="0"/>
    <m/>
  </r>
  <r>
    <x v="0"/>
    <x v="2"/>
    <x v="2"/>
    <m/>
    <x v="1"/>
    <x v="1"/>
    <x v="0"/>
    <x v="44"/>
    <n v="1634.4"/>
    <n v="8172"/>
    <m/>
    <m/>
    <m/>
    <m/>
    <m/>
    <m/>
    <m/>
    <m/>
    <m/>
    <m/>
    <m/>
    <x v="0"/>
    <m/>
    <m/>
    <m/>
    <m/>
    <m/>
    <m/>
    <m/>
    <m/>
    <m/>
    <m/>
    <m/>
    <m/>
    <m/>
    <m/>
    <m/>
    <m/>
    <m/>
    <m/>
    <m/>
    <n v="0"/>
    <n v="0"/>
    <n v="0"/>
    <n v="0"/>
    <n v="0"/>
    <n v="0"/>
    <n v="0"/>
    <n v="1"/>
    <n v="8172"/>
    <n v="33"/>
    <n v="33"/>
    <n v="0"/>
    <n v="0"/>
    <n v="0"/>
    <n v="1362"/>
    <n v="1362"/>
    <n v="1"/>
    <n v="0"/>
    <n v="0"/>
    <n v="0"/>
    <n v="0"/>
    <n v="1"/>
    <n v="0"/>
    <n v="0"/>
    <n v="0"/>
    <n v="0"/>
    <x v="0"/>
    <s v="Village"/>
    <x v="0"/>
    <n v="0"/>
    <n v="20.793779373168899"/>
    <n v="92.597961425781307"/>
    <n v="198370"/>
    <x v="0"/>
    <m/>
  </r>
  <r>
    <x v="0"/>
    <x v="2"/>
    <x v="2"/>
    <m/>
    <x v="1"/>
    <x v="1"/>
    <x v="0"/>
    <x v="45"/>
    <n v="403"/>
    <n v="2015"/>
    <m/>
    <m/>
    <m/>
    <m/>
    <m/>
    <m/>
    <m/>
    <m/>
    <m/>
    <m/>
    <m/>
    <x v="0"/>
    <m/>
    <m/>
    <m/>
    <m/>
    <m/>
    <m/>
    <m/>
    <m/>
    <m/>
    <m/>
    <m/>
    <m/>
    <m/>
    <m/>
    <m/>
    <m/>
    <m/>
    <m/>
    <m/>
    <n v="0"/>
    <n v="0"/>
    <n v="0"/>
    <n v="0"/>
    <n v="0"/>
    <n v="0"/>
    <n v="0"/>
    <n v="1"/>
    <n v="2015"/>
    <n v="8"/>
    <n v="8"/>
    <n v="0"/>
    <n v="0"/>
    <n v="0"/>
    <n v="336"/>
    <n v="336"/>
    <n v="1"/>
    <n v="0"/>
    <n v="0"/>
    <n v="0"/>
    <n v="0"/>
    <n v="1"/>
    <n v="0"/>
    <n v="0"/>
    <n v="0"/>
    <n v="0"/>
    <x v="0"/>
    <s v="Village"/>
    <x v="0"/>
    <n v="0"/>
    <n v="20.821479797363299"/>
    <n v="92.603950500488295"/>
    <n v="198356"/>
    <x v="0"/>
    <m/>
  </r>
  <r>
    <x v="0"/>
    <x v="2"/>
    <x v="2"/>
    <m/>
    <x v="1"/>
    <x v="1"/>
    <x v="0"/>
    <x v="46"/>
    <n v="51.2"/>
    <n v="256"/>
    <m/>
    <m/>
    <m/>
    <m/>
    <m/>
    <m/>
    <m/>
    <m/>
    <m/>
    <m/>
    <m/>
    <x v="0"/>
    <m/>
    <m/>
    <m/>
    <m/>
    <m/>
    <m/>
    <m/>
    <m/>
    <m/>
    <m/>
    <m/>
    <m/>
    <m/>
    <m/>
    <m/>
    <m/>
    <m/>
    <m/>
    <m/>
    <n v="0"/>
    <n v="0"/>
    <n v="0"/>
    <n v="0"/>
    <n v="0"/>
    <n v="0"/>
    <n v="0"/>
    <n v="1"/>
    <n v="256"/>
    <n v="1"/>
    <n v="1"/>
    <n v="0"/>
    <n v="0"/>
    <n v="0"/>
    <n v="43"/>
    <n v="43"/>
    <n v="1"/>
    <n v="0"/>
    <n v="0"/>
    <n v="0"/>
    <n v="0"/>
    <n v="1"/>
    <n v="0"/>
    <n v="0"/>
    <n v="0"/>
    <n v="0"/>
    <x v="0"/>
    <s v="Village"/>
    <x v="0"/>
    <s v="Rakhine"/>
    <n v="20.7264194488525"/>
    <n v="92.671180730000003"/>
    <n v="198418"/>
    <x v="0"/>
    <m/>
  </r>
  <r>
    <x v="0"/>
    <x v="2"/>
    <x v="2"/>
    <m/>
    <x v="1"/>
    <x v="2"/>
    <x v="0"/>
    <x v="47"/>
    <n v="673.6"/>
    <n v="3368"/>
    <m/>
    <m/>
    <m/>
    <m/>
    <m/>
    <m/>
    <m/>
    <m/>
    <m/>
    <m/>
    <m/>
    <x v="0"/>
    <m/>
    <m/>
    <m/>
    <m/>
    <m/>
    <m/>
    <m/>
    <m/>
    <m/>
    <m/>
    <m/>
    <m/>
    <m/>
    <m/>
    <m/>
    <m/>
    <m/>
    <m/>
    <m/>
    <n v="0"/>
    <n v="0"/>
    <n v="0"/>
    <n v="0"/>
    <n v="0"/>
    <n v="0"/>
    <n v="0"/>
    <n v="1"/>
    <n v="3368"/>
    <n v="13"/>
    <n v="13"/>
    <n v="0"/>
    <n v="0"/>
    <n v="0"/>
    <n v="561"/>
    <n v="561"/>
    <n v="1"/>
    <n v="0"/>
    <n v="0"/>
    <n v="0"/>
    <n v="0"/>
    <n v="1"/>
    <n v="0"/>
    <n v="0"/>
    <n v="0"/>
    <n v="0"/>
    <x v="0"/>
    <s v="Village"/>
    <x v="0"/>
    <n v="0"/>
    <n v="21.363349914550799"/>
    <n v="92.280487060546903"/>
    <n v="197800"/>
    <x v="0"/>
    <m/>
  </r>
  <r>
    <x v="0"/>
    <x v="2"/>
    <x v="2"/>
    <m/>
    <x v="1"/>
    <x v="2"/>
    <x v="0"/>
    <x v="48"/>
    <n v="151.19999999999999"/>
    <n v="756"/>
    <m/>
    <m/>
    <m/>
    <m/>
    <m/>
    <m/>
    <m/>
    <m/>
    <m/>
    <m/>
    <m/>
    <x v="0"/>
    <m/>
    <m/>
    <m/>
    <m/>
    <m/>
    <m/>
    <m/>
    <m/>
    <m/>
    <m/>
    <m/>
    <m/>
    <m/>
    <m/>
    <m/>
    <m/>
    <m/>
    <m/>
    <m/>
    <n v="0"/>
    <n v="0"/>
    <n v="0"/>
    <n v="0"/>
    <n v="0"/>
    <n v="0"/>
    <n v="0"/>
    <n v="1"/>
    <n v="756"/>
    <n v="3"/>
    <n v="3"/>
    <n v="0"/>
    <n v="0"/>
    <n v="0"/>
    <n v="126"/>
    <n v="126"/>
    <n v="1"/>
    <n v="0"/>
    <n v="0"/>
    <n v="0"/>
    <n v="0"/>
    <n v="1"/>
    <n v="0"/>
    <n v="0"/>
    <n v="0"/>
    <n v="0"/>
    <x v="0"/>
    <s v="Village"/>
    <x v="0"/>
    <n v="0"/>
    <n v="21.2080974578857"/>
    <n v="92.308609008789105"/>
    <n v="197841"/>
    <x v="0"/>
    <m/>
  </r>
  <r>
    <x v="0"/>
    <x v="2"/>
    <x v="2"/>
    <m/>
    <x v="1"/>
    <x v="2"/>
    <x v="0"/>
    <x v="49"/>
    <n v="104.6"/>
    <n v="523"/>
    <m/>
    <m/>
    <m/>
    <m/>
    <m/>
    <m/>
    <m/>
    <m/>
    <m/>
    <m/>
    <m/>
    <x v="0"/>
    <m/>
    <m/>
    <m/>
    <m/>
    <m/>
    <m/>
    <m/>
    <m/>
    <m/>
    <m/>
    <m/>
    <m/>
    <m/>
    <m/>
    <m/>
    <m/>
    <m/>
    <m/>
    <m/>
    <n v="0"/>
    <n v="0"/>
    <n v="0"/>
    <n v="0"/>
    <n v="0"/>
    <n v="0"/>
    <n v="0"/>
    <n v="1"/>
    <n v="523"/>
    <n v="2"/>
    <n v="2"/>
    <n v="0"/>
    <n v="0"/>
    <n v="0"/>
    <n v="87"/>
    <n v="87"/>
    <n v="1"/>
    <n v="0"/>
    <n v="0"/>
    <n v="0"/>
    <n v="0"/>
    <n v="1"/>
    <n v="0"/>
    <n v="0"/>
    <n v="0"/>
    <n v="0"/>
    <x v="0"/>
    <s v="Village"/>
    <x v="0"/>
    <s v="Muslim"/>
    <n v="20.71759033"/>
    <n v="92.426422119999998"/>
    <n v="198045"/>
    <x v="0"/>
    <m/>
  </r>
  <r>
    <x v="0"/>
    <x v="3"/>
    <x v="3"/>
    <s v="UNICEF"/>
    <x v="0"/>
    <x v="3"/>
    <x v="0"/>
    <x v="50"/>
    <n v="65"/>
    <n v="323"/>
    <d v="2019-03-16T00:00:00"/>
    <d v="2020-03-15T00:00:00"/>
    <n v="48"/>
    <n v="0"/>
    <n v="0"/>
    <n v="4"/>
    <n v="1"/>
    <n v="0"/>
    <n v="0"/>
    <m/>
    <n v="65"/>
    <x v="2"/>
    <n v="0"/>
    <n v="0"/>
    <n v="0"/>
    <n v="0"/>
    <n v="0"/>
    <m/>
    <n v="137"/>
    <n v="32"/>
    <n v="0"/>
    <n v="0"/>
    <n v="0"/>
    <n v="0"/>
    <n v="0"/>
    <n v="0"/>
    <m/>
    <m/>
    <m/>
    <m/>
    <m/>
    <n v="1"/>
    <n v="323"/>
    <n v="1"/>
    <n v="323"/>
    <n v="1"/>
    <n v="323"/>
    <n v="1.292"/>
    <n v="0"/>
    <n v="0"/>
    <n v="0"/>
    <n v="1"/>
    <n v="1"/>
    <n v="323"/>
    <n v="0"/>
    <n v="54"/>
    <n v="0"/>
    <n v="0"/>
    <n v="169"/>
    <n v="0"/>
    <n v="169"/>
    <n v="0.52321981424148611"/>
    <n v="0.47678018575851389"/>
    <n v="0.52321981424148611"/>
    <n v="0"/>
    <n v="0"/>
    <n v="0"/>
    <x v="1"/>
    <s v="Village"/>
    <x v="0"/>
    <s v="Rakhine"/>
    <n v="19.417640689999999"/>
    <n v="93.565246579999993"/>
    <n v="198464"/>
    <x v="0"/>
    <m/>
  </r>
  <r>
    <x v="0"/>
    <x v="3"/>
    <x v="3"/>
    <s v="UNICEF"/>
    <x v="0"/>
    <x v="3"/>
    <x v="0"/>
    <x v="51"/>
    <n v="275"/>
    <n v="1018"/>
    <d v="2019-03-16T00:00:00"/>
    <d v="2020-03-15T00:00:00"/>
    <m/>
    <m/>
    <m/>
    <m/>
    <m/>
    <m/>
    <m/>
    <m/>
    <m/>
    <x v="1"/>
    <m/>
    <m/>
    <m/>
    <m/>
    <m/>
    <m/>
    <n v="0"/>
    <n v="0"/>
    <n v="0"/>
    <n v="0"/>
    <n v="0"/>
    <n v="0"/>
    <n v="0"/>
    <n v="0"/>
    <m/>
    <m/>
    <m/>
    <m/>
    <m/>
    <n v="0"/>
    <n v="0"/>
    <n v="0"/>
    <n v="0"/>
    <n v="0"/>
    <n v="0"/>
    <n v="0"/>
    <n v="1"/>
    <n v="1018"/>
    <n v="4"/>
    <n v="4"/>
    <n v="0"/>
    <n v="0"/>
    <n v="0"/>
    <n v="170"/>
    <n v="170"/>
    <n v="1"/>
    <n v="0"/>
    <n v="0"/>
    <n v="0"/>
    <n v="0"/>
    <n v="1"/>
    <n v="0"/>
    <n v="0"/>
    <n v="0"/>
    <n v="0"/>
    <x v="0"/>
    <s v="Village"/>
    <x v="0"/>
    <s v="Rakhine"/>
    <n v="0"/>
    <n v="0"/>
    <n v="198475"/>
    <x v="0"/>
    <m/>
  </r>
  <r>
    <x v="0"/>
    <x v="3"/>
    <x v="3"/>
    <s v="UNICEF"/>
    <x v="0"/>
    <x v="3"/>
    <x v="0"/>
    <x v="52"/>
    <n v="76"/>
    <n v="276"/>
    <d v="2019-03-16T00:00:00"/>
    <d v="2020-03-15T00:00:00"/>
    <m/>
    <m/>
    <m/>
    <m/>
    <m/>
    <m/>
    <m/>
    <m/>
    <m/>
    <x v="1"/>
    <m/>
    <m/>
    <m/>
    <m/>
    <m/>
    <m/>
    <n v="0"/>
    <n v="0"/>
    <n v="0"/>
    <n v="0"/>
    <n v="0"/>
    <n v="0"/>
    <n v="0"/>
    <n v="0"/>
    <m/>
    <m/>
    <m/>
    <m/>
    <m/>
    <n v="0"/>
    <n v="0"/>
    <n v="0"/>
    <n v="0"/>
    <n v="0"/>
    <n v="0"/>
    <n v="0"/>
    <n v="1"/>
    <n v="276"/>
    <n v="1"/>
    <n v="1"/>
    <n v="0"/>
    <n v="0"/>
    <n v="0"/>
    <n v="46"/>
    <n v="46"/>
    <n v="1"/>
    <n v="0"/>
    <n v="0"/>
    <n v="0"/>
    <n v="0"/>
    <n v="1"/>
    <n v="0"/>
    <n v="0"/>
    <n v="0"/>
    <n v="0"/>
    <x v="0"/>
    <s v="Village"/>
    <x v="0"/>
    <s v="Rakhine"/>
    <n v="0"/>
    <n v="0"/>
    <n v="198476"/>
    <x v="0"/>
    <m/>
  </r>
  <r>
    <x v="0"/>
    <x v="3"/>
    <x v="3"/>
    <s v="UNICEF"/>
    <x v="0"/>
    <x v="3"/>
    <x v="0"/>
    <x v="53"/>
    <n v="251"/>
    <n v="970"/>
    <d v="2019-03-16T00:00:00"/>
    <d v="2020-03-15T00:00:00"/>
    <m/>
    <m/>
    <m/>
    <m/>
    <m/>
    <m/>
    <m/>
    <m/>
    <m/>
    <x v="1"/>
    <n v="5"/>
    <m/>
    <m/>
    <m/>
    <m/>
    <m/>
    <n v="0"/>
    <n v="0"/>
    <n v="0"/>
    <n v="0"/>
    <n v="0"/>
    <n v="0"/>
    <n v="0"/>
    <n v="0"/>
    <m/>
    <m/>
    <m/>
    <m/>
    <m/>
    <n v="0"/>
    <n v="0"/>
    <n v="0"/>
    <n v="0"/>
    <n v="0"/>
    <n v="0"/>
    <n v="0"/>
    <n v="1"/>
    <n v="970"/>
    <n v="4"/>
    <n v="4"/>
    <n v="0.25773195876288657"/>
    <n v="249.99999999999997"/>
    <n v="250"/>
    <n v="162"/>
    <n v="162"/>
    <n v="0.74226804123711343"/>
    <n v="0"/>
    <n v="0"/>
    <n v="0"/>
    <n v="0"/>
    <n v="1"/>
    <n v="0"/>
    <n v="0"/>
    <n v="0"/>
    <n v="0"/>
    <x v="0"/>
    <s v="Village"/>
    <x v="0"/>
    <s v="Rakhine"/>
    <n v="0"/>
    <n v="0"/>
    <n v="198508"/>
    <x v="0"/>
    <m/>
  </r>
  <r>
    <x v="0"/>
    <x v="3"/>
    <x v="3"/>
    <s v="UNICEF"/>
    <x v="0"/>
    <x v="3"/>
    <x v="0"/>
    <x v="54"/>
    <n v="152"/>
    <n v="864"/>
    <d v="2019-03-16T00:00:00"/>
    <d v="2020-03-15T00:00:00"/>
    <m/>
    <m/>
    <m/>
    <m/>
    <m/>
    <m/>
    <m/>
    <m/>
    <m/>
    <x v="1"/>
    <m/>
    <m/>
    <m/>
    <m/>
    <m/>
    <m/>
    <n v="0"/>
    <n v="0"/>
    <n v="0"/>
    <n v="0"/>
    <n v="0"/>
    <n v="0"/>
    <n v="0"/>
    <n v="0"/>
    <m/>
    <m/>
    <m/>
    <m/>
    <m/>
    <n v="0"/>
    <n v="0"/>
    <n v="0"/>
    <n v="0"/>
    <n v="0"/>
    <n v="0"/>
    <n v="0"/>
    <n v="1"/>
    <n v="864"/>
    <n v="3"/>
    <n v="3"/>
    <n v="0"/>
    <n v="0"/>
    <n v="0"/>
    <n v="144"/>
    <n v="144"/>
    <n v="1"/>
    <n v="0"/>
    <n v="0"/>
    <n v="0"/>
    <n v="0"/>
    <n v="1"/>
    <n v="0"/>
    <n v="0"/>
    <n v="0"/>
    <n v="0"/>
    <x v="0"/>
    <s v="Village"/>
    <x v="0"/>
    <s v="Rakhine"/>
    <n v="0"/>
    <n v="0"/>
    <n v="198667"/>
    <x v="0"/>
    <m/>
  </r>
  <r>
    <x v="0"/>
    <x v="4"/>
    <x v="4"/>
    <s v="BMZ"/>
    <x v="0"/>
    <x v="0"/>
    <x v="0"/>
    <x v="55"/>
    <n v="74"/>
    <n v="427"/>
    <m/>
    <d v="2021-08-31T00:00:00"/>
    <n v="81"/>
    <m/>
    <m/>
    <m/>
    <n v="1"/>
    <m/>
    <m/>
    <m/>
    <m/>
    <x v="2"/>
    <n v="1"/>
    <m/>
    <m/>
    <m/>
    <m/>
    <m/>
    <m/>
    <m/>
    <m/>
    <m/>
    <m/>
    <m/>
    <m/>
    <m/>
    <m/>
    <m/>
    <m/>
    <m/>
    <m/>
    <n v="0"/>
    <n v="0"/>
    <n v="1"/>
    <n v="427"/>
    <n v="1"/>
    <n v="427"/>
    <n v="1.708"/>
    <n v="0"/>
    <n v="0"/>
    <n v="0.29200000000000004"/>
    <n v="2"/>
    <n v="0.117096018735363"/>
    <n v="50"/>
    <n v="50"/>
    <n v="71"/>
    <n v="71"/>
    <n v="0.88290398126463698"/>
    <n v="0"/>
    <n v="0"/>
    <n v="0"/>
    <n v="0"/>
    <n v="1"/>
    <n v="0"/>
    <n v="0"/>
    <n v="0"/>
    <n v="0"/>
    <x v="1"/>
    <s v="Village"/>
    <x v="0"/>
    <s v="Rakhine"/>
    <n v="0"/>
    <n v="0"/>
    <n v="197461"/>
    <x v="0"/>
    <m/>
  </r>
  <r>
    <x v="0"/>
    <x v="4"/>
    <x v="4"/>
    <s v="BMZ"/>
    <x v="0"/>
    <x v="0"/>
    <x v="0"/>
    <x v="56"/>
    <n v="211"/>
    <n v="1006"/>
    <m/>
    <d v="2021-08-31T00:00:00"/>
    <n v="143"/>
    <m/>
    <m/>
    <m/>
    <n v="1"/>
    <m/>
    <m/>
    <m/>
    <m/>
    <x v="2"/>
    <n v="2"/>
    <m/>
    <m/>
    <m/>
    <m/>
    <m/>
    <m/>
    <m/>
    <m/>
    <m/>
    <m/>
    <m/>
    <m/>
    <m/>
    <m/>
    <m/>
    <m/>
    <m/>
    <m/>
    <n v="0"/>
    <n v="0"/>
    <n v="1"/>
    <n v="1006"/>
    <n v="1"/>
    <n v="1006"/>
    <n v="4.024"/>
    <n v="0"/>
    <n v="0"/>
    <n v="0"/>
    <n v="4"/>
    <n v="9.9403578528827044E-2"/>
    <n v="100"/>
    <n v="100"/>
    <n v="168"/>
    <n v="168"/>
    <n v="0.90059642147117291"/>
    <n v="0"/>
    <n v="0"/>
    <n v="0"/>
    <n v="0"/>
    <n v="1"/>
    <n v="0"/>
    <n v="0"/>
    <n v="0"/>
    <n v="0"/>
    <x v="1"/>
    <s v="Village"/>
    <x v="0"/>
    <s v="Rakhine"/>
    <n v="0"/>
    <n v="0"/>
    <n v="197441"/>
    <x v="0"/>
    <m/>
  </r>
  <r>
    <x v="0"/>
    <x v="4"/>
    <x v="4"/>
    <s v="BMZ"/>
    <x v="0"/>
    <x v="0"/>
    <x v="0"/>
    <x v="57"/>
    <n v="169"/>
    <n v="776"/>
    <m/>
    <d v="2021-08-31T00:00:00"/>
    <n v="114"/>
    <m/>
    <m/>
    <m/>
    <n v="1"/>
    <m/>
    <m/>
    <m/>
    <m/>
    <x v="2"/>
    <n v="2"/>
    <m/>
    <m/>
    <m/>
    <m/>
    <m/>
    <m/>
    <m/>
    <m/>
    <m/>
    <m/>
    <m/>
    <m/>
    <m/>
    <m/>
    <m/>
    <m/>
    <m/>
    <m/>
    <n v="0"/>
    <n v="0"/>
    <n v="1"/>
    <n v="776"/>
    <n v="1"/>
    <n v="776"/>
    <n v="3.1040000000000001"/>
    <n v="0"/>
    <n v="0"/>
    <n v="0"/>
    <n v="3"/>
    <n v="0.12886597938144329"/>
    <n v="99.999999999999986"/>
    <n v="100"/>
    <n v="129"/>
    <n v="129"/>
    <n v="0.87113402061855671"/>
    <n v="0"/>
    <n v="0"/>
    <n v="0"/>
    <n v="0"/>
    <n v="1"/>
    <n v="0"/>
    <n v="0"/>
    <n v="0"/>
    <n v="0"/>
    <x v="1"/>
    <s v="Village"/>
    <x v="0"/>
    <s v="Rakhine"/>
    <n v="0"/>
    <n v="0"/>
    <n v="197450"/>
    <x v="0"/>
    <m/>
  </r>
  <r>
    <x v="0"/>
    <x v="4"/>
    <x v="4"/>
    <s v="BMZ"/>
    <x v="0"/>
    <x v="0"/>
    <x v="0"/>
    <x v="58"/>
    <n v="50"/>
    <n v="265"/>
    <m/>
    <d v="2021-08-31T00:00:00"/>
    <n v="0"/>
    <m/>
    <m/>
    <m/>
    <n v="1"/>
    <m/>
    <m/>
    <m/>
    <m/>
    <x v="0"/>
    <m/>
    <m/>
    <m/>
    <m/>
    <m/>
    <m/>
    <m/>
    <m/>
    <m/>
    <m/>
    <m/>
    <m/>
    <m/>
    <m/>
    <m/>
    <m/>
    <m/>
    <m/>
    <m/>
    <n v="0"/>
    <n v="0"/>
    <n v="1"/>
    <n v="265"/>
    <n v="1"/>
    <n v="265"/>
    <n v="1.06"/>
    <n v="0"/>
    <n v="0"/>
    <n v="0"/>
    <n v="1"/>
    <n v="0"/>
    <n v="0"/>
    <n v="0"/>
    <n v="44"/>
    <n v="44"/>
    <n v="1"/>
    <n v="0"/>
    <n v="0"/>
    <n v="0"/>
    <n v="0"/>
    <n v="1"/>
    <n v="0"/>
    <n v="0"/>
    <n v="0"/>
    <n v="0"/>
    <x v="0"/>
    <s v="Village"/>
    <x v="0"/>
    <s v="Rakhine"/>
    <n v="0"/>
    <n v="0"/>
    <n v="197463"/>
    <x v="0"/>
    <m/>
  </r>
  <r>
    <x v="0"/>
    <x v="4"/>
    <x v="4"/>
    <s v="BMZ"/>
    <x v="0"/>
    <x v="0"/>
    <x v="0"/>
    <x v="59"/>
    <n v="168"/>
    <n v="1614"/>
    <m/>
    <d v="2021-08-31T00:00:00"/>
    <n v="102"/>
    <m/>
    <m/>
    <m/>
    <n v="0"/>
    <m/>
    <m/>
    <m/>
    <m/>
    <x v="2"/>
    <n v="1"/>
    <m/>
    <m/>
    <m/>
    <m/>
    <m/>
    <m/>
    <m/>
    <m/>
    <m/>
    <m/>
    <m/>
    <m/>
    <m/>
    <m/>
    <m/>
    <m/>
    <m/>
    <m/>
    <n v="0"/>
    <n v="0"/>
    <n v="0"/>
    <n v="0"/>
    <n v="0"/>
    <n v="0"/>
    <n v="0"/>
    <n v="1"/>
    <n v="1614"/>
    <n v="6"/>
    <n v="6"/>
    <n v="3.0978934324659233E-2"/>
    <n v="50"/>
    <n v="50"/>
    <n v="269"/>
    <n v="269"/>
    <n v="0.96902106567534074"/>
    <n v="0"/>
    <n v="0"/>
    <n v="0"/>
    <n v="0"/>
    <n v="1"/>
    <n v="0"/>
    <n v="0"/>
    <n v="0"/>
    <n v="0"/>
    <x v="1"/>
    <s v="Village"/>
    <x v="0"/>
    <s v="Rakhine"/>
    <n v="0"/>
    <n v="0"/>
    <n v="197404"/>
    <x v="0"/>
    <m/>
  </r>
  <r>
    <x v="0"/>
    <x v="4"/>
    <x v="4"/>
    <s v="BMZ"/>
    <x v="0"/>
    <x v="0"/>
    <x v="0"/>
    <x v="60"/>
    <n v="370"/>
    <n v="1711"/>
    <m/>
    <d v="2021-08-31T00:00:00"/>
    <n v="400"/>
    <m/>
    <m/>
    <m/>
    <n v="0"/>
    <m/>
    <m/>
    <m/>
    <m/>
    <x v="2"/>
    <n v="2"/>
    <m/>
    <m/>
    <m/>
    <m/>
    <m/>
    <m/>
    <m/>
    <m/>
    <m/>
    <m/>
    <m/>
    <m/>
    <m/>
    <m/>
    <m/>
    <m/>
    <m/>
    <m/>
    <n v="0"/>
    <n v="0"/>
    <n v="0"/>
    <n v="0"/>
    <n v="0"/>
    <n v="0"/>
    <n v="0"/>
    <n v="1"/>
    <n v="1711"/>
    <n v="7"/>
    <n v="7"/>
    <n v="5.8445353594389245E-2"/>
    <n v="100"/>
    <n v="100"/>
    <n v="285"/>
    <n v="285"/>
    <n v="0.94155464640561071"/>
    <n v="0"/>
    <n v="0"/>
    <n v="0"/>
    <n v="0"/>
    <n v="1"/>
    <n v="0"/>
    <n v="0"/>
    <n v="0"/>
    <n v="0"/>
    <x v="1"/>
    <s v="Village"/>
    <x v="0"/>
    <s v="Rakhine"/>
    <n v="0"/>
    <n v="0"/>
    <n v="197464"/>
    <x v="0"/>
    <m/>
  </r>
  <r>
    <x v="0"/>
    <x v="4"/>
    <x v="4"/>
    <s v="BMZ"/>
    <x v="0"/>
    <x v="0"/>
    <x v="0"/>
    <x v="61"/>
    <n v="436"/>
    <n v="2287"/>
    <m/>
    <d v="2021-08-31T00:00:00"/>
    <n v="495"/>
    <m/>
    <m/>
    <m/>
    <n v="1"/>
    <m/>
    <m/>
    <m/>
    <m/>
    <x v="2"/>
    <n v="4"/>
    <m/>
    <m/>
    <m/>
    <m/>
    <m/>
    <m/>
    <m/>
    <m/>
    <m/>
    <m/>
    <m/>
    <m/>
    <m/>
    <m/>
    <m/>
    <m/>
    <m/>
    <m/>
    <n v="0"/>
    <n v="0"/>
    <n v="1"/>
    <n v="2287"/>
    <n v="1"/>
    <n v="2287"/>
    <n v="9.1479999999999997"/>
    <n v="0"/>
    <n v="0"/>
    <n v="0"/>
    <n v="9"/>
    <n v="8.7450808919982512E-2"/>
    <n v="200"/>
    <n v="200"/>
    <n v="381"/>
    <n v="381"/>
    <n v="0.91254919108001753"/>
    <n v="0"/>
    <n v="0"/>
    <n v="0"/>
    <n v="0"/>
    <n v="1"/>
    <n v="0"/>
    <n v="0"/>
    <n v="0"/>
    <n v="0"/>
    <x v="1"/>
    <s v="Village"/>
    <x v="0"/>
    <s v="Rakhine"/>
    <n v="0"/>
    <n v="0"/>
    <n v="197460"/>
    <x v="0"/>
    <m/>
  </r>
  <r>
    <x v="0"/>
    <x v="4"/>
    <x v="4"/>
    <s v="BMZ"/>
    <x v="0"/>
    <x v="0"/>
    <x v="0"/>
    <x v="62"/>
    <n v="215"/>
    <n v="959"/>
    <m/>
    <d v="2021-08-31T00:00:00"/>
    <n v="123"/>
    <m/>
    <m/>
    <m/>
    <n v="1"/>
    <m/>
    <m/>
    <m/>
    <m/>
    <x v="2"/>
    <n v="1"/>
    <m/>
    <m/>
    <m/>
    <m/>
    <m/>
    <n v="2"/>
    <n v="22"/>
    <m/>
    <m/>
    <m/>
    <m/>
    <m/>
    <m/>
    <m/>
    <m/>
    <m/>
    <m/>
    <m/>
    <n v="0"/>
    <n v="0"/>
    <n v="1"/>
    <n v="959"/>
    <n v="1"/>
    <n v="959"/>
    <n v="3.8359999999999999"/>
    <n v="0"/>
    <n v="0"/>
    <n v="0.16400000000000015"/>
    <n v="4"/>
    <n v="5.213764337851929E-2"/>
    <n v="50"/>
    <n v="50"/>
    <n v="160"/>
    <n v="160"/>
    <n v="0.94786235662148066"/>
    <n v="24"/>
    <n v="0"/>
    <n v="24"/>
    <n v="2.502606882168926E-2"/>
    <n v="0.97497393117831077"/>
    <n v="2.502606882168926E-2"/>
    <n v="0"/>
    <n v="0"/>
    <n v="0"/>
    <x v="1"/>
    <s v="Village"/>
    <x v="0"/>
    <s v="Rakhine"/>
    <n v="0"/>
    <n v="0"/>
    <n v="197449"/>
    <x v="0"/>
    <m/>
  </r>
  <r>
    <x v="0"/>
    <x v="4"/>
    <x v="4"/>
    <s v="BMZ"/>
    <x v="0"/>
    <x v="0"/>
    <x v="0"/>
    <x v="63"/>
    <n v="19"/>
    <n v="92"/>
    <m/>
    <d v="2021-08-31T00:00:00"/>
    <n v="0"/>
    <m/>
    <m/>
    <m/>
    <n v="0"/>
    <m/>
    <m/>
    <m/>
    <m/>
    <x v="0"/>
    <m/>
    <m/>
    <m/>
    <m/>
    <m/>
    <m/>
    <m/>
    <m/>
    <m/>
    <m/>
    <m/>
    <m/>
    <m/>
    <m/>
    <m/>
    <m/>
    <m/>
    <m/>
    <m/>
    <n v="0"/>
    <n v="0"/>
    <n v="0"/>
    <n v="0"/>
    <n v="0"/>
    <n v="0"/>
    <n v="0"/>
    <n v="1"/>
    <n v="92"/>
    <n v="1"/>
    <n v="1"/>
    <n v="0"/>
    <n v="0"/>
    <n v="0"/>
    <n v="15"/>
    <n v="15"/>
    <n v="1"/>
    <n v="0"/>
    <n v="0"/>
    <n v="0"/>
    <n v="0"/>
    <n v="1"/>
    <n v="0"/>
    <n v="0"/>
    <n v="0"/>
    <n v="0"/>
    <x v="0"/>
    <s v="Village"/>
    <x v="0"/>
    <s v="Rakhine"/>
    <n v="0"/>
    <n v="0"/>
    <n v="197462"/>
    <x v="0"/>
    <m/>
  </r>
  <r>
    <x v="0"/>
    <x v="4"/>
    <x v="4"/>
    <s v="BMZ"/>
    <x v="0"/>
    <x v="0"/>
    <x v="0"/>
    <x v="64"/>
    <n v="147"/>
    <n v="601"/>
    <m/>
    <d v="2021-08-31T00:00:00"/>
    <n v="112"/>
    <m/>
    <m/>
    <m/>
    <n v="1"/>
    <m/>
    <m/>
    <m/>
    <n v="147"/>
    <x v="2"/>
    <n v="1"/>
    <m/>
    <m/>
    <m/>
    <m/>
    <m/>
    <m/>
    <n v="30"/>
    <m/>
    <m/>
    <m/>
    <m/>
    <m/>
    <m/>
    <m/>
    <m/>
    <m/>
    <m/>
    <m/>
    <n v="0"/>
    <n v="0"/>
    <n v="1"/>
    <n v="601"/>
    <n v="1"/>
    <n v="601"/>
    <n v="2.4039999999999999"/>
    <n v="0"/>
    <n v="0"/>
    <n v="0"/>
    <n v="2"/>
    <n v="1"/>
    <n v="601"/>
    <n v="50"/>
    <n v="100"/>
    <n v="0"/>
    <n v="0"/>
    <n v="30"/>
    <n v="0"/>
    <n v="30"/>
    <n v="4.9916805324459232E-2"/>
    <n v="0.95008319467554081"/>
    <n v="4.9916805324459232E-2"/>
    <n v="0"/>
    <n v="0"/>
    <n v="0"/>
    <x v="1"/>
    <s v="Village"/>
    <x v="0"/>
    <s v="KhaMi"/>
    <n v="0"/>
    <n v="0"/>
    <n v="197442"/>
    <x v="0"/>
    <m/>
  </r>
  <r>
    <x v="0"/>
    <x v="4"/>
    <x v="4"/>
    <s v="BMZ"/>
    <x v="0"/>
    <x v="0"/>
    <x v="0"/>
    <x v="65"/>
    <n v="284"/>
    <n v="1292"/>
    <m/>
    <d v="2021-08-31T00:00:00"/>
    <n v="425"/>
    <m/>
    <m/>
    <m/>
    <n v="2"/>
    <m/>
    <m/>
    <m/>
    <m/>
    <x v="2"/>
    <n v="10"/>
    <m/>
    <m/>
    <m/>
    <m/>
    <m/>
    <m/>
    <m/>
    <m/>
    <m/>
    <m/>
    <m/>
    <m/>
    <m/>
    <m/>
    <m/>
    <m/>
    <m/>
    <m/>
    <n v="0"/>
    <n v="0"/>
    <n v="1"/>
    <n v="1292"/>
    <n v="1"/>
    <n v="1292"/>
    <n v="5.1680000000000001"/>
    <n v="0"/>
    <n v="0"/>
    <n v="0"/>
    <n v="5"/>
    <n v="0.38699690402476783"/>
    <n v="500.00000000000006"/>
    <n v="500"/>
    <n v="215"/>
    <n v="215"/>
    <n v="0.61300309597523217"/>
    <n v="0"/>
    <n v="0"/>
    <n v="0"/>
    <n v="0"/>
    <n v="1"/>
    <n v="0"/>
    <n v="0"/>
    <n v="0"/>
    <n v="0"/>
    <x v="1"/>
    <s v="Village"/>
    <x v="0"/>
    <s v="Rakhine"/>
    <n v="0"/>
    <n v="0"/>
    <n v="197405"/>
    <x v="0"/>
    <m/>
  </r>
  <r>
    <x v="0"/>
    <x v="4"/>
    <x v="4"/>
    <s v="BMZ"/>
    <x v="0"/>
    <x v="0"/>
    <x v="0"/>
    <x v="66"/>
    <n v="173"/>
    <n v="354"/>
    <m/>
    <d v="2021-08-31T00:00:00"/>
    <n v="132"/>
    <m/>
    <m/>
    <m/>
    <n v="1"/>
    <m/>
    <m/>
    <m/>
    <m/>
    <x v="2"/>
    <n v="0"/>
    <m/>
    <m/>
    <m/>
    <m/>
    <m/>
    <m/>
    <m/>
    <m/>
    <m/>
    <m/>
    <m/>
    <m/>
    <m/>
    <m/>
    <m/>
    <m/>
    <m/>
    <m/>
    <n v="0"/>
    <n v="0"/>
    <n v="1"/>
    <n v="354"/>
    <n v="1"/>
    <n v="354"/>
    <n v="1.4159999999999999"/>
    <n v="0"/>
    <n v="0"/>
    <n v="0"/>
    <n v="1"/>
    <n v="0"/>
    <n v="0"/>
    <n v="0"/>
    <n v="59"/>
    <n v="59"/>
    <n v="1"/>
    <n v="0"/>
    <n v="0"/>
    <n v="0"/>
    <n v="0"/>
    <n v="1"/>
    <n v="0"/>
    <n v="0"/>
    <n v="0"/>
    <n v="0"/>
    <x v="1"/>
    <s v="Village"/>
    <x v="0"/>
    <s v="Rakhine"/>
    <n v="0"/>
    <n v="0"/>
    <n v="197403"/>
    <x v="0"/>
    <m/>
  </r>
  <r>
    <x v="0"/>
    <x v="4"/>
    <x v="4"/>
    <s v="BMZ"/>
    <x v="0"/>
    <x v="0"/>
    <x v="0"/>
    <x v="67"/>
    <n v="66"/>
    <n v="1018"/>
    <m/>
    <d v="2021-08-31T00:00:00"/>
    <n v="34"/>
    <m/>
    <m/>
    <m/>
    <n v="2"/>
    <m/>
    <m/>
    <m/>
    <m/>
    <x v="2"/>
    <n v="3"/>
    <m/>
    <m/>
    <m/>
    <m/>
    <m/>
    <m/>
    <m/>
    <m/>
    <m/>
    <m/>
    <m/>
    <m/>
    <m/>
    <m/>
    <m/>
    <m/>
    <m/>
    <m/>
    <n v="0"/>
    <n v="0"/>
    <n v="1"/>
    <n v="1018"/>
    <n v="1"/>
    <n v="1018"/>
    <n v="4.0720000000000001"/>
    <n v="0"/>
    <n v="0"/>
    <n v="0"/>
    <n v="4"/>
    <n v="0.14734774066797643"/>
    <n v="150"/>
    <n v="150"/>
    <n v="170"/>
    <n v="170"/>
    <n v="0.8526522593320236"/>
    <n v="0"/>
    <n v="0"/>
    <n v="0"/>
    <n v="0"/>
    <n v="1"/>
    <n v="0"/>
    <n v="0"/>
    <n v="0"/>
    <n v="0"/>
    <x v="1"/>
    <s v="Village"/>
    <x v="0"/>
    <s v="Rakhine"/>
    <n v="20.260679244995099"/>
    <n v="93.051597595214801"/>
    <n v="197401"/>
    <x v="0"/>
    <m/>
  </r>
  <r>
    <x v="0"/>
    <x v="4"/>
    <x v="4"/>
    <s v="BMZ"/>
    <x v="0"/>
    <x v="0"/>
    <x v="0"/>
    <x v="68"/>
    <n v="207"/>
    <n v="957"/>
    <m/>
    <d v="2021-08-31T00:00:00"/>
    <n v="153"/>
    <m/>
    <m/>
    <m/>
    <n v="1"/>
    <m/>
    <m/>
    <m/>
    <m/>
    <x v="2"/>
    <n v="2"/>
    <m/>
    <m/>
    <m/>
    <m/>
    <m/>
    <m/>
    <n v="27"/>
    <m/>
    <m/>
    <m/>
    <m/>
    <m/>
    <m/>
    <m/>
    <m/>
    <m/>
    <m/>
    <m/>
    <n v="0"/>
    <n v="0"/>
    <n v="1"/>
    <n v="957"/>
    <n v="1"/>
    <n v="957"/>
    <n v="3.8279999999999998"/>
    <n v="0"/>
    <n v="0"/>
    <n v="0.17200000000000015"/>
    <n v="4"/>
    <n v="0.1044932079414838"/>
    <n v="100"/>
    <n v="100"/>
    <n v="160"/>
    <n v="160"/>
    <n v="0.89550679205851624"/>
    <n v="27"/>
    <n v="0"/>
    <n v="27"/>
    <n v="2.8213166144200628E-2"/>
    <n v="0.97178683385579934"/>
    <n v="2.8213166144200628E-2"/>
    <n v="0"/>
    <n v="0"/>
    <n v="0"/>
    <x v="1"/>
    <s v="Village"/>
    <x v="0"/>
    <s v="Rakhine"/>
    <n v="0"/>
    <n v="0"/>
    <n v="197451"/>
    <x v="0"/>
    <m/>
  </r>
  <r>
    <x v="0"/>
    <x v="4"/>
    <x v="4"/>
    <s v="BMZ"/>
    <x v="0"/>
    <x v="0"/>
    <x v="0"/>
    <x v="69"/>
    <n v="279"/>
    <n v="1246"/>
    <m/>
    <d v="2021-08-31T00:00:00"/>
    <n v="217"/>
    <m/>
    <m/>
    <m/>
    <n v="1"/>
    <m/>
    <m/>
    <m/>
    <m/>
    <x v="2"/>
    <n v="1"/>
    <m/>
    <m/>
    <m/>
    <m/>
    <m/>
    <n v="3"/>
    <n v="19"/>
    <m/>
    <m/>
    <m/>
    <m/>
    <m/>
    <m/>
    <m/>
    <m/>
    <m/>
    <m/>
    <m/>
    <n v="0"/>
    <n v="0"/>
    <n v="1"/>
    <n v="1246"/>
    <n v="1"/>
    <n v="1246"/>
    <n v="4.984"/>
    <n v="0"/>
    <n v="0"/>
    <n v="1.6000000000000014E-2"/>
    <n v="5"/>
    <n v="4.0128410914927769E-2"/>
    <n v="50"/>
    <n v="50"/>
    <n v="208"/>
    <n v="208"/>
    <n v="0.9598715890850722"/>
    <n v="22"/>
    <n v="0"/>
    <n v="22"/>
    <n v="1.7656500802568219E-2"/>
    <n v="0.9823434991974318"/>
    <n v="1.7656500802568219E-2"/>
    <n v="0"/>
    <n v="0"/>
    <n v="0"/>
    <x v="1"/>
    <s v="Village"/>
    <x v="0"/>
    <s v="Rakhine"/>
    <n v="0"/>
    <n v="0"/>
    <n v="197447"/>
    <x v="0"/>
    <m/>
  </r>
  <r>
    <x v="0"/>
    <x v="5"/>
    <x v="5"/>
    <s v="BMZ"/>
    <x v="0"/>
    <x v="4"/>
    <x v="0"/>
    <x v="70"/>
    <n v="192"/>
    <n v="1083"/>
    <d v="2017-01-01T00:00:00"/>
    <d v="2021-12-21T00:00:00"/>
    <m/>
    <m/>
    <m/>
    <m/>
    <m/>
    <m/>
    <m/>
    <m/>
    <m/>
    <x v="0"/>
    <m/>
    <m/>
    <m/>
    <m/>
    <m/>
    <m/>
    <m/>
    <m/>
    <m/>
    <m/>
    <m/>
    <m/>
    <m/>
    <m/>
    <m/>
    <m/>
    <m/>
    <m/>
    <m/>
    <n v="0"/>
    <n v="0"/>
    <n v="0"/>
    <n v="0"/>
    <n v="0"/>
    <n v="0"/>
    <n v="0"/>
    <n v="1"/>
    <n v="1083"/>
    <n v="4"/>
    <n v="4"/>
    <n v="0"/>
    <n v="0"/>
    <n v="0"/>
    <n v="181"/>
    <n v="181"/>
    <n v="1"/>
    <n v="0"/>
    <n v="0"/>
    <n v="0"/>
    <n v="0"/>
    <n v="1"/>
    <n v="0"/>
    <n v="0"/>
    <n v="0"/>
    <n v="0"/>
    <x v="0"/>
    <s v="Village"/>
    <x v="0"/>
    <n v="0"/>
    <n v="0"/>
    <n v="0"/>
    <n v="196132"/>
    <x v="0"/>
    <m/>
  </r>
  <r>
    <x v="0"/>
    <x v="5"/>
    <x v="5"/>
    <s v="BMZ"/>
    <x v="0"/>
    <x v="4"/>
    <x v="0"/>
    <x v="71"/>
    <n v="65"/>
    <n v="373"/>
    <d v="2017-01-01T00:00:00"/>
    <d v="2021-12-21T00:00:00"/>
    <m/>
    <m/>
    <m/>
    <m/>
    <m/>
    <m/>
    <m/>
    <m/>
    <m/>
    <x v="0"/>
    <m/>
    <m/>
    <m/>
    <m/>
    <m/>
    <m/>
    <m/>
    <m/>
    <m/>
    <m/>
    <m/>
    <m/>
    <m/>
    <m/>
    <m/>
    <m/>
    <m/>
    <m/>
    <m/>
    <n v="0"/>
    <n v="0"/>
    <n v="0"/>
    <n v="0"/>
    <n v="0"/>
    <n v="0"/>
    <n v="0"/>
    <n v="1"/>
    <n v="373"/>
    <n v="1"/>
    <n v="1"/>
    <n v="0"/>
    <n v="0"/>
    <n v="0"/>
    <n v="62"/>
    <n v="62"/>
    <n v="1"/>
    <n v="0"/>
    <n v="0"/>
    <n v="0"/>
    <n v="0"/>
    <n v="1"/>
    <n v="0"/>
    <n v="0"/>
    <n v="0"/>
    <n v="0"/>
    <x v="0"/>
    <s v="Village"/>
    <x v="0"/>
    <n v="0"/>
    <n v="0"/>
    <n v="0"/>
    <n v="196135"/>
    <x v="0"/>
    <m/>
  </r>
  <r>
    <x v="0"/>
    <x v="5"/>
    <x v="5"/>
    <s v="BMZ"/>
    <x v="0"/>
    <x v="4"/>
    <x v="0"/>
    <x v="72"/>
    <n v="86"/>
    <n v="481"/>
    <d v="2017-01-01T00:00:00"/>
    <d v="2021-12-21T00:00:00"/>
    <m/>
    <m/>
    <m/>
    <m/>
    <m/>
    <m/>
    <m/>
    <m/>
    <m/>
    <x v="0"/>
    <m/>
    <m/>
    <m/>
    <m/>
    <m/>
    <m/>
    <m/>
    <m/>
    <m/>
    <m/>
    <m/>
    <m/>
    <m/>
    <m/>
    <m/>
    <m/>
    <m/>
    <m/>
    <m/>
    <n v="0"/>
    <n v="0"/>
    <n v="0"/>
    <n v="0"/>
    <n v="0"/>
    <n v="0"/>
    <n v="0"/>
    <n v="1"/>
    <n v="481"/>
    <n v="2"/>
    <n v="2"/>
    <n v="0"/>
    <n v="0"/>
    <n v="0"/>
    <n v="80"/>
    <n v="80"/>
    <n v="1"/>
    <n v="0"/>
    <n v="0"/>
    <n v="0"/>
    <n v="0"/>
    <n v="1"/>
    <n v="0"/>
    <n v="0"/>
    <n v="0"/>
    <n v="0"/>
    <x v="0"/>
    <s v="Village"/>
    <x v="0"/>
    <n v="0"/>
    <n v="20.187860488891602"/>
    <n v="92.903419494628906"/>
    <n v="196134"/>
    <x v="0"/>
    <m/>
  </r>
  <r>
    <x v="0"/>
    <x v="5"/>
    <x v="5"/>
    <s v="BMZ"/>
    <x v="0"/>
    <x v="4"/>
    <x v="0"/>
    <x v="73"/>
    <n v="88"/>
    <n v="454"/>
    <d v="2017-01-01T00:00:00"/>
    <d v="2021-12-21T00:00:00"/>
    <m/>
    <m/>
    <m/>
    <m/>
    <m/>
    <m/>
    <m/>
    <m/>
    <m/>
    <x v="0"/>
    <m/>
    <m/>
    <m/>
    <m/>
    <m/>
    <m/>
    <m/>
    <m/>
    <m/>
    <m/>
    <m/>
    <m/>
    <m/>
    <m/>
    <m/>
    <m/>
    <m/>
    <m/>
    <m/>
    <n v="0"/>
    <n v="0"/>
    <n v="0"/>
    <n v="0"/>
    <n v="0"/>
    <n v="0"/>
    <n v="0"/>
    <n v="1"/>
    <n v="454"/>
    <n v="2"/>
    <n v="2"/>
    <n v="0"/>
    <n v="0"/>
    <n v="0"/>
    <n v="76"/>
    <n v="76"/>
    <n v="1"/>
    <n v="0"/>
    <n v="0"/>
    <n v="0"/>
    <n v="0"/>
    <n v="1"/>
    <n v="0"/>
    <n v="0"/>
    <n v="0"/>
    <n v="0"/>
    <x v="0"/>
    <s v="Village"/>
    <x v="0"/>
    <n v="0"/>
    <n v="20.1899604797363"/>
    <n v="92.895767211914105"/>
    <n v="196136"/>
    <x v="0"/>
    <m/>
  </r>
  <r>
    <x v="0"/>
    <x v="5"/>
    <x v="5"/>
    <s v="EU"/>
    <x v="0"/>
    <x v="4"/>
    <x v="0"/>
    <x v="74"/>
    <n v="218"/>
    <n v="978"/>
    <d v="2017-01-01T00:00:00"/>
    <d v="2021-12-21T00:00:00"/>
    <m/>
    <m/>
    <m/>
    <m/>
    <m/>
    <m/>
    <m/>
    <m/>
    <m/>
    <x v="0"/>
    <m/>
    <m/>
    <m/>
    <m/>
    <m/>
    <m/>
    <m/>
    <m/>
    <m/>
    <m/>
    <m/>
    <m/>
    <m/>
    <m/>
    <m/>
    <m/>
    <m/>
    <m/>
    <m/>
    <n v="0"/>
    <n v="0"/>
    <n v="0"/>
    <n v="0"/>
    <n v="0"/>
    <n v="0"/>
    <n v="0"/>
    <n v="1"/>
    <n v="978"/>
    <n v="4"/>
    <n v="4"/>
    <n v="0"/>
    <n v="0"/>
    <n v="0"/>
    <n v="163"/>
    <n v="163"/>
    <n v="1"/>
    <n v="0"/>
    <n v="0"/>
    <n v="0"/>
    <n v="0"/>
    <n v="1"/>
    <n v="0"/>
    <n v="0"/>
    <n v="0"/>
    <n v="0"/>
    <x v="0"/>
    <s v="Village"/>
    <x v="0"/>
    <n v="0"/>
    <n v="20.2630290985107"/>
    <n v="92.858856201171903"/>
    <n v="196166"/>
    <x v="0"/>
    <m/>
  </r>
  <r>
    <x v="0"/>
    <x v="5"/>
    <x v="5"/>
    <s v="EU"/>
    <x v="0"/>
    <x v="4"/>
    <x v="0"/>
    <x v="75"/>
    <n v="147"/>
    <n v="741"/>
    <d v="2017-01-01T00:00:00"/>
    <d v="2021-12-21T00:00:00"/>
    <m/>
    <m/>
    <m/>
    <m/>
    <m/>
    <m/>
    <m/>
    <m/>
    <m/>
    <x v="0"/>
    <m/>
    <m/>
    <m/>
    <m/>
    <m/>
    <m/>
    <m/>
    <m/>
    <m/>
    <m/>
    <m/>
    <m/>
    <m/>
    <m/>
    <m/>
    <m/>
    <m/>
    <m/>
    <m/>
    <n v="0"/>
    <n v="0"/>
    <n v="0"/>
    <n v="0"/>
    <n v="0"/>
    <n v="0"/>
    <n v="0"/>
    <n v="1"/>
    <n v="741"/>
    <n v="3"/>
    <n v="3"/>
    <n v="0"/>
    <n v="0"/>
    <n v="0"/>
    <n v="124"/>
    <n v="124"/>
    <n v="1"/>
    <n v="0"/>
    <n v="0"/>
    <n v="0"/>
    <n v="0"/>
    <n v="1"/>
    <n v="0"/>
    <n v="0"/>
    <n v="0"/>
    <n v="0"/>
    <x v="0"/>
    <s v="Village"/>
    <x v="0"/>
    <n v="0"/>
    <n v="20.248519897460898"/>
    <n v="92.8621826171875"/>
    <n v="196170"/>
    <x v="0"/>
    <m/>
  </r>
  <r>
    <x v="0"/>
    <x v="5"/>
    <x v="5"/>
    <s v="EU"/>
    <x v="0"/>
    <x v="4"/>
    <x v="0"/>
    <x v="76"/>
    <n v="235"/>
    <n v="1117"/>
    <d v="2017-01-01T00:00:00"/>
    <d v="2021-12-21T00:00:00"/>
    <m/>
    <m/>
    <m/>
    <m/>
    <m/>
    <m/>
    <m/>
    <m/>
    <m/>
    <x v="0"/>
    <m/>
    <m/>
    <m/>
    <m/>
    <m/>
    <m/>
    <m/>
    <m/>
    <m/>
    <m/>
    <m/>
    <m/>
    <m/>
    <m/>
    <m/>
    <m/>
    <m/>
    <m/>
    <m/>
    <n v="0"/>
    <n v="0"/>
    <n v="0"/>
    <n v="0"/>
    <n v="0"/>
    <n v="0"/>
    <n v="0"/>
    <n v="1"/>
    <n v="1117"/>
    <n v="4"/>
    <n v="4"/>
    <n v="0"/>
    <n v="0"/>
    <n v="0"/>
    <n v="186"/>
    <n v="186"/>
    <n v="1"/>
    <n v="0"/>
    <n v="0"/>
    <n v="0"/>
    <n v="0"/>
    <n v="1"/>
    <n v="0"/>
    <n v="0"/>
    <n v="0"/>
    <n v="0"/>
    <x v="0"/>
    <s v="Village"/>
    <x v="0"/>
    <n v="0"/>
    <n v="20.2375602722168"/>
    <n v="92.861152648925795"/>
    <n v="196169"/>
    <x v="0"/>
    <m/>
  </r>
  <r>
    <x v="0"/>
    <x v="5"/>
    <x v="5"/>
    <s v="EU"/>
    <x v="0"/>
    <x v="4"/>
    <x v="0"/>
    <x v="77"/>
    <n v="156"/>
    <n v="658"/>
    <d v="2017-01-01T00:00:00"/>
    <d v="2021-12-21T00:00:00"/>
    <m/>
    <m/>
    <m/>
    <m/>
    <m/>
    <m/>
    <m/>
    <m/>
    <m/>
    <x v="0"/>
    <m/>
    <m/>
    <m/>
    <m/>
    <m/>
    <m/>
    <m/>
    <m/>
    <m/>
    <m/>
    <m/>
    <m/>
    <m/>
    <m/>
    <m/>
    <m/>
    <m/>
    <m/>
    <m/>
    <n v="0"/>
    <n v="0"/>
    <n v="0"/>
    <n v="0"/>
    <n v="0"/>
    <n v="0"/>
    <n v="0"/>
    <n v="1"/>
    <n v="658"/>
    <n v="3"/>
    <n v="3"/>
    <n v="0"/>
    <n v="0"/>
    <n v="0"/>
    <n v="110"/>
    <n v="110"/>
    <n v="1"/>
    <n v="0"/>
    <n v="0"/>
    <n v="0"/>
    <n v="0"/>
    <n v="1"/>
    <n v="0"/>
    <n v="0"/>
    <n v="0"/>
    <n v="0"/>
    <x v="0"/>
    <s v="Village"/>
    <x v="0"/>
    <s v="Rakhine"/>
    <n v="20.22929001"/>
    <n v="92.864669800000001"/>
    <n v="196167"/>
    <x v="0"/>
    <m/>
  </r>
  <r>
    <x v="0"/>
    <x v="5"/>
    <x v="5"/>
    <s v="EU"/>
    <x v="0"/>
    <x v="4"/>
    <x v="0"/>
    <x v="78"/>
    <n v="113"/>
    <n v="656"/>
    <d v="2017-01-01T00:00:00"/>
    <d v="2021-12-21T00:00:00"/>
    <m/>
    <m/>
    <m/>
    <m/>
    <m/>
    <m/>
    <m/>
    <m/>
    <m/>
    <x v="0"/>
    <m/>
    <m/>
    <m/>
    <m/>
    <m/>
    <m/>
    <m/>
    <m/>
    <m/>
    <m/>
    <m/>
    <m/>
    <m/>
    <m/>
    <m/>
    <m/>
    <m/>
    <m/>
    <m/>
    <n v="0"/>
    <n v="0"/>
    <n v="0"/>
    <n v="0"/>
    <n v="0"/>
    <n v="0"/>
    <n v="0"/>
    <n v="1"/>
    <n v="656"/>
    <n v="3"/>
    <n v="3"/>
    <n v="0"/>
    <n v="0"/>
    <n v="0"/>
    <n v="109"/>
    <n v="109"/>
    <n v="1"/>
    <n v="0"/>
    <n v="0"/>
    <n v="0"/>
    <n v="0"/>
    <n v="1"/>
    <n v="0"/>
    <n v="0"/>
    <n v="0"/>
    <n v="0"/>
    <x v="0"/>
    <s v="Village"/>
    <x v="0"/>
    <s v="Rakhine"/>
    <n v="20.2315197"/>
    <n v="92.876129149999997"/>
    <n v="196180"/>
    <x v="0"/>
    <m/>
  </r>
  <r>
    <x v="0"/>
    <x v="5"/>
    <x v="5"/>
    <s v="EU"/>
    <x v="0"/>
    <x v="4"/>
    <x v="0"/>
    <x v="79"/>
    <n v="152"/>
    <n v="1152"/>
    <d v="2017-01-01T00:00:00"/>
    <d v="2021-12-21T00:00:00"/>
    <m/>
    <m/>
    <m/>
    <m/>
    <m/>
    <m/>
    <m/>
    <m/>
    <m/>
    <x v="0"/>
    <m/>
    <m/>
    <m/>
    <m/>
    <m/>
    <m/>
    <m/>
    <m/>
    <m/>
    <m/>
    <m/>
    <m/>
    <m/>
    <m/>
    <m/>
    <m/>
    <m/>
    <m/>
    <m/>
    <n v="0"/>
    <n v="0"/>
    <n v="0"/>
    <n v="0"/>
    <n v="0"/>
    <n v="0"/>
    <n v="0"/>
    <n v="1"/>
    <n v="1152"/>
    <n v="5"/>
    <n v="5"/>
    <n v="0"/>
    <n v="0"/>
    <n v="0"/>
    <n v="192"/>
    <n v="192"/>
    <n v="1"/>
    <n v="0"/>
    <n v="0"/>
    <n v="0"/>
    <n v="0"/>
    <n v="1"/>
    <n v="0"/>
    <n v="0"/>
    <n v="0"/>
    <n v="0"/>
    <x v="0"/>
    <s v="Village"/>
    <x v="0"/>
    <s v="Muslim"/>
    <n v="20.201499999999999"/>
    <n v="92.796599999999998"/>
    <n v="196154"/>
    <x v="0"/>
    <m/>
  </r>
  <r>
    <x v="0"/>
    <x v="5"/>
    <x v="5"/>
    <s v="EU"/>
    <x v="0"/>
    <x v="4"/>
    <x v="0"/>
    <x v="80"/>
    <n v="172"/>
    <n v="1435"/>
    <d v="2017-01-01T00:00:00"/>
    <d v="2021-12-21T00:00:00"/>
    <m/>
    <m/>
    <m/>
    <m/>
    <m/>
    <m/>
    <m/>
    <m/>
    <m/>
    <x v="0"/>
    <m/>
    <m/>
    <m/>
    <m/>
    <m/>
    <m/>
    <m/>
    <m/>
    <m/>
    <m/>
    <m/>
    <m/>
    <m/>
    <m/>
    <m/>
    <m/>
    <m/>
    <m/>
    <m/>
    <n v="0"/>
    <n v="0"/>
    <n v="0"/>
    <n v="0"/>
    <n v="0"/>
    <n v="0"/>
    <n v="0"/>
    <n v="1"/>
    <n v="1435"/>
    <n v="6"/>
    <n v="6"/>
    <n v="0"/>
    <n v="0"/>
    <n v="0"/>
    <n v="239"/>
    <n v="239"/>
    <n v="1"/>
    <n v="0"/>
    <n v="0"/>
    <n v="0"/>
    <n v="0"/>
    <n v="1"/>
    <n v="0"/>
    <n v="0"/>
    <n v="0"/>
    <n v="0"/>
    <x v="0"/>
    <s v="Village"/>
    <x v="0"/>
    <s v="Muslim"/>
    <n v="0"/>
    <n v="0"/>
    <n v="0"/>
    <x v="0"/>
    <m/>
  </r>
  <r>
    <x v="0"/>
    <x v="5"/>
    <x v="5"/>
    <s v="EU"/>
    <x v="0"/>
    <x v="4"/>
    <x v="0"/>
    <x v="81"/>
    <n v="73"/>
    <n v="320"/>
    <d v="2017-01-01T00:00:00"/>
    <d v="2021-12-21T00:00:00"/>
    <m/>
    <m/>
    <m/>
    <m/>
    <m/>
    <m/>
    <m/>
    <m/>
    <m/>
    <x v="0"/>
    <m/>
    <m/>
    <m/>
    <m/>
    <m/>
    <m/>
    <m/>
    <m/>
    <m/>
    <m/>
    <m/>
    <m/>
    <m/>
    <m/>
    <m/>
    <m/>
    <m/>
    <m/>
    <m/>
    <n v="0"/>
    <n v="0"/>
    <n v="0"/>
    <n v="0"/>
    <n v="0"/>
    <n v="0"/>
    <n v="0"/>
    <n v="1"/>
    <n v="320"/>
    <n v="1"/>
    <n v="1"/>
    <n v="0"/>
    <n v="0"/>
    <n v="0"/>
    <n v="53"/>
    <n v="53"/>
    <n v="1"/>
    <n v="0"/>
    <n v="0"/>
    <n v="0"/>
    <n v="0"/>
    <n v="1"/>
    <n v="0"/>
    <n v="0"/>
    <n v="0"/>
    <n v="0"/>
    <x v="0"/>
    <s v="Village"/>
    <x v="0"/>
    <s v="Rakhine"/>
    <n v="20.2023601531982"/>
    <n v="92.812782287597699"/>
    <n v="196159"/>
    <x v="0"/>
    <m/>
  </r>
  <r>
    <x v="0"/>
    <x v="5"/>
    <x v="5"/>
    <s v="EU"/>
    <x v="0"/>
    <x v="4"/>
    <x v="0"/>
    <x v="82"/>
    <n v="266"/>
    <n v="1416"/>
    <d v="2017-01-01T00:00:00"/>
    <d v="2021-12-21T00:00:00"/>
    <m/>
    <m/>
    <m/>
    <m/>
    <m/>
    <m/>
    <m/>
    <m/>
    <m/>
    <x v="0"/>
    <m/>
    <m/>
    <m/>
    <m/>
    <m/>
    <m/>
    <m/>
    <m/>
    <m/>
    <m/>
    <m/>
    <m/>
    <m/>
    <m/>
    <m/>
    <m/>
    <m/>
    <m/>
    <m/>
    <n v="0"/>
    <n v="0"/>
    <n v="0"/>
    <n v="0"/>
    <n v="0"/>
    <n v="0"/>
    <n v="0"/>
    <n v="1"/>
    <n v="1416"/>
    <n v="6"/>
    <n v="6"/>
    <n v="0"/>
    <n v="0"/>
    <n v="0"/>
    <n v="236"/>
    <n v="236"/>
    <n v="1"/>
    <n v="0"/>
    <n v="0"/>
    <n v="0"/>
    <n v="0"/>
    <n v="1"/>
    <n v="0"/>
    <n v="0"/>
    <n v="0"/>
    <n v="0"/>
    <x v="0"/>
    <s v="Village"/>
    <x v="0"/>
    <n v="0"/>
    <n v="20.199499130248999"/>
    <n v="92.834327697753906"/>
    <n v="196126"/>
    <x v="0"/>
    <m/>
  </r>
  <r>
    <x v="0"/>
    <x v="5"/>
    <x v="5"/>
    <s v="EU"/>
    <x v="0"/>
    <x v="4"/>
    <x v="0"/>
    <x v="83"/>
    <n v="179"/>
    <n v="853"/>
    <d v="2017-01-01T00:00:00"/>
    <d v="2021-12-21T00:00:00"/>
    <m/>
    <m/>
    <m/>
    <m/>
    <m/>
    <m/>
    <m/>
    <m/>
    <m/>
    <x v="0"/>
    <m/>
    <m/>
    <m/>
    <m/>
    <m/>
    <m/>
    <m/>
    <m/>
    <m/>
    <m/>
    <m/>
    <m/>
    <m/>
    <m/>
    <m/>
    <m/>
    <m/>
    <m/>
    <m/>
    <n v="0"/>
    <n v="0"/>
    <n v="0"/>
    <n v="0"/>
    <n v="0"/>
    <n v="0"/>
    <n v="0"/>
    <n v="1"/>
    <n v="853"/>
    <n v="3"/>
    <n v="3"/>
    <n v="0"/>
    <n v="0"/>
    <n v="0"/>
    <n v="142"/>
    <n v="142"/>
    <n v="1"/>
    <n v="0"/>
    <n v="0"/>
    <n v="0"/>
    <n v="0"/>
    <n v="1"/>
    <n v="0"/>
    <n v="0"/>
    <n v="0"/>
    <n v="0"/>
    <x v="0"/>
    <s v="Village"/>
    <x v="0"/>
    <n v="0"/>
    <n v="20.194370269775401"/>
    <n v="92.834007263183594"/>
    <n v="196128"/>
    <x v="0"/>
    <m/>
  </r>
  <r>
    <x v="0"/>
    <x v="5"/>
    <x v="5"/>
    <s v="EU"/>
    <x v="0"/>
    <x v="4"/>
    <x v="0"/>
    <x v="84"/>
    <n v="241"/>
    <n v="1027"/>
    <d v="2017-01-01T00:00:00"/>
    <d v="2021-12-21T00:00:00"/>
    <m/>
    <m/>
    <m/>
    <m/>
    <m/>
    <m/>
    <m/>
    <m/>
    <m/>
    <x v="0"/>
    <m/>
    <m/>
    <m/>
    <m/>
    <m/>
    <m/>
    <m/>
    <m/>
    <m/>
    <m/>
    <m/>
    <m/>
    <m/>
    <m/>
    <m/>
    <m/>
    <m/>
    <m/>
    <m/>
    <n v="0"/>
    <n v="0"/>
    <n v="0"/>
    <n v="0"/>
    <n v="0"/>
    <n v="0"/>
    <n v="0"/>
    <n v="1"/>
    <n v="1027"/>
    <n v="4"/>
    <n v="4"/>
    <n v="0"/>
    <n v="0"/>
    <n v="0"/>
    <n v="171"/>
    <n v="171"/>
    <n v="1"/>
    <n v="0"/>
    <n v="0"/>
    <n v="0"/>
    <n v="0"/>
    <n v="1"/>
    <n v="0"/>
    <n v="0"/>
    <n v="0"/>
    <n v="0"/>
    <x v="0"/>
    <s v="Village"/>
    <x v="0"/>
    <n v="0"/>
    <n v="20.2105598449707"/>
    <n v="92.836456298828097"/>
    <n v="196125"/>
    <x v="0"/>
    <m/>
  </r>
  <r>
    <x v="0"/>
    <x v="5"/>
    <x v="5"/>
    <s v="EU"/>
    <x v="0"/>
    <x v="4"/>
    <x v="0"/>
    <x v="85"/>
    <n v="77"/>
    <n v="370"/>
    <d v="2017-01-01T00:00:00"/>
    <d v="2021-12-21T00:00:00"/>
    <m/>
    <m/>
    <m/>
    <m/>
    <m/>
    <m/>
    <m/>
    <m/>
    <m/>
    <x v="0"/>
    <m/>
    <m/>
    <m/>
    <m/>
    <m/>
    <m/>
    <m/>
    <m/>
    <m/>
    <m/>
    <m/>
    <m/>
    <m/>
    <m/>
    <m/>
    <m/>
    <m/>
    <m/>
    <m/>
    <n v="0"/>
    <n v="0"/>
    <n v="0"/>
    <n v="0"/>
    <n v="0"/>
    <n v="0"/>
    <n v="0"/>
    <n v="1"/>
    <n v="370"/>
    <n v="1"/>
    <n v="1"/>
    <n v="0"/>
    <n v="0"/>
    <n v="0"/>
    <n v="62"/>
    <n v="62"/>
    <n v="1"/>
    <n v="0"/>
    <n v="0"/>
    <n v="0"/>
    <n v="0"/>
    <n v="1"/>
    <n v="0"/>
    <n v="0"/>
    <n v="0"/>
    <n v="0"/>
    <x v="0"/>
    <s v="Village"/>
    <x v="0"/>
    <s v="Rakhine"/>
    <n v="20.142474"/>
    <n v="92.494243999999995"/>
    <n v="196130"/>
    <x v="0"/>
    <m/>
  </r>
  <r>
    <x v="0"/>
    <x v="5"/>
    <x v="5"/>
    <s v="EU"/>
    <x v="0"/>
    <x v="4"/>
    <x v="0"/>
    <x v="86"/>
    <n v="509"/>
    <n v="1574"/>
    <d v="2017-01-01T00:00:00"/>
    <d v="2021-12-21T00:00:00"/>
    <m/>
    <m/>
    <m/>
    <m/>
    <m/>
    <m/>
    <m/>
    <m/>
    <m/>
    <x v="0"/>
    <m/>
    <m/>
    <m/>
    <m/>
    <m/>
    <m/>
    <m/>
    <m/>
    <m/>
    <m/>
    <m/>
    <m/>
    <m/>
    <m/>
    <m/>
    <m/>
    <m/>
    <m/>
    <m/>
    <n v="0"/>
    <n v="0"/>
    <n v="0"/>
    <n v="0"/>
    <n v="0"/>
    <n v="0"/>
    <n v="0"/>
    <n v="1"/>
    <n v="1574"/>
    <n v="6"/>
    <n v="6"/>
    <n v="0"/>
    <n v="0"/>
    <n v="0"/>
    <n v="262"/>
    <n v="262"/>
    <n v="1"/>
    <n v="0"/>
    <n v="0"/>
    <n v="0"/>
    <n v="0"/>
    <n v="1"/>
    <n v="0"/>
    <n v="0"/>
    <n v="0"/>
    <n v="0"/>
    <x v="0"/>
    <s v="Village"/>
    <x v="0"/>
    <s v="Rakhine"/>
    <n v="20.226730346679702"/>
    <n v="92.836929321289105"/>
    <n v="196129"/>
    <x v="0"/>
    <m/>
  </r>
  <r>
    <x v="0"/>
    <x v="5"/>
    <x v="5"/>
    <s v="EU"/>
    <x v="0"/>
    <x v="4"/>
    <x v="0"/>
    <x v="87"/>
    <n v="301"/>
    <n v="1529"/>
    <d v="2017-01-01T00:00:00"/>
    <d v="2021-12-21T00:00:00"/>
    <m/>
    <m/>
    <m/>
    <m/>
    <m/>
    <m/>
    <m/>
    <m/>
    <m/>
    <x v="0"/>
    <m/>
    <m/>
    <m/>
    <m/>
    <m/>
    <m/>
    <m/>
    <m/>
    <m/>
    <m/>
    <m/>
    <m/>
    <m/>
    <m/>
    <m/>
    <m/>
    <m/>
    <m/>
    <m/>
    <n v="0"/>
    <n v="0"/>
    <n v="0"/>
    <n v="0"/>
    <n v="0"/>
    <n v="0"/>
    <n v="0"/>
    <n v="1"/>
    <n v="1529"/>
    <n v="6"/>
    <n v="6"/>
    <n v="0"/>
    <n v="0"/>
    <n v="0"/>
    <n v="255"/>
    <n v="255"/>
    <n v="1"/>
    <n v="0"/>
    <n v="0"/>
    <n v="0"/>
    <n v="0"/>
    <n v="1"/>
    <n v="0"/>
    <n v="0"/>
    <n v="0"/>
    <n v="0"/>
    <x v="0"/>
    <s v="Village"/>
    <x v="0"/>
    <s v="Rakhine"/>
    <n v="20.257850650000002"/>
    <n v="92.811126709999996"/>
    <n v="196161"/>
    <x v="0"/>
    <m/>
  </r>
  <r>
    <x v="0"/>
    <x v="5"/>
    <x v="5"/>
    <s v="EU"/>
    <x v="0"/>
    <x v="4"/>
    <x v="0"/>
    <x v="88"/>
    <n v="85"/>
    <n v="369"/>
    <d v="2017-01-01T00:00:00"/>
    <d v="2021-12-21T00:00:00"/>
    <m/>
    <m/>
    <m/>
    <m/>
    <m/>
    <m/>
    <m/>
    <m/>
    <m/>
    <x v="0"/>
    <m/>
    <m/>
    <m/>
    <m/>
    <m/>
    <m/>
    <m/>
    <m/>
    <m/>
    <m/>
    <m/>
    <m/>
    <m/>
    <m/>
    <m/>
    <m/>
    <m/>
    <m/>
    <m/>
    <n v="0"/>
    <n v="0"/>
    <n v="0"/>
    <n v="0"/>
    <n v="0"/>
    <n v="0"/>
    <n v="0"/>
    <n v="1"/>
    <n v="369"/>
    <n v="1"/>
    <n v="1"/>
    <n v="0"/>
    <n v="0"/>
    <n v="0"/>
    <n v="62"/>
    <n v="62"/>
    <n v="1"/>
    <n v="0"/>
    <n v="0"/>
    <n v="0"/>
    <n v="0"/>
    <n v="1"/>
    <n v="0"/>
    <n v="0"/>
    <n v="0"/>
    <n v="0"/>
    <x v="0"/>
    <s v="Village"/>
    <x v="0"/>
    <n v="0"/>
    <n v="20.261358000000001"/>
    <n v="92.805672999999999"/>
    <n v="220593"/>
    <x v="0"/>
    <m/>
  </r>
  <r>
    <x v="0"/>
    <x v="5"/>
    <x v="5"/>
    <s v="EU"/>
    <x v="0"/>
    <x v="4"/>
    <x v="0"/>
    <x v="89"/>
    <n v="175"/>
    <n v="811"/>
    <d v="2017-01-01T00:00:00"/>
    <d v="2021-12-21T00:00:00"/>
    <m/>
    <m/>
    <m/>
    <m/>
    <m/>
    <m/>
    <m/>
    <m/>
    <m/>
    <x v="0"/>
    <m/>
    <m/>
    <m/>
    <m/>
    <m/>
    <m/>
    <m/>
    <m/>
    <m/>
    <m/>
    <m/>
    <m/>
    <m/>
    <m/>
    <m/>
    <m/>
    <m/>
    <m/>
    <m/>
    <n v="0"/>
    <n v="0"/>
    <n v="0"/>
    <n v="0"/>
    <n v="0"/>
    <n v="0"/>
    <n v="0"/>
    <n v="1"/>
    <n v="811"/>
    <n v="3"/>
    <n v="3"/>
    <n v="0"/>
    <n v="0"/>
    <n v="0"/>
    <n v="135"/>
    <n v="135"/>
    <n v="1"/>
    <n v="0"/>
    <n v="0"/>
    <n v="0"/>
    <n v="0"/>
    <n v="1"/>
    <n v="0"/>
    <n v="0"/>
    <n v="0"/>
    <n v="0"/>
    <x v="0"/>
    <s v="Village"/>
    <x v="0"/>
    <s v="Rakhine"/>
    <n v="20.245159149999999"/>
    <n v="92.807418819999995"/>
    <n v="196137"/>
    <x v="0"/>
    <m/>
  </r>
  <r>
    <x v="0"/>
    <x v="5"/>
    <x v="5"/>
    <s v="EU"/>
    <x v="0"/>
    <x v="4"/>
    <x v="0"/>
    <x v="90"/>
    <n v="355"/>
    <n v="2168"/>
    <d v="2017-01-01T00:00:00"/>
    <d v="2021-12-21T00:00:00"/>
    <m/>
    <m/>
    <m/>
    <m/>
    <m/>
    <m/>
    <m/>
    <m/>
    <m/>
    <x v="0"/>
    <m/>
    <m/>
    <m/>
    <m/>
    <m/>
    <m/>
    <m/>
    <m/>
    <m/>
    <m/>
    <m/>
    <m/>
    <m/>
    <m/>
    <m/>
    <m/>
    <m/>
    <m/>
    <m/>
    <n v="0"/>
    <n v="0"/>
    <n v="0"/>
    <n v="0"/>
    <n v="0"/>
    <n v="0"/>
    <n v="0"/>
    <n v="1"/>
    <n v="2168"/>
    <n v="9"/>
    <n v="9"/>
    <n v="0"/>
    <n v="0"/>
    <n v="0"/>
    <n v="361"/>
    <n v="361"/>
    <n v="1"/>
    <n v="0"/>
    <n v="0"/>
    <n v="0"/>
    <n v="0"/>
    <n v="1"/>
    <n v="0"/>
    <n v="0"/>
    <n v="0"/>
    <n v="0"/>
    <x v="0"/>
    <s v="Village"/>
    <x v="0"/>
    <n v="0"/>
    <n v="20.246250152587901"/>
    <n v="92.822059631347699"/>
    <n v="196160"/>
    <x v="0"/>
    <m/>
  </r>
  <r>
    <x v="0"/>
    <x v="5"/>
    <x v="5"/>
    <s v="EU"/>
    <x v="0"/>
    <x v="4"/>
    <x v="0"/>
    <x v="91"/>
    <n v="300"/>
    <n v="1369"/>
    <d v="2017-01-01T00:00:00"/>
    <d v="2021-12-21T00:00:00"/>
    <m/>
    <m/>
    <m/>
    <m/>
    <m/>
    <m/>
    <m/>
    <m/>
    <m/>
    <x v="0"/>
    <m/>
    <m/>
    <m/>
    <m/>
    <m/>
    <m/>
    <m/>
    <m/>
    <m/>
    <m/>
    <m/>
    <m/>
    <m/>
    <m/>
    <m/>
    <m/>
    <m/>
    <m/>
    <m/>
    <n v="0"/>
    <n v="0"/>
    <n v="0"/>
    <n v="0"/>
    <n v="0"/>
    <n v="0"/>
    <n v="0"/>
    <n v="1"/>
    <n v="1369"/>
    <n v="5"/>
    <n v="5"/>
    <n v="0"/>
    <n v="0"/>
    <n v="0"/>
    <n v="228"/>
    <n v="228"/>
    <n v="1"/>
    <n v="0"/>
    <n v="0"/>
    <n v="0"/>
    <n v="0"/>
    <n v="1"/>
    <n v="0"/>
    <n v="0"/>
    <n v="0"/>
    <n v="0"/>
    <x v="0"/>
    <s v="Village"/>
    <x v="0"/>
    <n v="0"/>
    <n v="20.239799499511701"/>
    <n v="92.825088500976605"/>
    <n v="196131"/>
    <x v="0"/>
    <m/>
  </r>
  <r>
    <x v="0"/>
    <x v="5"/>
    <x v="5"/>
    <s v="BMZ"/>
    <x v="0"/>
    <x v="4"/>
    <x v="0"/>
    <x v="92"/>
    <n v="331"/>
    <n v="1473"/>
    <d v="2017-01-01T00:00:00"/>
    <d v="2021-12-21T00:00:00"/>
    <m/>
    <m/>
    <m/>
    <m/>
    <m/>
    <m/>
    <m/>
    <m/>
    <m/>
    <x v="0"/>
    <m/>
    <m/>
    <m/>
    <m/>
    <m/>
    <m/>
    <m/>
    <m/>
    <m/>
    <m/>
    <m/>
    <m/>
    <m/>
    <m/>
    <m/>
    <m/>
    <m/>
    <m/>
    <m/>
    <n v="0"/>
    <n v="0"/>
    <n v="0"/>
    <n v="0"/>
    <n v="0"/>
    <n v="0"/>
    <n v="0"/>
    <n v="1"/>
    <n v="1473"/>
    <n v="6"/>
    <n v="6"/>
    <n v="0"/>
    <n v="0"/>
    <n v="0"/>
    <n v="246"/>
    <n v="246"/>
    <n v="1"/>
    <n v="0"/>
    <n v="0"/>
    <n v="0"/>
    <n v="0"/>
    <n v="1"/>
    <n v="0"/>
    <n v="0"/>
    <n v="0"/>
    <n v="0"/>
    <x v="0"/>
    <s v="Village"/>
    <x v="0"/>
    <n v="0"/>
    <n v="20.128850936889599"/>
    <n v="92.872497558593807"/>
    <n v="196208"/>
    <x v="0"/>
    <m/>
  </r>
  <r>
    <x v="0"/>
    <x v="6"/>
    <x v="6"/>
    <s v="DFID/HARP"/>
    <x v="0"/>
    <x v="4"/>
    <x v="0"/>
    <x v="93"/>
    <n v="200"/>
    <n v="1065"/>
    <m/>
    <d v="2020-09-30T00:00:00"/>
    <m/>
    <n v="0"/>
    <m/>
    <n v="7"/>
    <m/>
    <m/>
    <m/>
    <m/>
    <m/>
    <x v="0"/>
    <m/>
    <m/>
    <m/>
    <m/>
    <m/>
    <m/>
    <n v="0"/>
    <n v="0"/>
    <n v="0"/>
    <n v="0"/>
    <n v="232"/>
    <n v="203"/>
    <m/>
    <m/>
    <m/>
    <m/>
    <m/>
    <m/>
    <m/>
    <n v="1"/>
    <n v="1065"/>
    <n v="0"/>
    <n v="0"/>
    <n v="1"/>
    <n v="1065"/>
    <n v="4.26"/>
    <n v="0"/>
    <n v="0"/>
    <n v="0"/>
    <n v="4"/>
    <n v="0"/>
    <n v="0"/>
    <n v="0"/>
    <n v="178"/>
    <n v="178"/>
    <n v="1"/>
    <n v="435"/>
    <n v="0"/>
    <n v="435"/>
    <n v="0.40845070422535212"/>
    <n v="0.59154929577464788"/>
    <n v="0.40845070422535212"/>
    <n v="0"/>
    <n v="0"/>
    <n v="0"/>
    <x v="0"/>
    <s v="Village"/>
    <x v="0"/>
    <s v="Muslim"/>
    <n v="20.197549819999999"/>
    <n v="92.785682679999994"/>
    <n v="196156"/>
    <x v="0"/>
    <m/>
  </r>
  <r>
    <x v="0"/>
    <x v="5"/>
    <x v="5"/>
    <s v="EU"/>
    <x v="0"/>
    <x v="4"/>
    <x v="0"/>
    <x v="94"/>
    <n v="326"/>
    <n v="4476"/>
    <d v="2017-01-01T00:00:00"/>
    <d v="2021-12-21T00:00:00"/>
    <m/>
    <m/>
    <m/>
    <m/>
    <m/>
    <m/>
    <m/>
    <m/>
    <m/>
    <x v="0"/>
    <m/>
    <m/>
    <m/>
    <m/>
    <m/>
    <m/>
    <m/>
    <m/>
    <m/>
    <m/>
    <m/>
    <m/>
    <m/>
    <m/>
    <m/>
    <m/>
    <m/>
    <m/>
    <m/>
    <n v="0"/>
    <n v="0"/>
    <n v="0"/>
    <n v="0"/>
    <n v="0"/>
    <n v="0"/>
    <n v="0"/>
    <n v="1"/>
    <n v="4476"/>
    <n v="18"/>
    <n v="18"/>
    <n v="0"/>
    <n v="0"/>
    <n v="0"/>
    <n v="746"/>
    <n v="746"/>
    <n v="1"/>
    <n v="0"/>
    <n v="0"/>
    <n v="0"/>
    <n v="0"/>
    <n v="1"/>
    <n v="0"/>
    <n v="0"/>
    <n v="0"/>
    <n v="0"/>
    <x v="0"/>
    <s v="Village"/>
    <x v="0"/>
    <n v="0"/>
    <n v="20.142469406127901"/>
    <n v="92.863967895507798"/>
    <n v="196203"/>
    <x v="0"/>
    <m/>
  </r>
  <r>
    <x v="0"/>
    <x v="5"/>
    <x v="5"/>
    <s v="EU"/>
    <x v="0"/>
    <x v="4"/>
    <x v="0"/>
    <x v="95"/>
    <n v="335"/>
    <n v="1867"/>
    <d v="2017-01-01T00:00:00"/>
    <d v="2021-12-21T00:00:00"/>
    <m/>
    <m/>
    <m/>
    <m/>
    <m/>
    <m/>
    <m/>
    <m/>
    <m/>
    <x v="0"/>
    <m/>
    <m/>
    <m/>
    <m/>
    <m/>
    <m/>
    <m/>
    <m/>
    <m/>
    <m/>
    <m/>
    <m/>
    <m/>
    <m/>
    <m/>
    <m/>
    <m/>
    <m/>
    <m/>
    <n v="0"/>
    <n v="0"/>
    <n v="0"/>
    <n v="0"/>
    <n v="0"/>
    <n v="0"/>
    <n v="0"/>
    <n v="1"/>
    <n v="1867"/>
    <n v="7"/>
    <n v="7"/>
    <n v="0"/>
    <n v="0"/>
    <n v="0"/>
    <n v="311"/>
    <n v="311"/>
    <n v="1"/>
    <n v="0"/>
    <n v="0"/>
    <n v="0"/>
    <n v="0"/>
    <n v="1"/>
    <n v="0"/>
    <n v="0"/>
    <n v="0"/>
    <n v="0"/>
    <x v="0"/>
    <s v="Village"/>
    <x v="0"/>
    <n v="0"/>
    <n v="20.170469284057599"/>
    <n v="92.8343505859375"/>
    <n v="196202"/>
    <x v="0"/>
    <m/>
  </r>
  <r>
    <x v="0"/>
    <x v="5"/>
    <x v="5"/>
    <s v="EU"/>
    <x v="0"/>
    <x v="4"/>
    <x v="0"/>
    <x v="96"/>
    <n v="863"/>
    <n v="3768"/>
    <d v="2017-01-01T00:00:00"/>
    <d v="2021-12-21T00:00:00"/>
    <m/>
    <m/>
    <m/>
    <m/>
    <m/>
    <m/>
    <m/>
    <m/>
    <m/>
    <x v="0"/>
    <m/>
    <m/>
    <m/>
    <m/>
    <m/>
    <m/>
    <m/>
    <m/>
    <m/>
    <m/>
    <m/>
    <m/>
    <m/>
    <m/>
    <m/>
    <m/>
    <m/>
    <m/>
    <m/>
    <n v="0"/>
    <n v="0"/>
    <n v="0"/>
    <n v="0"/>
    <n v="0"/>
    <n v="0"/>
    <n v="0"/>
    <n v="1"/>
    <n v="3768"/>
    <n v="15"/>
    <n v="15"/>
    <n v="0"/>
    <n v="0"/>
    <n v="0"/>
    <n v="628"/>
    <n v="628"/>
    <n v="1"/>
    <n v="0"/>
    <n v="0"/>
    <n v="0"/>
    <n v="0"/>
    <n v="1"/>
    <n v="0"/>
    <n v="0"/>
    <n v="0"/>
    <n v="0"/>
    <x v="0"/>
    <s v="Village"/>
    <x v="0"/>
    <n v="0"/>
    <n v="20.168970108032202"/>
    <n v="92.826896667480497"/>
    <n v="196206"/>
    <x v="0"/>
    <m/>
  </r>
  <r>
    <x v="0"/>
    <x v="5"/>
    <x v="5"/>
    <s v="EU"/>
    <x v="0"/>
    <x v="4"/>
    <x v="0"/>
    <x v="97"/>
    <n v="310"/>
    <n v="1750"/>
    <d v="2017-01-01T00:00:00"/>
    <d v="2021-12-21T00:00:00"/>
    <m/>
    <m/>
    <m/>
    <m/>
    <m/>
    <m/>
    <m/>
    <m/>
    <m/>
    <x v="0"/>
    <m/>
    <m/>
    <m/>
    <m/>
    <m/>
    <m/>
    <m/>
    <m/>
    <m/>
    <m/>
    <m/>
    <m/>
    <m/>
    <m/>
    <m/>
    <m/>
    <m/>
    <m/>
    <m/>
    <n v="0"/>
    <n v="0"/>
    <n v="0"/>
    <n v="0"/>
    <n v="0"/>
    <n v="0"/>
    <n v="0"/>
    <n v="1"/>
    <n v="1750"/>
    <n v="7"/>
    <n v="7"/>
    <n v="0"/>
    <n v="0"/>
    <n v="0"/>
    <n v="292"/>
    <n v="292"/>
    <n v="1"/>
    <n v="0"/>
    <n v="0"/>
    <n v="0"/>
    <n v="0"/>
    <n v="1"/>
    <n v="0"/>
    <n v="0"/>
    <n v="0"/>
    <n v="0"/>
    <x v="0"/>
    <s v="Village"/>
    <x v="0"/>
    <n v="0"/>
    <n v="0"/>
    <n v="0"/>
    <n v="0"/>
    <x v="0"/>
    <m/>
  </r>
  <r>
    <x v="0"/>
    <x v="5"/>
    <x v="5"/>
    <s v="EU"/>
    <x v="0"/>
    <x v="5"/>
    <x v="0"/>
    <x v="98"/>
    <n v="125"/>
    <n v="513"/>
    <d v="2017-01-01T00:00:00"/>
    <d v="2021-12-21T00:00:00"/>
    <m/>
    <m/>
    <m/>
    <m/>
    <m/>
    <m/>
    <m/>
    <m/>
    <m/>
    <x v="0"/>
    <m/>
    <m/>
    <m/>
    <m/>
    <m/>
    <m/>
    <m/>
    <m/>
    <m/>
    <m/>
    <m/>
    <m/>
    <m/>
    <m/>
    <m/>
    <m/>
    <m/>
    <m/>
    <m/>
    <n v="0"/>
    <n v="0"/>
    <n v="0"/>
    <n v="0"/>
    <n v="0"/>
    <n v="0"/>
    <n v="0"/>
    <n v="1"/>
    <n v="513"/>
    <n v="2"/>
    <n v="2"/>
    <n v="0"/>
    <n v="0"/>
    <n v="0"/>
    <n v="86"/>
    <n v="86"/>
    <n v="1"/>
    <n v="0"/>
    <n v="0"/>
    <n v="0"/>
    <n v="0"/>
    <n v="1"/>
    <n v="0"/>
    <n v="0"/>
    <n v="0"/>
    <n v="0"/>
    <x v="0"/>
    <s v="Village"/>
    <x v="2"/>
    <s v="Muslim"/>
    <n v="20.39902"/>
    <n v="93.249669999999995"/>
    <s v="MMR012CMP003"/>
    <x v="0"/>
    <m/>
  </r>
  <r>
    <x v="0"/>
    <x v="5"/>
    <x v="5"/>
    <s v="BMZ"/>
    <x v="0"/>
    <x v="4"/>
    <x v="0"/>
    <x v="99"/>
    <n v="92"/>
    <n v="715"/>
    <d v="2017-01-01T00:00:00"/>
    <d v="2021-12-21T00:00:00"/>
    <m/>
    <m/>
    <m/>
    <m/>
    <m/>
    <m/>
    <m/>
    <m/>
    <m/>
    <x v="0"/>
    <m/>
    <m/>
    <m/>
    <m/>
    <m/>
    <m/>
    <m/>
    <m/>
    <m/>
    <m/>
    <m/>
    <m/>
    <m/>
    <m/>
    <m/>
    <m/>
    <m/>
    <m/>
    <m/>
    <n v="0"/>
    <n v="0"/>
    <n v="0"/>
    <n v="0"/>
    <n v="0"/>
    <n v="0"/>
    <n v="0"/>
    <n v="1"/>
    <n v="715"/>
    <n v="3"/>
    <n v="3"/>
    <n v="0"/>
    <n v="0"/>
    <n v="0"/>
    <n v="119"/>
    <n v="119"/>
    <n v="1"/>
    <n v="0"/>
    <n v="0"/>
    <n v="0"/>
    <n v="0"/>
    <n v="1"/>
    <n v="0"/>
    <n v="0"/>
    <n v="0"/>
    <n v="0"/>
    <x v="0"/>
    <s v="Village"/>
    <x v="0"/>
    <n v="0"/>
    <n v="20.172649383544901"/>
    <n v="92.874351501464801"/>
    <n v="196195"/>
    <x v="0"/>
    <m/>
  </r>
  <r>
    <x v="0"/>
    <x v="5"/>
    <x v="5"/>
    <s v="BMZ"/>
    <x v="0"/>
    <x v="4"/>
    <x v="0"/>
    <x v="100"/>
    <n v="381"/>
    <n v="2256"/>
    <d v="2017-01-01T00:00:00"/>
    <d v="2021-12-21T00:00:00"/>
    <m/>
    <m/>
    <m/>
    <m/>
    <m/>
    <m/>
    <m/>
    <m/>
    <m/>
    <x v="0"/>
    <m/>
    <m/>
    <m/>
    <m/>
    <m/>
    <m/>
    <m/>
    <m/>
    <m/>
    <m/>
    <m/>
    <m/>
    <m/>
    <m/>
    <m/>
    <m/>
    <m/>
    <m/>
    <m/>
    <n v="0"/>
    <n v="0"/>
    <n v="0"/>
    <n v="0"/>
    <n v="0"/>
    <n v="0"/>
    <n v="0"/>
    <n v="1"/>
    <n v="2256"/>
    <n v="9"/>
    <n v="9"/>
    <n v="0"/>
    <n v="0"/>
    <n v="0"/>
    <n v="376"/>
    <n v="376"/>
    <n v="1"/>
    <n v="0"/>
    <n v="0"/>
    <n v="0"/>
    <n v="0"/>
    <n v="1"/>
    <n v="0"/>
    <n v="0"/>
    <n v="0"/>
    <n v="0"/>
    <x v="0"/>
    <s v="Village"/>
    <x v="0"/>
    <n v="0"/>
    <n v="20.183790210000002"/>
    <n v="92.864143369999994"/>
    <n v="196197"/>
    <x v="0"/>
    <m/>
  </r>
  <r>
    <x v="0"/>
    <x v="5"/>
    <x v="5"/>
    <s v="BMZ"/>
    <x v="0"/>
    <x v="4"/>
    <x v="0"/>
    <x v="101"/>
    <n v="2100"/>
    <n v="12993"/>
    <d v="2017-01-01T00:00:00"/>
    <d v="2021-12-21T00:00:00"/>
    <m/>
    <m/>
    <m/>
    <m/>
    <m/>
    <m/>
    <m/>
    <m/>
    <m/>
    <x v="0"/>
    <m/>
    <m/>
    <m/>
    <m/>
    <m/>
    <m/>
    <m/>
    <m/>
    <m/>
    <m/>
    <m/>
    <m/>
    <m/>
    <m/>
    <m/>
    <m/>
    <m/>
    <m/>
    <m/>
    <n v="0"/>
    <n v="0"/>
    <n v="0"/>
    <n v="0"/>
    <n v="0"/>
    <n v="0"/>
    <n v="0"/>
    <n v="1"/>
    <n v="12993"/>
    <n v="52"/>
    <n v="52"/>
    <n v="0"/>
    <n v="0"/>
    <n v="0"/>
    <n v="2166"/>
    <n v="2166"/>
    <n v="1"/>
    <n v="0"/>
    <n v="0"/>
    <n v="0"/>
    <n v="0"/>
    <n v="1"/>
    <n v="0"/>
    <n v="0"/>
    <n v="0"/>
    <n v="0"/>
    <x v="0"/>
    <s v="Village"/>
    <x v="0"/>
    <s v="Muslim"/>
    <n v="0"/>
    <n v="0"/>
    <n v="0"/>
    <x v="0"/>
    <m/>
  </r>
  <r>
    <x v="0"/>
    <x v="5"/>
    <x v="5"/>
    <s v="EU"/>
    <x v="0"/>
    <x v="5"/>
    <x v="0"/>
    <x v="102"/>
    <n v="325"/>
    <n v="1923"/>
    <d v="2017-01-01T00:00:00"/>
    <d v="2021-12-21T00:00:00"/>
    <m/>
    <m/>
    <m/>
    <m/>
    <m/>
    <m/>
    <m/>
    <m/>
    <m/>
    <x v="0"/>
    <m/>
    <m/>
    <m/>
    <m/>
    <m/>
    <m/>
    <m/>
    <m/>
    <m/>
    <m/>
    <m/>
    <m/>
    <m/>
    <m/>
    <m/>
    <m/>
    <m/>
    <m/>
    <m/>
    <n v="0"/>
    <n v="0"/>
    <n v="0"/>
    <n v="0"/>
    <n v="0"/>
    <n v="0"/>
    <n v="0"/>
    <n v="1"/>
    <n v="1923"/>
    <n v="8"/>
    <n v="8"/>
    <n v="0"/>
    <n v="0"/>
    <n v="0"/>
    <n v="321"/>
    <n v="321"/>
    <n v="1"/>
    <n v="0"/>
    <n v="0"/>
    <n v="0"/>
    <n v="0"/>
    <n v="1"/>
    <n v="0"/>
    <n v="0"/>
    <n v="0"/>
    <n v="0"/>
    <x v="0"/>
    <s v="Village"/>
    <x v="0"/>
    <s v="Muslim"/>
    <n v="0"/>
    <n v="0"/>
    <n v="196999"/>
    <x v="0"/>
    <m/>
  </r>
  <r>
    <x v="0"/>
    <x v="5"/>
    <x v="5"/>
    <s v="EU"/>
    <x v="0"/>
    <x v="5"/>
    <x v="0"/>
    <x v="103"/>
    <n v="146"/>
    <n v="801"/>
    <d v="2017-01-01T00:00:00"/>
    <d v="2021-12-21T00:00:00"/>
    <m/>
    <m/>
    <m/>
    <m/>
    <m/>
    <m/>
    <m/>
    <m/>
    <m/>
    <x v="0"/>
    <m/>
    <m/>
    <m/>
    <m/>
    <m/>
    <m/>
    <m/>
    <m/>
    <m/>
    <m/>
    <m/>
    <m/>
    <m/>
    <m/>
    <m/>
    <m/>
    <m/>
    <m/>
    <m/>
    <n v="0"/>
    <n v="0"/>
    <n v="0"/>
    <n v="0"/>
    <n v="0"/>
    <n v="0"/>
    <n v="0"/>
    <n v="1"/>
    <n v="801"/>
    <n v="3"/>
    <n v="3"/>
    <n v="0"/>
    <n v="0"/>
    <n v="0"/>
    <n v="134"/>
    <n v="134"/>
    <n v="1"/>
    <n v="0"/>
    <n v="0"/>
    <n v="0"/>
    <n v="0"/>
    <n v="1"/>
    <n v="0"/>
    <n v="0"/>
    <n v="0"/>
    <n v="0"/>
    <x v="0"/>
    <s v="Village"/>
    <x v="0"/>
    <n v="0"/>
    <n v="0"/>
    <n v="0"/>
    <n v="197017"/>
    <x v="0"/>
    <m/>
  </r>
  <r>
    <x v="0"/>
    <x v="5"/>
    <x v="5"/>
    <s v="EU"/>
    <x v="0"/>
    <x v="5"/>
    <x v="0"/>
    <x v="104"/>
    <n v="31"/>
    <n v="156"/>
    <d v="2017-01-01T00:00:00"/>
    <d v="2021-12-21T00:00:00"/>
    <m/>
    <m/>
    <m/>
    <m/>
    <m/>
    <m/>
    <m/>
    <m/>
    <m/>
    <x v="0"/>
    <m/>
    <m/>
    <m/>
    <m/>
    <m/>
    <m/>
    <m/>
    <m/>
    <m/>
    <m/>
    <m/>
    <m/>
    <m/>
    <m/>
    <m/>
    <m/>
    <m/>
    <m/>
    <m/>
    <n v="0"/>
    <n v="0"/>
    <n v="0"/>
    <n v="0"/>
    <n v="0"/>
    <n v="0"/>
    <n v="0"/>
    <n v="1"/>
    <n v="156"/>
    <n v="1"/>
    <n v="1"/>
    <n v="0"/>
    <n v="0"/>
    <n v="0"/>
    <n v="26"/>
    <n v="26"/>
    <n v="1"/>
    <n v="0"/>
    <n v="0"/>
    <n v="0"/>
    <n v="0"/>
    <n v="1"/>
    <n v="0"/>
    <n v="0"/>
    <n v="0"/>
    <n v="0"/>
    <x v="0"/>
    <s v="Village"/>
    <x v="0"/>
    <n v="0"/>
    <n v="0"/>
    <n v="0"/>
    <n v="197022"/>
    <x v="0"/>
    <m/>
  </r>
  <r>
    <x v="0"/>
    <x v="5"/>
    <x v="5"/>
    <s v="EU"/>
    <x v="0"/>
    <x v="5"/>
    <x v="0"/>
    <x v="105"/>
    <n v="96"/>
    <n v="329"/>
    <d v="2017-01-01T00:00:00"/>
    <d v="2021-12-21T00:00:00"/>
    <m/>
    <m/>
    <m/>
    <m/>
    <m/>
    <m/>
    <m/>
    <m/>
    <m/>
    <x v="0"/>
    <m/>
    <m/>
    <m/>
    <m/>
    <m/>
    <m/>
    <m/>
    <m/>
    <m/>
    <m/>
    <m/>
    <m/>
    <m/>
    <m/>
    <m/>
    <m/>
    <m/>
    <m/>
    <m/>
    <n v="0"/>
    <n v="0"/>
    <n v="0"/>
    <n v="0"/>
    <n v="0"/>
    <n v="0"/>
    <n v="0"/>
    <n v="1"/>
    <n v="329"/>
    <n v="1"/>
    <n v="1"/>
    <n v="0"/>
    <n v="0"/>
    <n v="0"/>
    <n v="55"/>
    <n v="55"/>
    <n v="1"/>
    <n v="0"/>
    <n v="0"/>
    <n v="0"/>
    <n v="0"/>
    <n v="1"/>
    <n v="0"/>
    <n v="0"/>
    <n v="0"/>
    <n v="0"/>
    <x v="0"/>
    <s v="Village"/>
    <x v="0"/>
    <n v="0"/>
    <n v="0"/>
    <n v="0"/>
    <n v="197020"/>
    <x v="0"/>
    <m/>
  </r>
  <r>
    <x v="0"/>
    <x v="5"/>
    <x v="5"/>
    <s v="EU"/>
    <x v="0"/>
    <x v="5"/>
    <x v="0"/>
    <x v="106"/>
    <n v="37"/>
    <n v="119"/>
    <d v="2017-01-01T00:00:00"/>
    <d v="2021-12-21T00:00:00"/>
    <m/>
    <m/>
    <m/>
    <m/>
    <m/>
    <m/>
    <m/>
    <m/>
    <m/>
    <x v="0"/>
    <m/>
    <m/>
    <m/>
    <m/>
    <m/>
    <m/>
    <m/>
    <m/>
    <m/>
    <m/>
    <m/>
    <m/>
    <m/>
    <m/>
    <m/>
    <m/>
    <m/>
    <m/>
    <m/>
    <n v="0"/>
    <n v="0"/>
    <n v="0"/>
    <n v="0"/>
    <n v="0"/>
    <n v="0"/>
    <n v="0"/>
    <n v="1"/>
    <n v="119"/>
    <n v="1"/>
    <n v="1"/>
    <n v="0"/>
    <n v="0"/>
    <n v="0"/>
    <n v="20"/>
    <n v="20"/>
    <n v="1"/>
    <n v="0"/>
    <n v="0"/>
    <n v="0"/>
    <n v="0"/>
    <n v="1"/>
    <n v="0"/>
    <n v="0"/>
    <n v="0"/>
    <n v="0"/>
    <x v="0"/>
    <s v="Village"/>
    <x v="0"/>
    <n v="0"/>
    <n v="0"/>
    <n v="0"/>
    <n v="197027"/>
    <x v="0"/>
    <m/>
  </r>
  <r>
    <x v="0"/>
    <x v="5"/>
    <x v="5"/>
    <s v="EU"/>
    <x v="0"/>
    <x v="5"/>
    <x v="0"/>
    <x v="107"/>
    <n v="167"/>
    <n v="1027"/>
    <d v="2017-01-01T00:00:00"/>
    <d v="2021-12-21T00:00:00"/>
    <m/>
    <m/>
    <m/>
    <m/>
    <m/>
    <m/>
    <m/>
    <m/>
    <m/>
    <x v="0"/>
    <m/>
    <m/>
    <m/>
    <m/>
    <m/>
    <m/>
    <m/>
    <m/>
    <m/>
    <m/>
    <m/>
    <m/>
    <m/>
    <m/>
    <m/>
    <m/>
    <m/>
    <m/>
    <m/>
    <n v="0"/>
    <n v="0"/>
    <n v="0"/>
    <n v="0"/>
    <n v="0"/>
    <n v="0"/>
    <n v="0"/>
    <n v="1"/>
    <n v="1027"/>
    <n v="4"/>
    <n v="4"/>
    <n v="0"/>
    <n v="0"/>
    <n v="0"/>
    <n v="171"/>
    <n v="171"/>
    <n v="1"/>
    <n v="0"/>
    <n v="0"/>
    <n v="0"/>
    <n v="0"/>
    <n v="1"/>
    <n v="0"/>
    <n v="0"/>
    <n v="0"/>
    <n v="0"/>
    <x v="0"/>
    <s v="Village"/>
    <x v="0"/>
    <n v="0"/>
    <n v="0"/>
    <n v="0"/>
    <n v="197028"/>
    <x v="0"/>
    <m/>
  </r>
  <r>
    <x v="0"/>
    <x v="5"/>
    <x v="5"/>
    <s v="EU"/>
    <x v="0"/>
    <x v="5"/>
    <x v="0"/>
    <x v="108"/>
    <n v="90"/>
    <n v="414"/>
    <d v="2017-01-01T00:00:00"/>
    <d v="2021-12-21T00:00:00"/>
    <m/>
    <m/>
    <m/>
    <m/>
    <m/>
    <m/>
    <m/>
    <m/>
    <m/>
    <x v="0"/>
    <m/>
    <m/>
    <m/>
    <m/>
    <m/>
    <m/>
    <m/>
    <m/>
    <m/>
    <m/>
    <m/>
    <m/>
    <m/>
    <m/>
    <m/>
    <m/>
    <m/>
    <m/>
    <m/>
    <n v="0"/>
    <n v="0"/>
    <n v="0"/>
    <n v="0"/>
    <n v="0"/>
    <n v="0"/>
    <n v="0"/>
    <n v="1"/>
    <n v="414"/>
    <n v="2"/>
    <n v="2"/>
    <n v="0"/>
    <n v="0"/>
    <n v="0"/>
    <n v="69"/>
    <n v="69"/>
    <n v="1"/>
    <n v="0"/>
    <n v="0"/>
    <n v="0"/>
    <n v="0"/>
    <n v="1"/>
    <n v="0"/>
    <n v="0"/>
    <n v="0"/>
    <n v="0"/>
    <x v="0"/>
    <s v="Village"/>
    <x v="0"/>
    <n v="0"/>
    <n v="0"/>
    <n v="0"/>
    <n v="197034"/>
    <x v="0"/>
    <m/>
  </r>
  <r>
    <x v="0"/>
    <x v="5"/>
    <x v="5"/>
    <s v="EU"/>
    <x v="0"/>
    <x v="5"/>
    <x v="0"/>
    <x v="109"/>
    <n v="78"/>
    <n v="308"/>
    <d v="2017-01-01T00:00:00"/>
    <d v="2021-12-21T00:00:00"/>
    <m/>
    <m/>
    <m/>
    <m/>
    <m/>
    <m/>
    <m/>
    <m/>
    <m/>
    <x v="0"/>
    <m/>
    <m/>
    <m/>
    <m/>
    <m/>
    <m/>
    <m/>
    <m/>
    <m/>
    <m/>
    <m/>
    <m/>
    <m/>
    <m/>
    <m/>
    <m/>
    <m/>
    <m/>
    <m/>
    <n v="0"/>
    <n v="0"/>
    <n v="0"/>
    <n v="0"/>
    <n v="0"/>
    <n v="0"/>
    <n v="0"/>
    <n v="1"/>
    <n v="308"/>
    <n v="1"/>
    <n v="1"/>
    <n v="0"/>
    <n v="0"/>
    <n v="0"/>
    <n v="51"/>
    <n v="51"/>
    <n v="1"/>
    <n v="0"/>
    <n v="0"/>
    <n v="0"/>
    <n v="0"/>
    <n v="1"/>
    <n v="0"/>
    <n v="0"/>
    <n v="0"/>
    <n v="0"/>
    <x v="0"/>
    <s v="Village"/>
    <x v="0"/>
    <n v="0"/>
    <n v="0"/>
    <n v="0"/>
    <n v="197036"/>
    <x v="0"/>
    <m/>
  </r>
  <r>
    <x v="0"/>
    <x v="5"/>
    <x v="5"/>
    <s v="EU"/>
    <x v="0"/>
    <x v="5"/>
    <x v="0"/>
    <x v="110"/>
    <n v="85"/>
    <n v="413"/>
    <d v="2017-01-01T00:00:00"/>
    <d v="2021-12-21T00:00:00"/>
    <m/>
    <m/>
    <m/>
    <m/>
    <m/>
    <m/>
    <m/>
    <m/>
    <m/>
    <x v="0"/>
    <m/>
    <m/>
    <m/>
    <m/>
    <m/>
    <m/>
    <m/>
    <m/>
    <m/>
    <m/>
    <m/>
    <m/>
    <m/>
    <m/>
    <m/>
    <m/>
    <m/>
    <m/>
    <m/>
    <n v="0"/>
    <n v="0"/>
    <n v="0"/>
    <n v="0"/>
    <n v="0"/>
    <n v="0"/>
    <n v="0"/>
    <n v="1"/>
    <n v="413"/>
    <n v="2"/>
    <n v="2"/>
    <n v="0"/>
    <n v="0"/>
    <n v="0"/>
    <n v="69"/>
    <n v="69"/>
    <n v="1"/>
    <n v="0"/>
    <n v="0"/>
    <n v="0"/>
    <n v="0"/>
    <n v="1"/>
    <n v="0"/>
    <n v="0"/>
    <n v="0"/>
    <n v="0"/>
    <x v="0"/>
    <s v="Village"/>
    <x v="0"/>
    <n v="0"/>
    <n v="0"/>
    <n v="0"/>
    <n v="197033"/>
    <x v="0"/>
    <m/>
  </r>
  <r>
    <x v="0"/>
    <x v="5"/>
    <x v="5"/>
    <s v="EU"/>
    <x v="0"/>
    <x v="5"/>
    <x v="0"/>
    <x v="111"/>
    <n v="353"/>
    <n v="2111"/>
    <d v="2017-01-01T00:00:00"/>
    <d v="2021-12-21T00:00:00"/>
    <m/>
    <m/>
    <m/>
    <m/>
    <m/>
    <m/>
    <m/>
    <m/>
    <m/>
    <x v="0"/>
    <m/>
    <m/>
    <m/>
    <m/>
    <m/>
    <m/>
    <m/>
    <m/>
    <m/>
    <m/>
    <m/>
    <m/>
    <m/>
    <m/>
    <m/>
    <m/>
    <m/>
    <m/>
    <m/>
    <n v="0"/>
    <n v="0"/>
    <n v="0"/>
    <n v="0"/>
    <n v="0"/>
    <n v="0"/>
    <n v="0"/>
    <n v="1"/>
    <n v="2111"/>
    <n v="8"/>
    <n v="8"/>
    <n v="0"/>
    <n v="0"/>
    <n v="0"/>
    <n v="352"/>
    <n v="352"/>
    <n v="1"/>
    <n v="0"/>
    <n v="0"/>
    <n v="0"/>
    <n v="0"/>
    <n v="1"/>
    <n v="0"/>
    <n v="0"/>
    <n v="0"/>
    <n v="0"/>
    <x v="0"/>
    <s v="Village"/>
    <x v="0"/>
    <n v="0"/>
    <n v="0"/>
    <n v="0"/>
    <n v="197040"/>
    <x v="0"/>
    <m/>
  </r>
  <r>
    <x v="0"/>
    <x v="5"/>
    <x v="5"/>
    <s v="EU"/>
    <x v="0"/>
    <x v="5"/>
    <x v="0"/>
    <x v="112"/>
    <n v="295"/>
    <n v="1698"/>
    <d v="2017-01-01T00:00:00"/>
    <d v="2021-12-21T00:00:00"/>
    <m/>
    <m/>
    <m/>
    <m/>
    <m/>
    <m/>
    <m/>
    <m/>
    <m/>
    <x v="0"/>
    <m/>
    <m/>
    <m/>
    <m/>
    <m/>
    <m/>
    <m/>
    <m/>
    <m/>
    <m/>
    <m/>
    <m/>
    <m/>
    <m/>
    <m/>
    <m/>
    <m/>
    <m/>
    <m/>
    <n v="0"/>
    <n v="0"/>
    <n v="0"/>
    <n v="0"/>
    <n v="0"/>
    <n v="0"/>
    <n v="0"/>
    <n v="1"/>
    <n v="1698"/>
    <n v="7"/>
    <n v="7"/>
    <n v="0"/>
    <n v="0"/>
    <n v="0"/>
    <n v="283"/>
    <n v="283"/>
    <n v="1"/>
    <n v="0"/>
    <n v="0"/>
    <n v="0"/>
    <n v="0"/>
    <n v="1"/>
    <n v="0"/>
    <n v="0"/>
    <n v="0"/>
    <n v="0"/>
    <x v="0"/>
    <s v="Village"/>
    <x v="0"/>
    <n v="0"/>
    <n v="0"/>
    <n v="0"/>
    <n v="197039"/>
    <x v="0"/>
    <m/>
  </r>
  <r>
    <x v="0"/>
    <x v="5"/>
    <x v="5"/>
    <s v="EU"/>
    <x v="0"/>
    <x v="5"/>
    <x v="0"/>
    <x v="113"/>
    <n v="140"/>
    <n v="985"/>
    <d v="2017-01-01T00:00:00"/>
    <d v="2021-12-21T00:00:00"/>
    <m/>
    <m/>
    <m/>
    <m/>
    <m/>
    <m/>
    <m/>
    <m/>
    <m/>
    <x v="0"/>
    <m/>
    <m/>
    <m/>
    <m/>
    <m/>
    <m/>
    <m/>
    <m/>
    <m/>
    <m/>
    <m/>
    <m/>
    <m/>
    <m/>
    <m/>
    <m/>
    <m/>
    <m/>
    <m/>
    <n v="0"/>
    <n v="0"/>
    <n v="0"/>
    <n v="0"/>
    <n v="0"/>
    <n v="0"/>
    <n v="0"/>
    <n v="1"/>
    <n v="985"/>
    <n v="4"/>
    <n v="4"/>
    <n v="0"/>
    <n v="0"/>
    <n v="0"/>
    <n v="164"/>
    <n v="164"/>
    <n v="1"/>
    <n v="0"/>
    <n v="0"/>
    <n v="0"/>
    <n v="0"/>
    <n v="1"/>
    <n v="0"/>
    <n v="0"/>
    <n v="0"/>
    <n v="0"/>
    <x v="0"/>
    <s v="Village"/>
    <x v="0"/>
    <n v="0"/>
    <n v="0"/>
    <n v="0"/>
    <n v="197041"/>
    <x v="0"/>
    <m/>
  </r>
  <r>
    <x v="0"/>
    <x v="5"/>
    <x v="5"/>
    <s v="EU"/>
    <x v="0"/>
    <x v="5"/>
    <x v="0"/>
    <x v="114"/>
    <n v="157"/>
    <n v="735"/>
    <d v="2017-01-01T00:00:00"/>
    <d v="2021-12-21T00:00:00"/>
    <m/>
    <m/>
    <m/>
    <m/>
    <m/>
    <m/>
    <m/>
    <m/>
    <m/>
    <x v="0"/>
    <m/>
    <m/>
    <m/>
    <m/>
    <m/>
    <m/>
    <m/>
    <m/>
    <m/>
    <m/>
    <m/>
    <m/>
    <m/>
    <m/>
    <m/>
    <m/>
    <m/>
    <m/>
    <m/>
    <n v="0"/>
    <n v="0"/>
    <n v="0"/>
    <n v="0"/>
    <n v="0"/>
    <n v="0"/>
    <n v="0"/>
    <n v="1"/>
    <n v="735"/>
    <n v="3"/>
    <n v="3"/>
    <n v="0"/>
    <n v="0"/>
    <n v="0"/>
    <n v="123"/>
    <n v="123"/>
    <n v="1"/>
    <n v="0"/>
    <n v="0"/>
    <n v="0"/>
    <n v="0"/>
    <n v="1"/>
    <n v="0"/>
    <n v="0"/>
    <n v="0"/>
    <n v="0"/>
    <x v="0"/>
    <s v="Village"/>
    <x v="0"/>
    <n v="0"/>
    <n v="0"/>
    <n v="0"/>
    <n v="197042"/>
    <x v="0"/>
    <m/>
  </r>
  <r>
    <x v="0"/>
    <x v="5"/>
    <x v="5"/>
    <s v="EU"/>
    <x v="0"/>
    <x v="5"/>
    <x v="0"/>
    <x v="115"/>
    <n v="35"/>
    <n v="142"/>
    <d v="2017-01-01T00:00:00"/>
    <d v="2021-12-21T00:00:00"/>
    <m/>
    <m/>
    <m/>
    <m/>
    <m/>
    <m/>
    <m/>
    <m/>
    <m/>
    <x v="0"/>
    <m/>
    <m/>
    <m/>
    <m/>
    <m/>
    <m/>
    <m/>
    <m/>
    <m/>
    <m/>
    <m/>
    <m/>
    <m/>
    <m/>
    <m/>
    <m/>
    <m/>
    <m/>
    <m/>
    <n v="0"/>
    <n v="0"/>
    <n v="0"/>
    <n v="0"/>
    <n v="0"/>
    <n v="0"/>
    <n v="0"/>
    <n v="1"/>
    <n v="142"/>
    <n v="1"/>
    <n v="1"/>
    <n v="0"/>
    <n v="0"/>
    <n v="0"/>
    <n v="24"/>
    <n v="24"/>
    <n v="1"/>
    <n v="0"/>
    <n v="0"/>
    <n v="0"/>
    <n v="0"/>
    <n v="1"/>
    <n v="0"/>
    <n v="0"/>
    <n v="0"/>
    <n v="0"/>
    <x v="0"/>
    <s v="Village"/>
    <x v="0"/>
    <n v="0"/>
    <n v="0"/>
    <n v="0"/>
    <n v="197043"/>
    <x v="0"/>
    <m/>
  </r>
  <r>
    <x v="0"/>
    <x v="5"/>
    <x v="5"/>
    <s v="EU"/>
    <x v="0"/>
    <x v="5"/>
    <x v="0"/>
    <x v="116"/>
    <n v="148"/>
    <n v="630"/>
    <d v="2017-01-01T00:00:00"/>
    <d v="2021-12-21T00:00:00"/>
    <m/>
    <m/>
    <m/>
    <m/>
    <m/>
    <m/>
    <m/>
    <m/>
    <m/>
    <x v="0"/>
    <m/>
    <m/>
    <m/>
    <m/>
    <m/>
    <m/>
    <m/>
    <m/>
    <m/>
    <m/>
    <m/>
    <m/>
    <m/>
    <m/>
    <m/>
    <m/>
    <m/>
    <m/>
    <m/>
    <n v="0"/>
    <n v="0"/>
    <n v="0"/>
    <n v="0"/>
    <n v="0"/>
    <n v="0"/>
    <n v="0"/>
    <n v="1"/>
    <n v="630"/>
    <n v="3"/>
    <n v="3"/>
    <n v="0"/>
    <n v="0"/>
    <n v="0"/>
    <n v="105"/>
    <n v="105"/>
    <n v="1"/>
    <n v="0"/>
    <n v="0"/>
    <n v="0"/>
    <n v="0"/>
    <n v="1"/>
    <n v="0"/>
    <n v="0"/>
    <n v="0"/>
    <n v="0"/>
    <x v="0"/>
    <s v="Village"/>
    <x v="0"/>
    <n v="0"/>
    <n v="0"/>
    <n v="0"/>
    <n v="197089"/>
    <x v="0"/>
    <m/>
  </r>
  <r>
    <x v="0"/>
    <x v="5"/>
    <x v="5"/>
    <s v="EU"/>
    <x v="0"/>
    <x v="5"/>
    <x v="0"/>
    <x v="117"/>
    <n v="135"/>
    <n v="593"/>
    <d v="2017-01-01T00:00:00"/>
    <d v="2021-12-21T00:00:00"/>
    <m/>
    <m/>
    <m/>
    <m/>
    <m/>
    <m/>
    <m/>
    <m/>
    <m/>
    <x v="0"/>
    <m/>
    <m/>
    <m/>
    <m/>
    <m/>
    <m/>
    <m/>
    <m/>
    <m/>
    <m/>
    <m/>
    <m/>
    <m/>
    <m/>
    <m/>
    <m/>
    <m/>
    <m/>
    <m/>
    <n v="0"/>
    <n v="0"/>
    <n v="0"/>
    <n v="0"/>
    <n v="0"/>
    <n v="0"/>
    <n v="0"/>
    <n v="1"/>
    <n v="593"/>
    <n v="2"/>
    <n v="2"/>
    <n v="0"/>
    <n v="0"/>
    <n v="0"/>
    <n v="99"/>
    <n v="99"/>
    <n v="1"/>
    <n v="0"/>
    <n v="0"/>
    <n v="0"/>
    <n v="0"/>
    <n v="1"/>
    <n v="0"/>
    <n v="0"/>
    <n v="0"/>
    <n v="0"/>
    <x v="0"/>
    <s v="Village"/>
    <x v="0"/>
    <n v="0"/>
    <n v="0"/>
    <n v="0"/>
    <n v="197090"/>
    <x v="0"/>
    <m/>
  </r>
  <r>
    <x v="0"/>
    <x v="5"/>
    <x v="5"/>
    <s v="EU"/>
    <x v="0"/>
    <x v="5"/>
    <x v="0"/>
    <x v="118"/>
    <n v="139"/>
    <n v="585"/>
    <d v="2017-01-01T00:00:00"/>
    <d v="2021-12-21T00:00:00"/>
    <m/>
    <m/>
    <m/>
    <m/>
    <m/>
    <m/>
    <m/>
    <m/>
    <m/>
    <x v="0"/>
    <m/>
    <m/>
    <m/>
    <m/>
    <m/>
    <m/>
    <m/>
    <m/>
    <m/>
    <m/>
    <m/>
    <m/>
    <m/>
    <m/>
    <m/>
    <m/>
    <m/>
    <m/>
    <m/>
    <n v="0"/>
    <n v="0"/>
    <n v="0"/>
    <n v="0"/>
    <n v="0"/>
    <n v="0"/>
    <n v="0"/>
    <n v="1"/>
    <n v="585"/>
    <n v="2"/>
    <n v="2"/>
    <n v="0"/>
    <n v="0"/>
    <n v="0"/>
    <n v="98"/>
    <n v="98"/>
    <n v="1"/>
    <n v="0"/>
    <n v="0"/>
    <n v="0"/>
    <n v="0"/>
    <n v="1"/>
    <n v="0"/>
    <n v="0"/>
    <n v="0"/>
    <n v="0"/>
    <x v="0"/>
    <s v="Village"/>
    <x v="0"/>
    <n v="0"/>
    <n v="0"/>
    <n v="0"/>
    <n v="197149"/>
    <x v="0"/>
    <m/>
  </r>
  <r>
    <x v="0"/>
    <x v="5"/>
    <x v="5"/>
    <s v="EU"/>
    <x v="0"/>
    <x v="5"/>
    <x v="0"/>
    <x v="119"/>
    <n v="408"/>
    <n v="2009"/>
    <d v="2017-01-01T00:00:00"/>
    <d v="2021-12-21T00:00:00"/>
    <m/>
    <m/>
    <m/>
    <m/>
    <m/>
    <m/>
    <m/>
    <m/>
    <m/>
    <x v="0"/>
    <m/>
    <m/>
    <m/>
    <m/>
    <m/>
    <m/>
    <m/>
    <m/>
    <m/>
    <m/>
    <m/>
    <m/>
    <m/>
    <m/>
    <m/>
    <m/>
    <m/>
    <m/>
    <m/>
    <n v="0"/>
    <n v="0"/>
    <n v="0"/>
    <n v="0"/>
    <n v="0"/>
    <n v="0"/>
    <n v="0"/>
    <n v="1"/>
    <n v="2009"/>
    <n v="8"/>
    <n v="8"/>
    <n v="0"/>
    <n v="0"/>
    <n v="0"/>
    <n v="335"/>
    <n v="335"/>
    <n v="1"/>
    <n v="0"/>
    <n v="0"/>
    <n v="0"/>
    <n v="0"/>
    <n v="1"/>
    <n v="0"/>
    <n v="0"/>
    <n v="0"/>
    <n v="0"/>
    <x v="0"/>
    <s v="Village"/>
    <x v="2"/>
    <s v="Muslim"/>
    <n v="20.480898"/>
    <n v="93.299485000000004"/>
    <s v="MMR012CMP006"/>
    <x v="0"/>
    <m/>
  </r>
  <r>
    <x v="0"/>
    <x v="5"/>
    <x v="5"/>
    <s v="EU"/>
    <x v="0"/>
    <x v="5"/>
    <x v="0"/>
    <x v="120"/>
    <n v="47"/>
    <n v="190"/>
    <d v="2017-01-01T00:00:00"/>
    <d v="2021-12-21T00:00:00"/>
    <m/>
    <m/>
    <m/>
    <m/>
    <m/>
    <m/>
    <m/>
    <m/>
    <m/>
    <x v="0"/>
    <m/>
    <m/>
    <m/>
    <m/>
    <m/>
    <m/>
    <m/>
    <m/>
    <m/>
    <m/>
    <m/>
    <m/>
    <m/>
    <m/>
    <m/>
    <m/>
    <m/>
    <m/>
    <m/>
    <n v="0"/>
    <n v="0"/>
    <n v="0"/>
    <n v="0"/>
    <n v="0"/>
    <n v="0"/>
    <n v="0"/>
    <n v="1"/>
    <n v="190"/>
    <n v="1"/>
    <n v="1"/>
    <n v="0"/>
    <n v="0"/>
    <n v="0"/>
    <n v="32"/>
    <n v="32"/>
    <n v="1"/>
    <n v="0"/>
    <n v="0"/>
    <n v="0"/>
    <n v="0"/>
    <n v="1"/>
    <n v="0"/>
    <n v="0"/>
    <n v="0"/>
    <n v="0"/>
    <x v="0"/>
    <s v="Village"/>
    <x v="0"/>
    <n v="0"/>
    <n v="0"/>
    <n v="0"/>
    <n v="0"/>
    <x v="0"/>
    <m/>
  </r>
  <r>
    <x v="0"/>
    <x v="5"/>
    <x v="5"/>
    <s v="EU"/>
    <x v="0"/>
    <x v="5"/>
    <x v="0"/>
    <x v="121"/>
    <n v="150"/>
    <n v="532"/>
    <d v="2017-01-01T00:00:00"/>
    <d v="2021-12-21T00:00:00"/>
    <m/>
    <m/>
    <m/>
    <m/>
    <m/>
    <m/>
    <m/>
    <m/>
    <m/>
    <x v="0"/>
    <m/>
    <m/>
    <m/>
    <m/>
    <m/>
    <m/>
    <m/>
    <m/>
    <m/>
    <m/>
    <m/>
    <m/>
    <m/>
    <m/>
    <m/>
    <m/>
    <m/>
    <m/>
    <m/>
    <n v="0"/>
    <n v="0"/>
    <n v="0"/>
    <n v="0"/>
    <n v="0"/>
    <n v="0"/>
    <n v="0"/>
    <n v="1"/>
    <n v="532"/>
    <n v="2"/>
    <n v="2"/>
    <n v="0"/>
    <n v="0"/>
    <n v="0"/>
    <n v="89"/>
    <n v="89"/>
    <n v="1"/>
    <n v="0"/>
    <n v="0"/>
    <n v="0"/>
    <n v="0"/>
    <n v="1"/>
    <n v="0"/>
    <n v="0"/>
    <n v="0"/>
    <n v="0"/>
    <x v="0"/>
    <s v="Village"/>
    <x v="0"/>
    <n v="0"/>
    <n v="0"/>
    <n v="0"/>
    <n v="197092"/>
    <x v="0"/>
    <m/>
  </r>
  <r>
    <x v="0"/>
    <x v="5"/>
    <x v="5"/>
    <s v="EU"/>
    <x v="0"/>
    <x v="5"/>
    <x v="0"/>
    <x v="122"/>
    <n v="142"/>
    <n v="542"/>
    <d v="2017-01-01T00:00:00"/>
    <d v="2021-12-21T00:00:00"/>
    <m/>
    <m/>
    <m/>
    <m/>
    <m/>
    <m/>
    <m/>
    <m/>
    <m/>
    <x v="0"/>
    <m/>
    <m/>
    <m/>
    <m/>
    <m/>
    <m/>
    <m/>
    <m/>
    <m/>
    <m/>
    <m/>
    <m/>
    <m/>
    <m/>
    <m/>
    <m/>
    <m/>
    <m/>
    <m/>
    <n v="0"/>
    <n v="0"/>
    <n v="0"/>
    <n v="0"/>
    <n v="0"/>
    <n v="0"/>
    <n v="0"/>
    <n v="1"/>
    <n v="542"/>
    <n v="2"/>
    <n v="2"/>
    <n v="0"/>
    <n v="0"/>
    <n v="0"/>
    <n v="90"/>
    <n v="90"/>
    <n v="1"/>
    <n v="0"/>
    <n v="0"/>
    <n v="0"/>
    <n v="0"/>
    <n v="1"/>
    <n v="0"/>
    <n v="0"/>
    <n v="0"/>
    <n v="0"/>
    <x v="0"/>
    <s v="Village"/>
    <x v="0"/>
    <n v="0"/>
    <n v="0"/>
    <n v="0"/>
    <n v="197100"/>
    <x v="0"/>
    <m/>
  </r>
  <r>
    <x v="0"/>
    <x v="5"/>
    <x v="5"/>
    <s v="EU"/>
    <x v="0"/>
    <x v="5"/>
    <x v="0"/>
    <x v="123"/>
    <n v="290"/>
    <n v="1314"/>
    <d v="2017-01-01T00:00:00"/>
    <d v="2021-12-21T00:00:00"/>
    <m/>
    <m/>
    <m/>
    <m/>
    <m/>
    <m/>
    <m/>
    <m/>
    <m/>
    <x v="0"/>
    <m/>
    <m/>
    <m/>
    <m/>
    <m/>
    <m/>
    <m/>
    <m/>
    <m/>
    <m/>
    <m/>
    <m/>
    <m/>
    <m/>
    <m/>
    <m/>
    <m/>
    <m/>
    <m/>
    <n v="0"/>
    <n v="0"/>
    <n v="0"/>
    <n v="0"/>
    <n v="0"/>
    <n v="0"/>
    <n v="0"/>
    <n v="1"/>
    <n v="1314"/>
    <n v="5"/>
    <n v="5"/>
    <n v="0"/>
    <n v="0"/>
    <n v="0"/>
    <n v="219"/>
    <n v="219"/>
    <n v="1"/>
    <n v="0"/>
    <n v="0"/>
    <n v="0"/>
    <n v="0"/>
    <n v="1"/>
    <n v="0"/>
    <n v="0"/>
    <n v="0"/>
    <n v="0"/>
    <x v="0"/>
    <s v="Village"/>
    <x v="0"/>
    <n v="0"/>
    <n v="0"/>
    <n v="0"/>
    <n v="197099"/>
    <x v="0"/>
    <m/>
  </r>
  <r>
    <x v="0"/>
    <x v="5"/>
    <x v="5"/>
    <s v="EU"/>
    <x v="0"/>
    <x v="5"/>
    <x v="0"/>
    <x v="124"/>
    <n v="215"/>
    <n v="1125"/>
    <d v="2017-01-01T00:00:00"/>
    <d v="2021-12-21T00:00:00"/>
    <m/>
    <m/>
    <m/>
    <m/>
    <m/>
    <m/>
    <m/>
    <m/>
    <m/>
    <x v="0"/>
    <m/>
    <m/>
    <m/>
    <m/>
    <m/>
    <m/>
    <m/>
    <m/>
    <m/>
    <m/>
    <m/>
    <m/>
    <m/>
    <m/>
    <m/>
    <m/>
    <m/>
    <m/>
    <m/>
    <n v="0"/>
    <n v="0"/>
    <n v="0"/>
    <n v="0"/>
    <n v="0"/>
    <n v="0"/>
    <n v="0"/>
    <n v="1"/>
    <n v="1125"/>
    <n v="5"/>
    <n v="5"/>
    <n v="0"/>
    <n v="0"/>
    <n v="0"/>
    <n v="188"/>
    <n v="188"/>
    <n v="1"/>
    <n v="0"/>
    <n v="0"/>
    <n v="0"/>
    <n v="0"/>
    <n v="1"/>
    <n v="0"/>
    <n v="0"/>
    <n v="0"/>
    <n v="0"/>
    <x v="0"/>
    <s v="Village"/>
    <x v="0"/>
    <n v="0"/>
    <n v="0"/>
    <n v="0"/>
    <n v="197102"/>
    <x v="0"/>
    <m/>
  </r>
  <r>
    <x v="0"/>
    <x v="5"/>
    <x v="5"/>
    <s v="EU"/>
    <x v="0"/>
    <x v="5"/>
    <x v="0"/>
    <x v="125"/>
    <n v="181"/>
    <n v="940"/>
    <d v="2017-01-01T00:00:00"/>
    <d v="2021-12-21T00:00:00"/>
    <m/>
    <m/>
    <m/>
    <m/>
    <m/>
    <m/>
    <m/>
    <m/>
    <m/>
    <x v="0"/>
    <m/>
    <m/>
    <m/>
    <m/>
    <m/>
    <m/>
    <m/>
    <m/>
    <m/>
    <m/>
    <m/>
    <m/>
    <m/>
    <m/>
    <m/>
    <m/>
    <m/>
    <m/>
    <m/>
    <n v="0"/>
    <n v="0"/>
    <n v="0"/>
    <n v="0"/>
    <n v="0"/>
    <n v="0"/>
    <n v="0"/>
    <n v="1"/>
    <n v="940"/>
    <n v="4"/>
    <n v="4"/>
    <n v="0"/>
    <n v="0"/>
    <n v="0"/>
    <n v="157"/>
    <n v="157"/>
    <n v="1"/>
    <n v="0"/>
    <n v="0"/>
    <n v="0"/>
    <n v="0"/>
    <n v="1"/>
    <n v="0"/>
    <n v="0"/>
    <n v="0"/>
    <n v="0"/>
    <x v="0"/>
    <s v="Village"/>
    <x v="0"/>
    <n v="0"/>
    <n v="0"/>
    <n v="0"/>
    <n v="220651"/>
    <x v="0"/>
    <m/>
  </r>
  <r>
    <x v="0"/>
    <x v="5"/>
    <x v="5"/>
    <s v="EU"/>
    <x v="0"/>
    <x v="5"/>
    <x v="0"/>
    <x v="126"/>
    <n v="170"/>
    <n v="743"/>
    <d v="2017-01-01T00:00:00"/>
    <d v="2021-12-21T00:00:00"/>
    <m/>
    <m/>
    <m/>
    <m/>
    <m/>
    <m/>
    <m/>
    <m/>
    <m/>
    <x v="0"/>
    <m/>
    <m/>
    <m/>
    <m/>
    <m/>
    <m/>
    <m/>
    <m/>
    <m/>
    <m/>
    <m/>
    <m/>
    <m/>
    <m/>
    <m/>
    <m/>
    <m/>
    <m/>
    <m/>
    <n v="0"/>
    <n v="0"/>
    <n v="0"/>
    <n v="0"/>
    <n v="0"/>
    <n v="0"/>
    <n v="0"/>
    <n v="1"/>
    <n v="743"/>
    <n v="3"/>
    <n v="3"/>
    <n v="0"/>
    <n v="0"/>
    <n v="0"/>
    <n v="124"/>
    <n v="124"/>
    <n v="1"/>
    <n v="0"/>
    <n v="0"/>
    <n v="0"/>
    <n v="0"/>
    <n v="1"/>
    <n v="0"/>
    <n v="0"/>
    <n v="0"/>
    <n v="0"/>
    <x v="0"/>
    <s v="Village"/>
    <x v="0"/>
    <n v="0"/>
    <n v="0"/>
    <n v="0"/>
    <n v="197103"/>
    <x v="0"/>
    <m/>
  </r>
  <r>
    <x v="0"/>
    <x v="5"/>
    <x v="5"/>
    <s v="EU"/>
    <x v="0"/>
    <x v="5"/>
    <x v="0"/>
    <x v="127"/>
    <n v="121"/>
    <n v="421"/>
    <d v="2017-01-01T00:00:00"/>
    <d v="2021-12-21T00:00:00"/>
    <m/>
    <m/>
    <m/>
    <m/>
    <m/>
    <m/>
    <m/>
    <m/>
    <m/>
    <x v="0"/>
    <m/>
    <m/>
    <m/>
    <m/>
    <m/>
    <m/>
    <m/>
    <m/>
    <m/>
    <m/>
    <m/>
    <m/>
    <m/>
    <m/>
    <m/>
    <m/>
    <m/>
    <m/>
    <m/>
    <n v="0"/>
    <n v="0"/>
    <n v="0"/>
    <n v="0"/>
    <n v="0"/>
    <n v="0"/>
    <n v="0"/>
    <n v="1"/>
    <n v="421"/>
    <n v="2"/>
    <n v="2"/>
    <n v="0"/>
    <n v="0"/>
    <n v="0"/>
    <n v="70"/>
    <n v="70"/>
    <n v="1"/>
    <n v="0"/>
    <n v="0"/>
    <n v="0"/>
    <n v="0"/>
    <n v="1"/>
    <n v="0"/>
    <n v="0"/>
    <n v="0"/>
    <n v="0"/>
    <x v="0"/>
    <s v="Village"/>
    <x v="0"/>
    <s v="Mixed"/>
    <n v="20.394809720000001"/>
    <n v="93.251609799999997"/>
    <n v="196994"/>
    <x v="0"/>
    <m/>
  </r>
  <r>
    <x v="0"/>
    <x v="5"/>
    <x v="5"/>
    <s v="EU"/>
    <x v="0"/>
    <x v="5"/>
    <x v="0"/>
    <x v="128"/>
    <n v="203"/>
    <n v="1118"/>
    <d v="2017-01-01T00:00:00"/>
    <d v="2021-12-21T00:00:00"/>
    <m/>
    <m/>
    <m/>
    <m/>
    <m/>
    <m/>
    <m/>
    <m/>
    <m/>
    <x v="0"/>
    <m/>
    <m/>
    <m/>
    <m/>
    <m/>
    <m/>
    <m/>
    <m/>
    <m/>
    <m/>
    <m/>
    <m/>
    <m/>
    <m/>
    <m/>
    <m/>
    <m/>
    <m/>
    <m/>
    <n v="0"/>
    <n v="0"/>
    <n v="0"/>
    <n v="0"/>
    <n v="0"/>
    <n v="0"/>
    <n v="0"/>
    <n v="1"/>
    <n v="1118"/>
    <n v="4"/>
    <n v="4"/>
    <n v="0"/>
    <n v="0"/>
    <n v="0"/>
    <n v="186"/>
    <n v="186"/>
    <n v="1"/>
    <n v="0"/>
    <n v="0"/>
    <n v="0"/>
    <n v="0"/>
    <n v="1"/>
    <n v="0"/>
    <n v="0"/>
    <n v="0"/>
    <n v="0"/>
    <x v="0"/>
    <s v="Village"/>
    <x v="0"/>
    <n v="0"/>
    <n v="0"/>
    <n v="0"/>
    <n v="196997"/>
    <x v="0"/>
    <m/>
  </r>
  <r>
    <x v="0"/>
    <x v="5"/>
    <x v="5"/>
    <s v="EU"/>
    <x v="0"/>
    <x v="5"/>
    <x v="0"/>
    <x v="129"/>
    <n v="31"/>
    <n v="170"/>
    <d v="2017-01-01T00:00:00"/>
    <d v="2021-12-21T00:00:00"/>
    <m/>
    <m/>
    <m/>
    <m/>
    <m/>
    <m/>
    <m/>
    <m/>
    <m/>
    <x v="0"/>
    <m/>
    <m/>
    <m/>
    <m/>
    <m/>
    <m/>
    <m/>
    <m/>
    <m/>
    <m/>
    <m/>
    <m/>
    <m/>
    <m/>
    <m/>
    <m/>
    <m/>
    <m/>
    <m/>
    <n v="0"/>
    <n v="0"/>
    <n v="0"/>
    <n v="0"/>
    <n v="0"/>
    <n v="0"/>
    <n v="0"/>
    <n v="1"/>
    <n v="170"/>
    <n v="1"/>
    <n v="1"/>
    <n v="0"/>
    <n v="0"/>
    <n v="0"/>
    <n v="28"/>
    <n v="28"/>
    <n v="1"/>
    <n v="0"/>
    <n v="0"/>
    <n v="0"/>
    <n v="0"/>
    <n v="1"/>
    <n v="0"/>
    <n v="0"/>
    <n v="0"/>
    <n v="0"/>
    <x v="0"/>
    <s v="Village"/>
    <x v="0"/>
    <s v="Rakhine"/>
    <n v="20.396680830000001"/>
    <n v="93.252868649999996"/>
    <n v="196998"/>
    <x v="0"/>
    <m/>
  </r>
  <r>
    <x v="0"/>
    <x v="5"/>
    <x v="5"/>
    <s v="BMZ"/>
    <x v="0"/>
    <x v="5"/>
    <x v="0"/>
    <x v="130"/>
    <n v="180"/>
    <n v="964"/>
    <d v="2017-01-01T00:00:00"/>
    <d v="2021-12-21T00:00:00"/>
    <m/>
    <m/>
    <m/>
    <m/>
    <m/>
    <m/>
    <m/>
    <m/>
    <m/>
    <x v="0"/>
    <m/>
    <m/>
    <m/>
    <m/>
    <m/>
    <m/>
    <m/>
    <m/>
    <m/>
    <m/>
    <m/>
    <m/>
    <m/>
    <m/>
    <m/>
    <m/>
    <m/>
    <m/>
    <m/>
    <n v="0"/>
    <n v="0"/>
    <n v="0"/>
    <n v="0"/>
    <n v="0"/>
    <n v="0"/>
    <n v="0"/>
    <n v="1"/>
    <n v="964"/>
    <n v="4"/>
    <n v="4"/>
    <n v="0"/>
    <n v="0"/>
    <n v="0"/>
    <n v="161"/>
    <n v="161"/>
    <n v="1"/>
    <n v="0"/>
    <n v="0"/>
    <n v="0"/>
    <n v="0"/>
    <n v="1"/>
    <n v="0"/>
    <n v="0"/>
    <n v="0"/>
    <n v="0"/>
    <x v="0"/>
    <s v="Village"/>
    <x v="0"/>
    <n v="0"/>
    <n v="0"/>
    <n v="0"/>
    <n v="197114"/>
    <x v="0"/>
    <m/>
  </r>
  <r>
    <x v="0"/>
    <x v="5"/>
    <x v="5"/>
    <s v="BMZ"/>
    <x v="0"/>
    <x v="5"/>
    <x v="0"/>
    <x v="131"/>
    <n v="130"/>
    <n v="398"/>
    <d v="2017-01-01T00:00:00"/>
    <d v="2021-12-21T00:00:00"/>
    <m/>
    <m/>
    <m/>
    <m/>
    <m/>
    <m/>
    <m/>
    <m/>
    <m/>
    <x v="0"/>
    <m/>
    <m/>
    <m/>
    <m/>
    <m/>
    <m/>
    <m/>
    <m/>
    <m/>
    <m/>
    <m/>
    <m/>
    <m/>
    <m/>
    <m/>
    <m/>
    <m/>
    <m/>
    <m/>
    <n v="0"/>
    <n v="0"/>
    <n v="0"/>
    <n v="0"/>
    <n v="0"/>
    <n v="0"/>
    <n v="0"/>
    <n v="1"/>
    <n v="398"/>
    <n v="2"/>
    <n v="2"/>
    <n v="0"/>
    <n v="0"/>
    <n v="0"/>
    <n v="66"/>
    <n v="66"/>
    <n v="1"/>
    <n v="0"/>
    <n v="0"/>
    <n v="0"/>
    <n v="0"/>
    <n v="1"/>
    <n v="0"/>
    <n v="0"/>
    <n v="0"/>
    <n v="0"/>
    <x v="0"/>
    <s v="Village"/>
    <x v="0"/>
    <n v="0"/>
    <n v="0"/>
    <n v="0"/>
    <n v="197111"/>
    <x v="0"/>
    <m/>
  </r>
  <r>
    <x v="0"/>
    <x v="5"/>
    <x v="5"/>
    <s v="BMZ"/>
    <x v="0"/>
    <x v="5"/>
    <x v="0"/>
    <x v="132"/>
    <n v="191"/>
    <n v="713"/>
    <d v="2017-01-01T00:00:00"/>
    <d v="2021-12-21T00:00:00"/>
    <m/>
    <m/>
    <m/>
    <m/>
    <m/>
    <m/>
    <m/>
    <m/>
    <m/>
    <x v="0"/>
    <m/>
    <m/>
    <m/>
    <m/>
    <m/>
    <m/>
    <m/>
    <m/>
    <m/>
    <m/>
    <m/>
    <m/>
    <m/>
    <m/>
    <m/>
    <m/>
    <m/>
    <m/>
    <m/>
    <n v="0"/>
    <n v="0"/>
    <n v="0"/>
    <n v="0"/>
    <n v="0"/>
    <n v="0"/>
    <n v="0"/>
    <n v="1"/>
    <n v="713"/>
    <n v="3"/>
    <n v="3"/>
    <n v="0"/>
    <n v="0"/>
    <n v="0"/>
    <n v="119"/>
    <n v="119"/>
    <n v="1"/>
    <n v="0"/>
    <n v="0"/>
    <n v="0"/>
    <n v="0"/>
    <n v="1"/>
    <n v="0"/>
    <n v="0"/>
    <n v="0"/>
    <n v="0"/>
    <x v="0"/>
    <s v="Village"/>
    <x v="0"/>
    <n v="0"/>
    <n v="0"/>
    <n v="0"/>
    <n v="197112"/>
    <x v="0"/>
    <m/>
  </r>
  <r>
    <x v="0"/>
    <x v="5"/>
    <x v="5"/>
    <s v="BMZ"/>
    <x v="0"/>
    <x v="5"/>
    <x v="0"/>
    <x v="133"/>
    <n v="27"/>
    <n v="53"/>
    <d v="2017-01-01T00:00:00"/>
    <d v="2021-12-21T00:00:00"/>
    <m/>
    <m/>
    <m/>
    <m/>
    <m/>
    <m/>
    <m/>
    <m/>
    <m/>
    <x v="0"/>
    <m/>
    <m/>
    <m/>
    <m/>
    <m/>
    <m/>
    <m/>
    <m/>
    <m/>
    <m/>
    <m/>
    <m/>
    <m/>
    <m/>
    <m/>
    <m/>
    <m/>
    <m/>
    <m/>
    <n v="0"/>
    <n v="0"/>
    <n v="0"/>
    <n v="0"/>
    <n v="0"/>
    <n v="0"/>
    <n v="0"/>
    <n v="1"/>
    <n v="53"/>
    <n v="1"/>
    <n v="1"/>
    <n v="0"/>
    <n v="0"/>
    <n v="0"/>
    <n v="9"/>
    <n v="9"/>
    <n v="1"/>
    <n v="0"/>
    <n v="0"/>
    <n v="0"/>
    <n v="0"/>
    <n v="1"/>
    <n v="0"/>
    <n v="0"/>
    <n v="0"/>
    <n v="0"/>
    <x v="0"/>
    <s v="Village"/>
    <x v="0"/>
    <n v="0"/>
    <n v="0"/>
    <n v="0"/>
    <n v="220653"/>
    <x v="0"/>
    <m/>
  </r>
  <r>
    <x v="0"/>
    <x v="5"/>
    <x v="5"/>
    <s v="BMZ"/>
    <x v="0"/>
    <x v="5"/>
    <x v="0"/>
    <x v="134"/>
    <n v="63"/>
    <n v="249"/>
    <d v="2017-01-01T00:00:00"/>
    <d v="2021-12-21T00:00:00"/>
    <m/>
    <m/>
    <m/>
    <m/>
    <m/>
    <m/>
    <m/>
    <m/>
    <m/>
    <x v="0"/>
    <m/>
    <m/>
    <m/>
    <m/>
    <m/>
    <m/>
    <m/>
    <m/>
    <m/>
    <m/>
    <m/>
    <m/>
    <m/>
    <m/>
    <m/>
    <m/>
    <m/>
    <m/>
    <m/>
    <n v="0"/>
    <n v="0"/>
    <n v="0"/>
    <n v="0"/>
    <n v="0"/>
    <n v="0"/>
    <n v="0"/>
    <n v="1"/>
    <n v="249"/>
    <n v="1"/>
    <n v="1"/>
    <n v="0"/>
    <n v="0"/>
    <n v="0"/>
    <n v="42"/>
    <n v="42"/>
    <n v="1"/>
    <n v="0"/>
    <n v="0"/>
    <n v="0"/>
    <n v="0"/>
    <n v="1"/>
    <n v="0"/>
    <n v="0"/>
    <n v="0"/>
    <n v="0"/>
    <x v="0"/>
    <s v="Village"/>
    <x v="0"/>
    <n v="0"/>
    <n v="0"/>
    <n v="0"/>
    <n v="197110"/>
    <x v="0"/>
    <m/>
  </r>
  <r>
    <x v="0"/>
    <x v="7"/>
    <x v="7"/>
    <s v="DFID/HARP"/>
    <x v="0"/>
    <x v="4"/>
    <x v="0"/>
    <x v="135"/>
    <n v="249"/>
    <n v="1362"/>
    <m/>
    <d v="2020-09-30T00:00:00"/>
    <m/>
    <s v=" -   "/>
    <m/>
    <n v="28"/>
    <m/>
    <m/>
    <m/>
    <m/>
    <m/>
    <x v="0"/>
    <m/>
    <m/>
    <m/>
    <m/>
    <m/>
    <m/>
    <m/>
    <m/>
    <m/>
    <m/>
    <m/>
    <m/>
    <m/>
    <m/>
    <m/>
    <m/>
    <m/>
    <m/>
    <m/>
    <n v="1"/>
    <n v="1362"/>
    <n v="0"/>
    <n v="0"/>
    <n v="1"/>
    <n v="1362"/>
    <n v="5.4480000000000004"/>
    <n v="0"/>
    <n v="0"/>
    <n v="0"/>
    <n v="5"/>
    <n v="0"/>
    <n v="0"/>
    <n v="0"/>
    <n v="227"/>
    <n v="227"/>
    <n v="1"/>
    <n v="0"/>
    <n v="0"/>
    <n v="0"/>
    <n v="0"/>
    <n v="1"/>
    <n v="0"/>
    <n v="0"/>
    <n v="0"/>
    <n v="0"/>
    <x v="0"/>
    <s v="Village"/>
    <x v="1"/>
    <s v="Rakhine"/>
    <n v="20.151471999999998"/>
    <n v="92.887277999999995"/>
    <s v="MMR012CMP111"/>
    <x v="0"/>
    <m/>
  </r>
  <r>
    <x v="0"/>
    <x v="6"/>
    <x v="6"/>
    <s v="DFID/HARP"/>
    <x v="0"/>
    <x v="4"/>
    <x v="0"/>
    <x v="136"/>
    <n v="420"/>
    <n v="2179"/>
    <m/>
    <d v="2020-09-30T00:00:00"/>
    <m/>
    <s v=" -   "/>
    <m/>
    <n v="0"/>
    <m/>
    <m/>
    <m/>
    <m/>
    <m/>
    <x v="0"/>
    <m/>
    <m/>
    <m/>
    <m/>
    <m/>
    <m/>
    <m/>
    <m/>
    <m/>
    <m/>
    <m/>
    <m/>
    <m/>
    <m/>
    <m/>
    <m/>
    <m/>
    <m/>
    <m/>
    <n v="0"/>
    <n v="0"/>
    <n v="0"/>
    <n v="0"/>
    <n v="0"/>
    <n v="0"/>
    <n v="0"/>
    <n v="1"/>
    <n v="2179"/>
    <n v="9"/>
    <n v="9"/>
    <n v="0"/>
    <n v="0"/>
    <n v="0"/>
    <n v="363"/>
    <n v="363"/>
    <n v="1"/>
    <n v="0"/>
    <n v="0"/>
    <n v="0"/>
    <n v="0"/>
    <n v="1"/>
    <n v="0"/>
    <n v="0"/>
    <n v="0"/>
    <n v="0"/>
    <x v="0"/>
    <s v="Village"/>
    <x v="1"/>
    <s v="Rakhine"/>
    <n v="20.151471999999998"/>
    <n v="92.887277999999995"/>
    <s v="MMR012CMP112"/>
    <x v="0"/>
    <m/>
  </r>
  <r>
    <x v="0"/>
    <x v="6"/>
    <x v="6"/>
    <s v="DFID/HARP"/>
    <x v="0"/>
    <x v="4"/>
    <x v="0"/>
    <x v="79"/>
    <n v="92"/>
    <n v="695"/>
    <m/>
    <d v="2020-09-30T00:00:00"/>
    <m/>
    <s v=" -   "/>
    <m/>
    <n v="7"/>
    <m/>
    <m/>
    <m/>
    <m/>
    <m/>
    <x v="0"/>
    <m/>
    <m/>
    <m/>
    <m/>
    <m/>
    <m/>
    <n v="74"/>
    <n v="597"/>
    <n v="0"/>
    <n v="0"/>
    <n v="0"/>
    <n v="0"/>
    <m/>
    <m/>
    <m/>
    <m/>
    <m/>
    <m/>
    <m/>
    <n v="1"/>
    <n v="695"/>
    <n v="0"/>
    <n v="0"/>
    <n v="1"/>
    <n v="695"/>
    <n v="2.78"/>
    <n v="0"/>
    <n v="0"/>
    <n v="0.2200000000000002"/>
    <n v="3"/>
    <n v="0"/>
    <n v="0"/>
    <n v="0"/>
    <n v="116"/>
    <n v="116"/>
    <n v="1"/>
    <n v="671"/>
    <n v="0"/>
    <n v="671"/>
    <n v="0.96546762589928059"/>
    <n v="3.453237410071941E-2"/>
    <n v="0.96546762589928059"/>
    <n v="0"/>
    <n v="0"/>
    <n v="0"/>
    <x v="0"/>
    <s v="Village"/>
    <x v="0"/>
    <s v="Muslim"/>
    <n v="20.201499999999999"/>
    <n v="92.796599999999998"/>
    <n v="196154"/>
    <x v="0"/>
    <m/>
  </r>
  <r>
    <x v="0"/>
    <x v="6"/>
    <x v="6"/>
    <s v="DFID/HARP"/>
    <x v="0"/>
    <x v="4"/>
    <x v="0"/>
    <x v="137"/>
    <n v="235"/>
    <n v="1390"/>
    <m/>
    <d v="2020-09-30T00:00:00"/>
    <m/>
    <s v=" -   "/>
    <m/>
    <n v="8"/>
    <m/>
    <m/>
    <m/>
    <m/>
    <m/>
    <x v="0"/>
    <m/>
    <m/>
    <m/>
    <m/>
    <m/>
    <m/>
    <n v="128"/>
    <n v="567"/>
    <n v="0"/>
    <n v="0"/>
    <n v="0"/>
    <n v="0"/>
    <m/>
    <m/>
    <m/>
    <m/>
    <m/>
    <m/>
    <m/>
    <n v="1"/>
    <n v="1390"/>
    <n v="0"/>
    <n v="0"/>
    <n v="1"/>
    <n v="1390"/>
    <n v="5.56"/>
    <n v="0"/>
    <n v="0"/>
    <n v="0.44000000000000039"/>
    <n v="6"/>
    <n v="0"/>
    <n v="0"/>
    <n v="0"/>
    <n v="232"/>
    <n v="232"/>
    <n v="1"/>
    <n v="695"/>
    <n v="0"/>
    <n v="695"/>
    <n v="0.5"/>
    <n v="0.5"/>
    <n v="0.5"/>
    <n v="0"/>
    <n v="0"/>
    <n v="0"/>
    <x v="0"/>
    <s v="Village"/>
    <x v="0"/>
    <s v="Muslim"/>
    <n v="20.19171906"/>
    <n v="92.808166499999999"/>
    <n v="196155"/>
    <x v="0"/>
    <m/>
  </r>
  <r>
    <x v="0"/>
    <x v="6"/>
    <x v="6"/>
    <s v="DFID/HARP"/>
    <x v="0"/>
    <x v="4"/>
    <x v="0"/>
    <x v="138"/>
    <n v="72"/>
    <n v="442"/>
    <m/>
    <d v="2020-09-30T00:00:00"/>
    <m/>
    <s v=" -   "/>
    <m/>
    <n v="0"/>
    <m/>
    <m/>
    <m/>
    <m/>
    <m/>
    <x v="0"/>
    <m/>
    <m/>
    <m/>
    <m/>
    <m/>
    <m/>
    <n v="59"/>
    <n v="136"/>
    <n v="57"/>
    <n v="232"/>
    <n v="0"/>
    <n v="0"/>
    <m/>
    <m/>
    <m/>
    <m/>
    <m/>
    <m/>
    <m/>
    <n v="0"/>
    <n v="0"/>
    <n v="0"/>
    <n v="0"/>
    <n v="0"/>
    <n v="0"/>
    <n v="0"/>
    <n v="1"/>
    <n v="442"/>
    <n v="2"/>
    <n v="2"/>
    <n v="0"/>
    <n v="0"/>
    <n v="0"/>
    <n v="74"/>
    <n v="74"/>
    <n v="1"/>
    <n v="442"/>
    <n v="0"/>
    <n v="442"/>
    <n v="1"/>
    <n v="0"/>
    <n v="1"/>
    <n v="0"/>
    <n v="0"/>
    <n v="0"/>
    <x v="0"/>
    <s v="Village"/>
    <x v="1"/>
    <s v="Maramargyi"/>
    <n v="20.148584"/>
    <n v="92.880319999999998"/>
    <s v="MMR012CMP056"/>
    <x v="0"/>
    <m/>
  </r>
  <r>
    <x v="0"/>
    <x v="6"/>
    <x v="6"/>
    <s v="DFID/HARP"/>
    <x v="0"/>
    <x v="4"/>
    <x v="0"/>
    <x v="139"/>
    <n v="151"/>
    <n v="625"/>
    <m/>
    <d v="2020-09-30T00:00:00"/>
    <m/>
    <s v=" -   "/>
    <m/>
    <n v="6"/>
    <m/>
    <m/>
    <m/>
    <m/>
    <m/>
    <x v="0"/>
    <m/>
    <m/>
    <m/>
    <m/>
    <m/>
    <m/>
    <n v="124"/>
    <n v="314"/>
    <n v="32"/>
    <n v="220"/>
    <n v="0"/>
    <n v="0"/>
    <m/>
    <m/>
    <m/>
    <m/>
    <m/>
    <m/>
    <m/>
    <n v="1"/>
    <n v="625"/>
    <n v="0"/>
    <n v="0"/>
    <n v="1"/>
    <n v="625"/>
    <n v="2.5"/>
    <n v="0"/>
    <n v="0"/>
    <n v="0.5"/>
    <n v="3"/>
    <n v="0"/>
    <n v="0"/>
    <n v="0"/>
    <n v="104"/>
    <n v="104"/>
    <n v="1"/>
    <n v="625"/>
    <n v="0"/>
    <n v="625"/>
    <n v="1"/>
    <n v="0"/>
    <n v="1"/>
    <n v="0"/>
    <n v="0"/>
    <n v="0"/>
    <x v="0"/>
    <s v="Village"/>
    <x v="1"/>
    <s v="Rakhine"/>
    <n v="20.155805999999998"/>
    <n v="92.879138999999995"/>
    <s v="MMR012CMP093"/>
    <x v="0"/>
    <m/>
  </r>
  <r>
    <x v="0"/>
    <x v="7"/>
    <x v="7"/>
    <s v="DFID/HARP"/>
    <x v="0"/>
    <x v="4"/>
    <x v="0"/>
    <x v="140"/>
    <n v="155"/>
    <n v="745"/>
    <m/>
    <d v="2020-09-30T00:00:00"/>
    <m/>
    <s v=" -   "/>
    <m/>
    <n v="9"/>
    <m/>
    <m/>
    <m/>
    <m/>
    <m/>
    <x v="0"/>
    <m/>
    <m/>
    <m/>
    <m/>
    <m/>
    <m/>
    <n v="144"/>
    <n v="178"/>
    <n v="49"/>
    <n v="62"/>
    <m/>
    <m/>
    <m/>
    <m/>
    <m/>
    <m/>
    <m/>
    <m/>
    <m/>
    <n v="1"/>
    <n v="745"/>
    <n v="0"/>
    <n v="0"/>
    <n v="1"/>
    <n v="745"/>
    <n v="2.98"/>
    <n v="0"/>
    <n v="0"/>
    <n v="2.0000000000000018E-2"/>
    <n v="3"/>
    <n v="0"/>
    <n v="0"/>
    <n v="0"/>
    <n v="124"/>
    <n v="124"/>
    <n v="1"/>
    <n v="433"/>
    <n v="0"/>
    <n v="433"/>
    <n v="0.58120805369127515"/>
    <n v="0.41879194630872485"/>
    <n v="0.58120805369127515"/>
    <n v="0"/>
    <n v="0"/>
    <n v="0"/>
    <x v="0"/>
    <s v="Village"/>
    <x v="0"/>
    <s v="Rakhine"/>
    <n v="20.16259956"/>
    <n v="92.834457400000005"/>
    <n v="196210"/>
    <x v="0"/>
    <m/>
  </r>
  <r>
    <x v="0"/>
    <x v="7"/>
    <x v="7"/>
    <s v="DFID/HARP"/>
    <x v="0"/>
    <x v="4"/>
    <x v="0"/>
    <x v="141"/>
    <n v="758"/>
    <n v="5579"/>
    <m/>
    <d v="2020-09-30T00:00:00"/>
    <m/>
    <s v=" -   "/>
    <m/>
    <n v="15"/>
    <m/>
    <m/>
    <m/>
    <m/>
    <m/>
    <x v="0"/>
    <m/>
    <m/>
    <m/>
    <m/>
    <m/>
    <m/>
    <n v="100"/>
    <n v="265"/>
    <n v="109"/>
    <n v="123"/>
    <m/>
    <m/>
    <m/>
    <m/>
    <m/>
    <m/>
    <m/>
    <n v="1"/>
    <m/>
    <n v="1"/>
    <n v="5579"/>
    <n v="0"/>
    <n v="0"/>
    <n v="1"/>
    <n v="5579"/>
    <n v="22.315999999999999"/>
    <n v="0"/>
    <n v="0"/>
    <n v="0"/>
    <n v="22"/>
    <n v="0"/>
    <n v="0"/>
    <n v="0"/>
    <n v="930"/>
    <n v="930"/>
    <n v="1"/>
    <n v="597"/>
    <n v="0"/>
    <n v="597"/>
    <n v="0.10700842444882595"/>
    <n v="0.89299157555117403"/>
    <n v="0.10700842444882595"/>
    <n v="0"/>
    <n v="0"/>
    <n v="0"/>
    <x v="0"/>
    <s v="Village"/>
    <x v="0"/>
    <s v="Muslim"/>
    <n v="20.15736008"/>
    <n v="92.838653559999997"/>
    <n v="196211"/>
    <x v="0"/>
    <m/>
  </r>
  <r>
    <x v="0"/>
    <x v="7"/>
    <x v="7"/>
    <s v="DFID/HARP, EU"/>
    <x v="0"/>
    <x v="4"/>
    <x v="0"/>
    <x v="142"/>
    <n v="427"/>
    <n v="2427"/>
    <m/>
    <d v="2020-09-30T00:00:00"/>
    <m/>
    <s v=" -   "/>
    <m/>
    <n v="17"/>
    <m/>
    <m/>
    <m/>
    <m/>
    <m/>
    <x v="0"/>
    <m/>
    <m/>
    <m/>
    <m/>
    <m/>
    <m/>
    <n v="100"/>
    <n v="300"/>
    <n v="291"/>
    <n v="330"/>
    <m/>
    <m/>
    <m/>
    <m/>
    <m/>
    <m/>
    <m/>
    <n v="0.85"/>
    <m/>
    <n v="1"/>
    <n v="2427"/>
    <n v="0"/>
    <n v="0"/>
    <n v="1"/>
    <n v="2427"/>
    <n v="9.7080000000000002"/>
    <n v="0"/>
    <n v="0"/>
    <n v="0.29199999999999982"/>
    <n v="10"/>
    <n v="0"/>
    <n v="0"/>
    <n v="0"/>
    <n v="405"/>
    <n v="405"/>
    <n v="1"/>
    <n v="1021"/>
    <n v="0"/>
    <n v="1021"/>
    <n v="0.42068397198187063"/>
    <n v="0.57931602801812931"/>
    <n v="0.42068397198187063"/>
    <n v="0"/>
    <n v="0"/>
    <n v="0"/>
    <x v="0"/>
    <s v="Village"/>
    <x v="0"/>
    <s v="Muslim"/>
    <n v="20.147863431600001"/>
    <n v="92.846768572000002"/>
    <n v="196209"/>
    <x v="0"/>
    <m/>
  </r>
  <r>
    <x v="0"/>
    <x v="5"/>
    <x v="5"/>
    <s v="BMZ"/>
    <x v="0"/>
    <x v="4"/>
    <x v="0"/>
    <x v="143"/>
    <n v="452"/>
    <n v="1901"/>
    <d v="2017-01-01T00:00:00"/>
    <d v="2021-12-21T00:00:00"/>
    <m/>
    <m/>
    <m/>
    <m/>
    <m/>
    <m/>
    <m/>
    <m/>
    <m/>
    <x v="0"/>
    <m/>
    <m/>
    <m/>
    <m/>
    <m/>
    <m/>
    <m/>
    <m/>
    <m/>
    <m/>
    <m/>
    <m/>
    <m/>
    <m/>
    <m/>
    <m/>
    <m/>
    <m/>
    <m/>
    <n v="0"/>
    <n v="0"/>
    <n v="0"/>
    <n v="0"/>
    <n v="0"/>
    <n v="0"/>
    <n v="0"/>
    <n v="1"/>
    <n v="1901"/>
    <n v="8"/>
    <n v="8"/>
    <n v="0"/>
    <n v="0"/>
    <n v="0"/>
    <n v="317"/>
    <n v="317"/>
    <n v="1"/>
    <n v="0"/>
    <n v="0"/>
    <n v="0"/>
    <n v="0"/>
    <n v="1"/>
    <n v="0"/>
    <n v="0"/>
    <n v="0"/>
    <n v="0"/>
    <x v="0"/>
    <s v="Village"/>
    <x v="0"/>
    <n v="0"/>
    <n v="20.760820389999999"/>
    <n v="92.960083010000005"/>
    <n v="196893"/>
    <x v="0"/>
    <m/>
  </r>
  <r>
    <x v="0"/>
    <x v="6"/>
    <x v="6"/>
    <s v="DFID/HARP"/>
    <x v="0"/>
    <x v="4"/>
    <x v="0"/>
    <x v="144"/>
    <n v="17"/>
    <n v="74"/>
    <m/>
    <d v="2020-09-30T00:00:00"/>
    <m/>
    <s v=" -   "/>
    <m/>
    <n v="70"/>
    <m/>
    <m/>
    <m/>
    <m/>
    <m/>
    <x v="0"/>
    <m/>
    <m/>
    <m/>
    <m/>
    <m/>
    <m/>
    <m/>
    <m/>
    <m/>
    <m/>
    <m/>
    <m/>
    <m/>
    <m/>
    <m/>
    <m/>
    <m/>
    <m/>
    <m/>
    <n v="1"/>
    <n v="74"/>
    <n v="0"/>
    <n v="0"/>
    <n v="1"/>
    <n v="74"/>
    <n v="0.29599999999999999"/>
    <n v="0"/>
    <n v="0"/>
    <n v="0.70399999999999996"/>
    <n v="1"/>
    <n v="0"/>
    <n v="0"/>
    <n v="0"/>
    <n v="12"/>
    <n v="12"/>
    <n v="1"/>
    <n v="0"/>
    <n v="0"/>
    <n v="0"/>
    <n v="0"/>
    <n v="1"/>
    <n v="0"/>
    <n v="0"/>
    <n v="0"/>
    <n v="0"/>
    <x v="0"/>
    <s v="Village"/>
    <x v="0"/>
    <s v="Muslim"/>
    <n v="20.193460460000001"/>
    <n v="92.867782590000004"/>
    <n v="196147"/>
    <x v="0"/>
    <m/>
  </r>
  <r>
    <x v="0"/>
    <x v="8"/>
    <x v="8"/>
    <s v="UNICEF"/>
    <x v="0"/>
    <x v="6"/>
    <x v="0"/>
    <x v="145"/>
    <n v="40"/>
    <n v="217"/>
    <d v="2019-03-06T00:00:00"/>
    <d v="2020-03-06T00:00:00"/>
    <m/>
    <m/>
    <m/>
    <m/>
    <m/>
    <m/>
    <m/>
    <m/>
    <n v="40"/>
    <x v="0"/>
    <m/>
    <m/>
    <m/>
    <m/>
    <m/>
    <m/>
    <n v="66"/>
    <n v="454"/>
    <n v="143"/>
    <n v="234"/>
    <m/>
    <m/>
    <n v="40"/>
    <m/>
    <m/>
    <m/>
    <m/>
    <n v="1"/>
    <n v="1"/>
    <n v="0"/>
    <n v="0"/>
    <n v="0"/>
    <n v="0"/>
    <n v="0"/>
    <n v="0"/>
    <n v="0"/>
    <n v="1"/>
    <n v="217"/>
    <n v="1"/>
    <n v="1"/>
    <n v="1"/>
    <n v="217"/>
    <n v="0"/>
    <n v="36"/>
    <n v="0"/>
    <n v="0"/>
    <n v="217"/>
    <n v="217"/>
    <n v="217"/>
    <n v="1"/>
    <n v="0"/>
    <n v="1"/>
    <n v="0"/>
    <n v="0"/>
    <n v="0"/>
    <x v="0"/>
    <s v="Village"/>
    <x v="1"/>
    <s v="Rakhine"/>
    <n v="20.041981"/>
    <n v="93.373951000000005"/>
    <s v="MMR012CMP013"/>
    <x v="0"/>
    <m/>
  </r>
  <r>
    <x v="0"/>
    <x v="9"/>
    <x v="9"/>
    <s v="ECHO, OFDA, MHF"/>
    <x v="0"/>
    <x v="0"/>
    <x v="0"/>
    <x v="146"/>
    <n v="400"/>
    <n v="2050"/>
    <s v="28/02/2018 and 28/02/2019, 01/07/2018, 01/10/2018"/>
    <s v="28/02/2019 and 28/02/2020, 30/06/2019, 30/09/2019"/>
    <m/>
    <s v=" -   "/>
    <m/>
    <m/>
    <m/>
    <m/>
    <m/>
    <m/>
    <m/>
    <x v="0"/>
    <m/>
    <m/>
    <m/>
    <m/>
    <m/>
    <m/>
    <n v="30"/>
    <n v="28"/>
    <n v="30"/>
    <n v="28"/>
    <n v="130"/>
    <n v="11"/>
    <m/>
    <m/>
    <m/>
    <m/>
    <m/>
    <m/>
    <m/>
    <n v="0"/>
    <n v="0"/>
    <n v="0"/>
    <n v="0"/>
    <n v="0"/>
    <n v="0"/>
    <n v="0"/>
    <n v="1"/>
    <n v="2050"/>
    <n v="8"/>
    <n v="8"/>
    <n v="0"/>
    <n v="0"/>
    <n v="0"/>
    <n v="342"/>
    <n v="342"/>
    <n v="1"/>
    <n v="257"/>
    <n v="0"/>
    <n v="257"/>
    <n v="0.12536585365853659"/>
    <n v="0.87463414634146341"/>
    <n v="0.12536585365853659"/>
    <n v="0"/>
    <n v="0"/>
    <n v="0"/>
    <x v="0"/>
    <s v="Village"/>
    <x v="0"/>
    <s v="Muslim"/>
    <n v="20.099340439999999"/>
    <n v="92.989143369999994"/>
    <n v="197558"/>
    <x v="0"/>
    <m/>
  </r>
  <r>
    <x v="0"/>
    <x v="0"/>
    <x v="0"/>
    <s v="BMZ"/>
    <x v="0"/>
    <x v="0"/>
    <x v="0"/>
    <x v="147"/>
    <n v="142"/>
    <n v="582"/>
    <d v="2018-09-16T00:00:00"/>
    <d v="2019-12-31T00:00:00"/>
    <m/>
    <m/>
    <m/>
    <m/>
    <m/>
    <m/>
    <m/>
    <m/>
    <m/>
    <x v="0"/>
    <m/>
    <m/>
    <m/>
    <m/>
    <m/>
    <m/>
    <m/>
    <m/>
    <m/>
    <m/>
    <m/>
    <m/>
    <m/>
    <m/>
    <m/>
    <m/>
    <m/>
    <m/>
    <m/>
    <n v="0"/>
    <n v="0"/>
    <n v="0"/>
    <n v="0"/>
    <n v="0"/>
    <n v="0"/>
    <n v="0"/>
    <n v="1"/>
    <n v="582"/>
    <n v="2"/>
    <n v="2"/>
    <n v="0"/>
    <n v="0"/>
    <n v="0"/>
    <n v="97"/>
    <n v="97"/>
    <n v="1"/>
    <n v="0"/>
    <n v="0"/>
    <n v="0"/>
    <n v="0"/>
    <n v="1"/>
    <n v="0"/>
    <n v="0"/>
    <n v="0"/>
    <n v="0"/>
    <x v="0"/>
    <s v="Village"/>
    <x v="0"/>
    <n v="0"/>
    <n v="20.068620681762699"/>
    <n v="92.934440612792997"/>
    <n v="197574"/>
    <x v="0"/>
    <m/>
  </r>
  <r>
    <x v="0"/>
    <x v="10"/>
    <x v="10"/>
    <s v="GIZ"/>
    <x v="0"/>
    <x v="7"/>
    <x v="0"/>
    <x v="148"/>
    <n v="93"/>
    <n v="415"/>
    <d v="2017-06-01T00:00:00"/>
    <d v="2019-05-31T00:00:00"/>
    <m/>
    <m/>
    <m/>
    <m/>
    <m/>
    <m/>
    <m/>
    <m/>
    <m/>
    <x v="0"/>
    <m/>
    <m/>
    <m/>
    <m/>
    <m/>
    <m/>
    <m/>
    <m/>
    <m/>
    <m/>
    <m/>
    <m/>
    <m/>
    <m/>
    <m/>
    <m/>
    <m/>
    <m/>
    <m/>
    <n v="0"/>
    <n v="0"/>
    <n v="0"/>
    <n v="0"/>
    <n v="0"/>
    <n v="0"/>
    <n v="0"/>
    <n v="1"/>
    <n v="415"/>
    <n v="2"/>
    <n v="2"/>
    <n v="0"/>
    <n v="0"/>
    <n v="0"/>
    <n v="69"/>
    <n v="69"/>
    <n v="1"/>
    <n v="0"/>
    <n v="0"/>
    <n v="0"/>
    <n v="0"/>
    <n v="1"/>
    <n v="0"/>
    <n v="0"/>
    <n v="0"/>
    <n v="0"/>
    <x v="0"/>
    <s v="Village"/>
    <x v="0"/>
    <s v="Mro"/>
    <n v="20.855012890000001"/>
    <n v="92.91"/>
    <n v="196824"/>
    <x v="0"/>
    <m/>
  </r>
  <r>
    <x v="0"/>
    <x v="10"/>
    <x v="10"/>
    <s v="GIZ"/>
    <x v="0"/>
    <x v="7"/>
    <x v="0"/>
    <x v="149"/>
    <n v="326"/>
    <n v="1786"/>
    <d v="2017-06-01T00:00:00"/>
    <d v="2019-05-31T00:00:00"/>
    <m/>
    <m/>
    <m/>
    <m/>
    <m/>
    <m/>
    <m/>
    <m/>
    <m/>
    <x v="0"/>
    <m/>
    <m/>
    <m/>
    <m/>
    <m/>
    <m/>
    <m/>
    <m/>
    <m/>
    <m/>
    <m/>
    <m/>
    <m/>
    <m/>
    <m/>
    <m/>
    <m/>
    <m/>
    <m/>
    <n v="0"/>
    <n v="0"/>
    <n v="0"/>
    <n v="0"/>
    <n v="0"/>
    <n v="0"/>
    <n v="0"/>
    <n v="1"/>
    <n v="1786"/>
    <n v="7"/>
    <n v="7"/>
    <n v="0"/>
    <n v="0"/>
    <n v="0"/>
    <n v="298"/>
    <n v="298"/>
    <n v="1"/>
    <n v="0"/>
    <n v="0"/>
    <n v="0"/>
    <n v="0"/>
    <n v="1"/>
    <n v="0"/>
    <n v="0"/>
    <n v="0"/>
    <n v="0"/>
    <x v="0"/>
    <s v="Village"/>
    <x v="2"/>
    <s v="Muslim"/>
    <n v="93.009900000000002"/>
    <n v="20.696819999999999"/>
    <s v="MMR012CMP026"/>
    <x v="0"/>
    <m/>
  </r>
  <r>
    <x v="0"/>
    <x v="10"/>
    <x v="10"/>
    <s v="MHF"/>
    <x v="0"/>
    <x v="7"/>
    <x v="0"/>
    <x v="150"/>
    <n v="128"/>
    <n v="770"/>
    <d v="2018-10-01T00:00:00"/>
    <d v="2019-09-30T00:00:00"/>
    <m/>
    <m/>
    <m/>
    <m/>
    <m/>
    <m/>
    <m/>
    <m/>
    <m/>
    <x v="0"/>
    <m/>
    <m/>
    <m/>
    <m/>
    <m/>
    <m/>
    <m/>
    <m/>
    <m/>
    <m/>
    <m/>
    <m/>
    <m/>
    <m/>
    <m/>
    <m/>
    <m/>
    <m/>
    <m/>
    <n v="0"/>
    <n v="0"/>
    <n v="0"/>
    <n v="0"/>
    <n v="0"/>
    <n v="0"/>
    <n v="0"/>
    <n v="1"/>
    <n v="770"/>
    <n v="3"/>
    <n v="3"/>
    <n v="0"/>
    <n v="0"/>
    <n v="0"/>
    <n v="128"/>
    <n v="128"/>
    <n v="1"/>
    <n v="0"/>
    <n v="0"/>
    <n v="0"/>
    <n v="0"/>
    <n v="1"/>
    <n v="0"/>
    <n v="0"/>
    <n v="0"/>
    <n v="0"/>
    <x v="0"/>
    <s v="Village"/>
    <x v="0"/>
    <n v="0"/>
    <n v="20.727590559999999"/>
    <n v="92.969352720000003"/>
    <n v="196816"/>
    <x v="0"/>
    <m/>
  </r>
  <r>
    <x v="0"/>
    <x v="10"/>
    <x v="10"/>
    <s v="MHF"/>
    <x v="0"/>
    <x v="7"/>
    <x v="0"/>
    <x v="151"/>
    <n v="120"/>
    <n v="531"/>
    <d v="2018-10-01T00:00:00"/>
    <d v="2019-09-30T00:00:00"/>
    <m/>
    <m/>
    <m/>
    <m/>
    <m/>
    <m/>
    <m/>
    <m/>
    <m/>
    <x v="0"/>
    <m/>
    <m/>
    <m/>
    <m/>
    <m/>
    <m/>
    <m/>
    <m/>
    <m/>
    <m/>
    <m/>
    <m/>
    <m/>
    <m/>
    <m/>
    <m/>
    <m/>
    <m/>
    <m/>
    <n v="0"/>
    <n v="0"/>
    <n v="0"/>
    <n v="0"/>
    <n v="0"/>
    <n v="0"/>
    <n v="0"/>
    <n v="1"/>
    <n v="531"/>
    <n v="2"/>
    <n v="2"/>
    <n v="0"/>
    <n v="0"/>
    <n v="0"/>
    <n v="89"/>
    <n v="89"/>
    <n v="1"/>
    <n v="0"/>
    <n v="0"/>
    <n v="0"/>
    <n v="0"/>
    <n v="1"/>
    <n v="0"/>
    <n v="0"/>
    <n v="0"/>
    <n v="0"/>
    <x v="0"/>
    <s v="Village"/>
    <x v="0"/>
    <n v="0"/>
    <n v="20.896429059999999"/>
    <n v="92.940193179999994"/>
    <n v="196804"/>
    <x v="0"/>
    <m/>
  </r>
  <r>
    <x v="0"/>
    <x v="10"/>
    <x v="10"/>
    <s v="MHF"/>
    <x v="0"/>
    <x v="7"/>
    <x v="0"/>
    <x v="152"/>
    <n v="116"/>
    <n v="667"/>
    <d v="2018-10-01T00:00:00"/>
    <d v="2019-09-30T00:00:00"/>
    <m/>
    <m/>
    <m/>
    <m/>
    <m/>
    <m/>
    <m/>
    <m/>
    <m/>
    <x v="0"/>
    <m/>
    <m/>
    <m/>
    <m/>
    <m/>
    <m/>
    <m/>
    <m/>
    <m/>
    <m/>
    <m/>
    <m/>
    <m/>
    <m/>
    <m/>
    <m/>
    <m/>
    <m/>
    <m/>
    <n v="0"/>
    <n v="0"/>
    <n v="0"/>
    <n v="0"/>
    <n v="0"/>
    <n v="0"/>
    <n v="0"/>
    <n v="1"/>
    <n v="667"/>
    <n v="3"/>
    <n v="3"/>
    <n v="0"/>
    <n v="0"/>
    <n v="0"/>
    <n v="111"/>
    <n v="111"/>
    <n v="1"/>
    <n v="0"/>
    <n v="0"/>
    <n v="0"/>
    <n v="0"/>
    <n v="1"/>
    <n v="0"/>
    <n v="0"/>
    <n v="0"/>
    <n v="0"/>
    <x v="0"/>
    <s v="Village"/>
    <x v="0"/>
    <n v="0"/>
    <n v="20.889249800000002"/>
    <n v="92.939201350000005"/>
    <n v="0"/>
    <x v="0"/>
    <m/>
  </r>
  <r>
    <x v="0"/>
    <x v="10"/>
    <x v="10"/>
    <s v="MHF"/>
    <x v="0"/>
    <x v="7"/>
    <x v="0"/>
    <x v="153"/>
    <n v="173"/>
    <n v="1090"/>
    <d v="2018-10-01T00:00:00"/>
    <d v="2019-09-30T00:00:00"/>
    <m/>
    <m/>
    <m/>
    <m/>
    <m/>
    <m/>
    <m/>
    <m/>
    <m/>
    <x v="0"/>
    <m/>
    <m/>
    <m/>
    <m/>
    <m/>
    <m/>
    <m/>
    <m/>
    <m/>
    <m/>
    <m/>
    <m/>
    <m/>
    <m/>
    <m/>
    <m/>
    <m/>
    <m/>
    <m/>
    <n v="0"/>
    <n v="0"/>
    <n v="0"/>
    <n v="0"/>
    <n v="0"/>
    <n v="0"/>
    <n v="0"/>
    <n v="1"/>
    <n v="1090"/>
    <n v="4"/>
    <n v="4"/>
    <n v="0"/>
    <n v="0"/>
    <n v="0"/>
    <n v="182"/>
    <n v="182"/>
    <n v="1"/>
    <n v="0"/>
    <n v="0"/>
    <n v="0"/>
    <n v="0"/>
    <n v="1"/>
    <n v="0"/>
    <n v="0"/>
    <n v="0"/>
    <n v="0"/>
    <x v="0"/>
    <s v="Village"/>
    <x v="2"/>
    <s v="Muslim"/>
    <n v="20.727589999999999"/>
    <n v="92.969350000000006"/>
    <s v="MMR012CMP028"/>
    <x v="0"/>
    <m/>
  </r>
  <r>
    <x v="0"/>
    <x v="10"/>
    <x v="10"/>
    <s v="MHF"/>
    <x v="0"/>
    <x v="7"/>
    <x v="0"/>
    <x v="154"/>
    <n v="174"/>
    <n v="665"/>
    <d v="2018-10-01T00:00:00"/>
    <d v="2019-09-30T00:00:00"/>
    <m/>
    <m/>
    <m/>
    <m/>
    <m/>
    <m/>
    <m/>
    <m/>
    <m/>
    <x v="0"/>
    <m/>
    <m/>
    <m/>
    <m/>
    <m/>
    <m/>
    <m/>
    <m/>
    <m/>
    <m/>
    <m/>
    <m/>
    <m/>
    <m/>
    <m/>
    <m/>
    <m/>
    <m/>
    <m/>
    <n v="0"/>
    <n v="0"/>
    <n v="0"/>
    <n v="0"/>
    <n v="0"/>
    <n v="0"/>
    <n v="0"/>
    <n v="1"/>
    <n v="665"/>
    <n v="3"/>
    <n v="3"/>
    <n v="0"/>
    <n v="0"/>
    <n v="0"/>
    <n v="111"/>
    <n v="111"/>
    <n v="1"/>
    <n v="0"/>
    <n v="0"/>
    <n v="0"/>
    <n v="0"/>
    <n v="1"/>
    <n v="0"/>
    <n v="0"/>
    <n v="0"/>
    <n v="0"/>
    <x v="0"/>
    <s v="Village"/>
    <x v="0"/>
    <n v="0"/>
    <n v="20.883239750000001"/>
    <n v="92.936859130000002"/>
    <n v="196813"/>
    <x v="0"/>
    <m/>
  </r>
  <r>
    <x v="0"/>
    <x v="10"/>
    <x v="10"/>
    <s v="MHF"/>
    <x v="0"/>
    <x v="7"/>
    <x v="0"/>
    <x v="155"/>
    <n v="82"/>
    <n v="304"/>
    <d v="2018-10-01T00:00:00"/>
    <d v="2019-09-30T00:00:00"/>
    <m/>
    <m/>
    <m/>
    <m/>
    <m/>
    <m/>
    <m/>
    <m/>
    <m/>
    <x v="0"/>
    <m/>
    <m/>
    <m/>
    <m/>
    <m/>
    <m/>
    <m/>
    <m/>
    <m/>
    <m/>
    <m/>
    <m/>
    <m/>
    <m/>
    <m/>
    <m/>
    <m/>
    <m/>
    <m/>
    <n v="0"/>
    <n v="0"/>
    <n v="0"/>
    <n v="0"/>
    <n v="0"/>
    <n v="0"/>
    <n v="0"/>
    <n v="1"/>
    <n v="304"/>
    <n v="1"/>
    <n v="1"/>
    <n v="0"/>
    <n v="0"/>
    <n v="0"/>
    <n v="51"/>
    <n v="51"/>
    <n v="1"/>
    <n v="0"/>
    <n v="0"/>
    <n v="0"/>
    <n v="0"/>
    <n v="1"/>
    <n v="0"/>
    <n v="0"/>
    <n v="0"/>
    <n v="0"/>
    <x v="0"/>
    <s v="Village"/>
    <x v="0"/>
    <n v="0"/>
    <n v="20.932960510000001"/>
    <n v="92.930267330000007"/>
    <n v="196755"/>
    <x v="0"/>
    <m/>
  </r>
  <r>
    <x v="0"/>
    <x v="10"/>
    <x v="10"/>
    <s v="MHF"/>
    <x v="0"/>
    <x v="7"/>
    <x v="0"/>
    <x v="156"/>
    <n v="71"/>
    <n v="292"/>
    <d v="2018-10-01T00:00:00"/>
    <d v="2019-09-30T00:00:00"/>
    <m/>
    <m/>
    <m/>
    <m/>
    <m/>
    <m/>
    <m/>
    <m/>
    <m/>
    <x v="0"/>
    <m/>
    <m/>
    <m/>
    <m/>
    <m/>
    <m/>
    <m/>
    <m/>
    <m/>
    <m/>
    <m/>
    <m/>
    <m/>
    <m/>
    <m/>
    <m/>
    <m/>
    <m/>
    <m/>
    <n v="0"/>
    <n v="0"/>
    <n v="0"/>
    <n v="0"/>
    <n v="0"/>
    <n v="0"/>
    <n v="0"/>
    <n v="1"/>
    <n v="292"/>
    <n v="1"/>
    <n v="1"/>
    <n v="0"/>
    <n v="0"/>
    <n v="0"/>
    <n v="49"/>
    <n v="49"/>
    <n v="1"/>
    <n v="0"/>
    <n v="0"/>
    <n v="0"/>
    <n v="0"/>
    <n v="1"/>
    <n v="0"/>
    <n v="0"/>
    <n v="0"/>
    <n v="0"/>
    <x v="0"/>
    <s v="Village"/>
    <x v="0"/>
    <n v="0"/>
    <n v="0"/>
    <n v="0"/>
    <n v="220647"/>
    <x v="0"/>
    <m/>
  </r>
  <r>
    <x v="0"/>
    <x v="10"/>
    <x v="10"/>
    <s v="MHF"/>
    <x v="0"/>
    <x v="7"/>
    <x v="0"/>
    <x v="143"/>
    <n v="156"/>
    <n v="677"/>
    <d v="2018-10-01T00:00:00"/>
    <d v="2019-09-30T00:00:00"/>
    <m/>
    <m/>
    <m/>
    <m/>
    <m/>
    <m/>
    <m/>
    <m/>
    <m/>
    <x v="0"/>
    <m/>
    <m/>
    <m/>
    <m/>
    <m/>
    <m/>
    <m/>
    <m/>
    <m/>
    <m/>
    <m/>
    <m/>
    <m/>
    <m/>
    <m/>
    <m/>
    <m/>
    <m/>
    <m/>
    <n v="0"/>
    <n v="0"/>
    <n v="0"/>
    <n v="0"/>
    <n v="0"/>
    <n v="0"/>
    <n v="0"/>
    <n v="1"/>
    <n v="677"/>
    <n v="3"/>
    <n v="3"/>
    <n v="0"/>
    <n v="0"/>
    <n v="0"/>
    <n v="113"/>
    <n v="113"/>
    <n v="1"/>
    <n v="0"/>
    <n v="0"/>
    <n v="0"/>
    <n v="0"/>
    <n v="1"/>
    <n v="0"/>
    <n v="0"/>
    <n v="0"/>
    <n v="0"/>
    <x v="0"/>
    <s v="Village"/>
    <x v="0"/>
    <n v="0"/>
    <n v="20.760820389999999"/>
    <n v="92.960083010000005"/>
    <n v="196893"/>
    <x v="0"/>
    <m/>
  </r>
  <r>
    <x v="0"/>
    <x v="10"/>
    <x v="10"/>
    <s v="MHF"/>
    <x v="0"/>
    <x v="7"/>
    <x v="0"/>
    <x v="157"/>
    <n v="286"/>
    <n v="1372"/>
    <d v="2018-10-01T00:00:00"/>
    <d v="2019-09-30T00:00:00"/>
    <m/>
    <m/>
    <m/>
    <m/>
    <m/>
    <m/>
    <m/>
    <m/>
    <m/>
    <x v="0"/>
    <m/>
    <m/>
    <m/>
    <m/>
    <m/>
    <m/>
    <m/>
    <m/>
    <m/>
    <m/>
    <m/>
    <m/>
    <m/>
    <m/>
    <m/>
    <m/>
    <m/>
    <m/>
    <m/>
    <n v="0"/>
    <n v="0"/>
    <n v="0"/>
    <n v="0"/>
    <n v="0"/>
    <n v="0"/>
    <n v="0"/>
    <n v="1"/>
    <n v="1372"/>
    <n v="5"/>
    <n v="5"/>
    <n v="0"/>
    <n v="0"/>
    <n v="0"/>
    <n v="229"/>
    <n v="229"/>
    <n v="1"/>
    <n v="0"/>
    <n v="0"/>
    <n v="0"/>
    <n v="0"/>
    <n v="1"/>
    <n v="0"/>
    <n v="0"/>
    <n v="0"/>
    <n v="0"/>
    <x v="0"/>
    <s v="Village"/>
    <x v="0"/>
    <n v="0"/>
    <n v="20.785549159999999"/>
    <n v="92.971076969999999"/>
    <n v="196889"/>
    <x v="0"/>
    <m/>
  </r>
  <r>
    <x v="0"/>
    <x v="11"/>
    <x v="11"/>
    <m/>
    <x v="0"/>
    <x v="7"/>
    <x v="0"/>
    <x v="158"/>
    <n v="92"/>
    <n v="559"/>
    <m/>
    <m/>
    <m/>
    <m/>
    <m/>
    <m/>
    <m/>
    <m/>
    <m/>
    <m/>
    <m/>
    <x v="3"/>
    <m/>
    <m/>
    <m/>
    <m/>
    <m/>
    <m/>
    <m/>
    <m/>
    <m/>
    <m/>
    <m/>
    <m/>
    <m/>
    <m/>
    <m/>
    <m/>
    <m/>
    <m/>
    <m/>
    <n v="0"/>
    <n v="0"/>
    <n v="0"/>
    <n v="0"/>
    <n v="0"/>
    <n v="0"/>
    <n v="0"/>
    <n v="1"/>
    <n v="559"/>
    <n v="2"/>
    <n v="2"/>
    <n v="0"/>
    <n v="0"/>
    <n v="0"/>
    <n v="93"/>
    <n v="93"/>
    <n v="1"/>
    <n v="0"/>
    <n v="0"/>
    <n v="0"/>
    <n v="0"/>
    <n v="1"/>
    <n v="0"/>
    <n v="0"/>
    <n v="0"/>
    <n v="0"/>
    <x v="0"/>
    <s v="Village"/>
    <x v="2"/>
    <s v="Rakhine"/>
    <n v="20.720213000000001"/>
    <n v="92.961841000000007"/>
    <s v="MMR012CMP024"/>
    <x v="1"/>
    <m/>
  </r>
  <r>
    <x v="0"/>
    <x v="11"/>
    <x v="11"/>
    <m/>
    <x v="0"/>
    <x v="7"/>
    <x v="0"/>
    <x v="159"/>
    <n v="116"/>
    <n v="802"/>
    <m/>
    <m/>
    <m/>
    <m/>
    <m/>
    <m/>
    <m/>
    <m/>
    <m/>
    <m/>
    <m/>
    <x v="3"/>
    <m/>
    <m/>
    <m/>
    <m/>
    <m/>
    <m/>
    <m/>
    <m/>
    <m/>
    <m/>
    <m/>
    <m/>
    <m/>
    <m/>
    <m/>
    <m/>
    <m/>
    <m/>
    <m/>
    <n v="0"/>
    <n v="0"/>
    <n v="0"/>
    <n v="0"/>
    <n v="0"/>
    <n v="0"/>
    <n v="0"/>
    <n v="1"/>
    <n v="802"/>
    <n v="3"/>
    <n v="3"/>
    <n v="0"/>
    <n v="0"/>
    <n v="0"/>
    <n v="134"/>
    <n v="134"/>
    <n v="1"/>
    <n v="0"/>
    <n v="0"/>
    <n v="0"/>
    <n v="0"/>
    <n v="1"/>
    <n v="0"/>
    <n v="0"/>
    <n v="0"/>
    <n v="0"/>
    <x v="0"/>
    <s v="Village"/>
    <x v="2"/>
    <s v="Muslim"/>
    <n v="20.713259999999998"/>
    <n v="93.014089999999996"/>
    <s v="MMR012CMP027"/>
    <x v="1"/>
    <m/>
  </r>
  <r>
    <x v="0"/>
    <x v="11"/>
    <x v="11"/>
    <m/>
    <x v="0"/>
    <x v="7"/>
    <x v="0"/>
    <x v="160"/>
    <n v="97"/>
    <n v="557"/>
    <m/>
    <m/>
    <m/>
    <m/>
    <m/>
    <m/>
    <m/>
    <m/>
    <m/>
    <m/>
    <m/>
    <x v="3"/>
    <m/>
    <m/>
    <m/>
    <m/>
    <m/>
    <m/>
    <m/>
    <m/>
    <m/>
    <m/>
    <m/>
    <m/>
    <m/>
    <m/>
    <m/>
    <m/>
    <m/>
    <m/>
    <m/>
    <n v="0"/>
    <n v="0"/>
    <n v="0"/>
    <n v="0"/>
    <n v="0"/>
    <n v="0"/>
    <n v="0"/>
    <n v="1"/>
    <n v="557"/>
    <n v="2"/>
    <n v="2"/>
    <n v="0"/>
    <n v="0"/>
    <n v="0"/>
    <n v="93"/>
    <n v="93"/>
    <n v="1"/>
    <n v="0"/>
    <n v="0"/>
    <n v="0"/>
    <n v="0"/>
    <n v="1"/>
    <n v="0"/>
    <n v="0"/>
    <n v="0"/>
    <n v="0"/>
    <x v="0"/>
    <s v="Village"/>
    <x v="1"/>
    <s v="Muslim"/>
    <n v="20.886997999999998"/>
    <n v="93.006497999999993"/>
    <s v="MMR012CMP030"/>
    <x v="1"/>
    <m/>
  </r>
  <r>
    <x v="0"/>
    <x v="11"/>
    <x v="11"/>
    <m/>
    <x v="0"/>
    <x v="7"/>
    <x v="0"/>
    <x v="161"/>
    <n v="18"/>
    <n v="157"/>
    <m/>
    <m/>
    <m/>
    <m/>
    <m/>
    <m/>
    <m/>
    <m/>
    <m/>
    <m/>
    <m/>
    <x v="3"/>
    <m/>
    <m/>
    <m/>
    <m/>
    <m/>
    <m/>
    <m/>
    <m/>
    <m/>
    <m/>
    <m/>
    <m/>
    <m/>
    <m/>
    <m/>
    <m/>
    <m/>
    <m/>
    <m/>
    <n v="0"/>
    <n v="0"/>
    <n v="0"/>
    <n v="0"/>
    <n v="0"/>
    <n v="0"/>
    <n v="0"/>
    <n v="1"/>
    <n v="157"/>
    <n v="1"/>
    <n v="1"/>
    <n v="0"/>
    <n v="0"/>
    <n v="0"/>
    <n v="26"/>
    <n v="26"/>
    <n v="1"/>
    <n v="0"/>
    <n v="0"/>
    <n v="0"/>
    <n v="0"/>
    <n v="1"/>
    <n v="0"/>
    <n v="0"/>
    <n v="0"/>
    <n v="0"/>
    <x v="0"/>
    <s v="Village"/>
    <x v="2"/>
    <s v="Muslim"/>
    <n v="20.805734000000001"/>
    <n v="92.982675999999998"/>
    <s v="MMR012CMP020"/>
    <x v="1"/>
    <m/>
  </r>
  <r>
    <x v="0"/>
    <x v="11"/>
    <x v="11"/>
    <m/>
    <x v="0"/>
    <x v="7"/>
    <x v="0"/>
    <x v="162"/>
    <n v="144"/>
    <n v="1006"/>
    <m/>
    <m/>
    <m/>
    <m/>
    <m/>
    <m/>
    <m/>
    <m/>
    <m/>
    <m/>
    <m/>
    <x v="3"/>
    <m/>
    <m/>
    <m/>
    <m/>
    <m/>
    <m/>
    <m/>
    <m/>
    <m/>
    <m/>
    <m/>
    <m/>
    <m/>
    <m/>
    <m/>
    <m/>
    <m/>
    <m/>
    <m/>
    <n v="0"/>
    <n v="0"/>
    <n v="0"/>
    <n v="0"/>
    <n v="0"/>
    <n v="0"/>
    <n v="0"/>
    <n v="1"/>
    <n v="1006"/>
    <n v="4"/>
    <n v="4"/>
    <n v="0"/>
    <n v="0"/>
    <n v="0"/>
    <n v="168"/>
    <n v="168"/>
    <n v="1"/>
    <n v="0"/>
    <n v="0"/>
    <n v="0"/>
    <n v="0"/>
    <n v="1"/>
    <n v="0"/>
    <n v="0"/>
    <n v="0"/>
    <n v="0"/>
    <x v="0"/>
    <s v="Village"/>
    <x v="2"/>
    <s v="Muslim"/>
    <n v="20.78332"/>
    <n v="92.987399999999994"/>
    <s v="MMR012CMP029"/>
    <x v="1"/>
    <m/>
  </r>
  <r>
    <x v="0"/>
    <x v="12"/>
    <x v="12"/>
    <s v="German (AA/BMZ)"/>
    <x v="1"/>
    <x v="2"/>
    <x v="0"/>
    <x v="163"/>
    <n v="210"/>
    <n v="694"/>
    <d v="2020-10-30T00:00:00"/>
    <m/>
    <m/>
    <m/>
    <m/>
    <m/>
    <m/>
    <m/>
    <m/>
    <m/>
    <m/>
    <x v="0"/>
    <m/>
    <m/>
    <m/>
    <m/>
    <m/>
    <m/>
    <m/>
    <m/>
    <m/>
    <m/>
    <m/>
    <m/>
    <m/>
    <m/>
    <m/>
    <m/>
    <m/>
    <m/>
    <m/>
    <n v="0"/>
    <n v="0"/>
    <n v="0"/>
    <n v="0"/>
    <n v="0"/>
    <n v="0"/>
    <n v="0"/>
    <n v="1"/>
    <n v="694"/>
    <n v="3"/>
    <n v="3"/>
    <n v="0"/>
    <n v="0"/>
    <n v="0"/>
    <n v="116"/>
    <n v="116"/>
    <n v="1"/>
    <n v="0"/>
    <n v="0"/>
    <n v="0"/>
    <n v="0"/>
    <n v="1"/>
    <n v="0"/>
    <n v="0"/>
    <n v="0"/>
    <n v="0"/>
    <x v="0"/>
    <s v="Village"/>
    <x v="0"/>
    <s v="Muslim"/>
    <n v="21.012830730000001"/>
    <n v="92.338958739999995"/>
    <n v="197878"/>
    <x v="0"/>
    <m/>
  </r>
  <r>
    <x v="0"/>
    <x v="12"/>
    <x v="12"/>
    <s v="German (AA/BMZ)"/>
    <x v="1"/>
    <x v="2"/>
    <x v="0"/>
    <x v="164"/>
    <n v="87"/>
    <n v="412"/>
    <d v="2020-10-30T00:00:00"/>
    <m/>
    <m/>
    <m/>
    <m/>
    <m/>
    <m/>
    <m/>
    <m/>
    <m/>
    <m/>
    <x v="0"/>
    <m/>
    <m/>
    <m/>
    <m/>
    <m/>
    <m/>
    <m/>
    <m/>
    <m/>
    <m/>
    <m/>
    <m/>
    <m/>
    <m/>
    <m/>
    <m/>
    <m/>
    <m/>
    <m/>
    <n v="0"/>
    <n v="0"/>
    <n v="0"/>
    <n v="0"/>
    <n v="0"/>
    <n v="0"/>
    <n v="0"/>
    <n v="1"/>
    <n v="412"/>
    <n v="2"/>
    <n v="2"/>
    <n v="0"/>
    <n v="0"/>
    <n v="0"/>
    <n v="69"/>
    <n v="69"/>
    <n v="1"/>
    <n v="0"/>
    <n v="0"/>
    <n v="0"/>
    <n v="0"/>
    <n v="1"/>
    <n v="0"/>
    <n v="0"/>
    <n v="0"/>
    <n v="0"/>
    <x v="0"/>
    <s v="Village"/>
    <x v="0"/>
    <s v="Rakhine"/>
    <n v="21.218200679999999"/>
    <n v="92.323173519999997"/>
    <n v="197830"/>
    <x v="0"/>
    <m/>
  </r>
  <r>
    <x v="0"/>
    <x v="12"/>
    <x v="12"/>
    <s v="German (AA/BMZ)"/>
    <x v="1"/>
    <x v="2"/>
    <x v="0"/>
    <x v="165"/>
    <n v="34"/>
    <n v="163"/>
    <d v="2020-10-30T00:00:00"/>
    <m/>
    <m/>
    <m/>
    <m/>
    <m/>
    <m/>
    <m/>
    <m/>
    <m/>
    <m/>
    <x v="0"/>
    <m/>
    <m/>
    <m/>
    <m/>
    <m/>
    <m/>
    <m/>
    <m/>
    <m/>
    <m/>
    <m/>
    <m/>
    <m/>
    <m/>
    <m/>
    <m/>
    <m/>
    <m/>
    <m/>
    <n v="0"/>
    <n v="0"/>
    <n v="0"/>
    <n v="0"/>
    <n v="0"/>
    <n v="0"/>
    <n v="0"/>
    <n v="1"/>
    <n v="163"/>
    <n v="1"/>
    <n v="1"/>
    <n v="0"/>
    <n v="0"/>
    <n v="0"/>
    <n v="27"/>
    <n v="27"/>
    <n v="1"/>
    <n v="0"/>
    <n v="0"/>
    <n v="0"/>
    <n v="0"/>
    <n v="1"/>
    <n v="0"/>
    <n v="0"/>
    <n v="0"/>
    <n v="0"/>
    <x v="0"/>
    <s v="Village"/>
    <x v="0"/>
    <s v="Rakhine"/>
    <n v="21.153581620000001"/>
    <n v="92.250885010000005"/>
    <n v="220747"/>
    <x v="0"/>
    <m/>
  </r>
  <r>
    <x v="0"/>
    <x v="12"/>
    <x v="12"/>
    <s v="German (AA/BMZ)"/>
    <x v="1"/>
    <x v="2"/>
    <x v="0"/>
    <x v="166"/>
    <n v="144"/>
    <n v="742"/>
    <d v="2020-10-30T00:00:00"/>
    <m/>
    <m/>
    <m/>
    <m/>
    <m/>
    <m/>
    <m/>
    <m/>
    <m/>
    <m/>
    <x v="0"/>
    <m/>
    <m/>
    <m/>
    <m/>
    <m/>
    <m/>
    <m/>
    <m/>
    <m/>
    <m/>
    <m/>
    <m/>
    <m/>
    <m/>
    <m/>
    <m/>
    <m/>
    <m/>
    <m/>
    <n v="0"/>
    <n v="0"/>
    <n v="0"/>
    <n v="0"/>
    <n v="0"/>
    <n v="0"/>
    <n v="0"/>
    <n v="1"/>
    <n v="742"/>
    <n v="3"/>
    <n v="3"/>
    <n v="0"/>
    <n v="0"/>
    <n v="0"/>
    <n v="124"/>
    <n v="124"/>
    <n v="1"/>
    <n v="0"/>
    <n v="0"/>
    <n v="0"/>
    <n v="0"/>
    <n v="1"/>
    <n v="0"/>
    <n v="0"/>
    <n v="0"/>
    <n v="0"/>
    <x v="0"/>
    <s v="Village"/>
    <x v="0"/>
    <s v="Rakhine"/>
    <n v="21.177719119999999"/>
    <n v="92.239547729999998"/>
    <n v="198101"/>
    <x v="0"/>
    <m/>
  </r>
  <r>
    <x v="0"/>
    <x v="11"/>
    <x v="11"/>
    <m/>
    <x v="0"/>
    <x v="5"/>
    <x v="0"/>
    <x v="167"/>
    <n v="280"/>
    <n v="1423"/>
    <m/>
    <m/>
    <m/>
    <m/>
    <m/>
    <m/>
    <m/>
    <m/>
    <m/>
    <m/>
    <m/>
    <x v="3"/>
    <m/>
    <m/>
    <m/>
    <m/>
    <m/>
    <m/>
    <m/>
    <m/>
    <m/>
    <m/>
    <m/>
    <m/>
    <m/>
    <m/>
    <m/>
    <m/>
    <m/>
    <m/>
    <m/>
    <n v="0"/>
    <n v="0"/>
    <n v="0"/>
    <n v="0"/>
    <n v="0"/>
    <n v="0"/>
    <n v="0"/>
    <n v="1"/>
    <n v="1423"/>
    <n v="6"/>
    <n v="6"/>
    <n v="0"/>
    <n v="0"/>
    <n v="0"/>
    <n v="237"/>
    <n v="237"/>
    <n v="1"/>
    <n v="0"/>
    <n v="0"/>
    <n v="0"/>
    <n v="0"/>
    <n v="1"/>
    <n v="0"/>
    <n v="0"/>
    <n v="0"/>
    <n v="0"/>
    <x v="0"/>
    <s v="Village"/>
    <x v="2"/>
    <s v="Muslim"/>
    <n v="20.392137999999999"/>
    <n v="93.257272"/>
    <s v="MMR012CMP002"/>
    <x v="1"/>
    <m/>
  </r>
  <r>
    <x v="0"/>
    <x v="11"/>
    <x v="11"/>
    <m/>
    <x v="1"/>
    <x v="8"/>
    <x v="0"/>
    <x v="168"/>
    <n v="425"/>
    <n v="2552"/>
    <m/>
    <m/>
    <m/>
    <m/>
    <m/>
    <m/>
    <m/>
    <m/>
    <m/>
    <m/>
    <m/>
    <x v="3"/>
    <m/>
    <m/>
    <m/>
    <m/>
    <m/>
    <m/>
    <m/>
    <m/>
    <m/>
    <m/>
    <m/>
    <m/>
    <m/>
    <m/>
    <m/>
    <m/>
    <m/>
    <m/>
    <m/>
    <n v="0"/>
    <n v="0"/>
    <n v="0"/>
    <n v="0"/>
    <n v="0"/>
    <n v="0"/>
    <n v="0"/>
    <n v="1"/>
    <n v="2552"/>
    <n v="10"/>
    <n v="10"/>
    <n v="0"/>
    <n v="0"/>
    <n v="0"/>
    <n v="425"/>
    <n v="425"/>
    <n v="1"/>
    <n v="0"/>
    <n v="0"/>
    <n v="0"/>
    <n v="0"/>
    <n v="1"/>
    <n v="0"/>
    <n v="0"/>
    <n v="0"/>
    <n v="0"/>
    <x v="0"/>
    <s v="Village"/>
    <x v="2"/>
    <s v="Muslim"/>
    <n v="20.399269"/>
    <n v="92.781294000000003"/>
    <s v="MMR012CMP032"/>
    <x v="1"/>
    <m/>
  </r>
  <r>
    <x v="0"/>
    <x v="11"/>
    <x v="11"/>
    <m/>
    <x v="1"/>
    <x v="8"/>
    <x v="0"/>
    <x v="169"/>
    <n v="292"/>
    <n v="1751"/>
    <m/>
    <m/>
    <m/>
    <m/>
    <m/>
    <m/>
    <m/>
    <m/>
    <m/>
    <m/>
    <m/>
    <x v="3"/>
    <m/>
    <m/>
    <m/>
    <m/>
    <m/>
    <m/>
    <m/>
    <m/>
    <m/>
    <m/>
    <m/>
    <m/>
    <m/>
    <m/>
    <m/>
    <m/>
    <m/>
    <m/>
    <m/>
    <n v="0"/>
    <n v="0"/>
    <n v="0"/>
    <n v="0"/>
    <n v="0"/>
    <n v="0"/>
    <n v="0"/>
    <n v="1"/>
    <n v="1751"/>
    <n v="7"/>
    <n v="7"/>
    <n v="0"/>
    <n v="0"/>
    <n v="0"/>
    <n v="292"/>
    <n v="292"/>
    <n v="1"/>
    <n v="0"/>
    <n v="0"/>
    <n v="0"/>
    <n v="0"/>
    <n v="1"/>
    <n v="0"/>
    <n v="0"/>
    <n v="0"/>
    <n v="0"/>
    <x v="0"/>
    <s v="Village"/>
    <x v="2"/>
    <s v="Muslim"/>
    <n v="20.335864000000001"/>
    <n v="92.785706000000005"/>
    <s v="MMR012CMP031"/>
    <x v="1"/>
    <m/>
  </r>
  <r>
    <x v="0"/>
    <x v="13"/>
    <x v="1"/>
    <s v="OFDA"/>
    <x v="1"/>
    <x v="1"/>
    <x v="0"/>
    <x v="170"/>
    <n v="38"/>
    <n v="184"/>
    <d v="2018-05-01T00:00:00"/>
    <d v="2019-07-31T00:00:00"/>
    <n v="25"/>
    <n v="0"/>
    <n v="3"/>
    <n v="1"/>
    <n v="1"/>
    <n v="0"/>
    <n v="0"/>
    <m/>
    <n v="24"/>
    <x v="2"/>
    <n v="0"/>
    <n v="0"/>
    <n v="0"/>
    <n v="0"/>
    <n v="0"/>
    <m/>
    <n v="50"/>
    <n v="30"/>
    <n v="25"/>
    <n v="15"/>
    <n v="14"/>
    <n v="8"/>
    <n v="0"/>
    <m/>
    <m/>
    <m/>
    <m/>
    <n v="0.8"/>
    <n v="0.8"/>
    <n v="1"/>
    <n v="184"/>
    <n v="1"/>
    <n v="184"/>
    <n v="1"/>
    <n v="184"/>
    <n v="0.73599999999999999"/>
    <n v="0"/>
    <n v="0"/>
    <n v="0.26400000000000001"/>
    <n v="1"/>
    <n v="0.78260869565217395"/>
    <n v="144"/>
    <n v="0"/>
    <n v="31"/>
    <n v="7"/>
    <n v="0.21739130434782605"/>
    <n v="142"/>
    <n v="0"/>
    <n v="142"/>
    <n v="0.77173913043478259"/>
    <n v="0.22826086956521741"/>
    <n v="0.77173913043478259"/>
    <n v="0"/>
    <n v="0"/>
    <n v="0"/>
    <x v="1"/>
    <s v="Village"/>
    <x v="0"/>
    <n v="0"/>
    <n v="20.813840866088899"/>
    <n v="92.599952697753906"/>
    <n v="198357"/>
    <x v="0"/>
    <m/>
  </r>
  <r>
    <x v="0"/>
    <x v="13"/>
    <x v="1"/>
    <s v="OFDA"/>
    <x v="1"/>
    <x v="2"/>
    <x v="0"/>
    <x v="171"/>
    <n v="60"/>
    <n v="266"/>
    <d v="2018-05-01T00:00:00"/>
    <d v="2019-07-31T00:00:00"/>
    <n v="47"/>
    <n v="0"/>
    <n v="0"/>
    <n v="0"/>
    <n v="2"/>
    <n v="0"/>
    <n v="0"/>
    <m/>
    <n v="50"/>
    <x v="2"/>
    <n v="0"/>
    <n v="0"/>
    <n v="0"/>
    <n v="0"/>
    <n v="0"/>
    <m/>
    <n v="89"/>
    <n v="83"/>
    <n v="13"/>
    <n v="19"/>
    <n v="11"/>
    <n v="15"/>
    <n v="0"/>
    <n v="0"/>
    <m/>
    <m/>
    <m/>
    <n v="0.6"/>
    <n v="60"/>
    <n v="0"/>
    <n v="0"/>
    <n v="1"/>
    <n v="266"/>
    <n v="1"/>
    <n v="266"/>
    <n v="1.0640000000000001"/>
    <n v="0"/>
    <n v="0"/>
    <n v="0"/>
    <n v="1"/>
    <n v="1"/>
    <n v="266"/>
    <n v="0"/>
    <n v="44"/>
    <n v="0"/>
    <n v="0"/>
    <n v="230"/>
    <n v="0"/>
    <n v="230"/>
    <n v="0.86466165413533835"/>
    <n v="0.13533834586466165"/>
    <n v="0.86466165413533835"/>
    <n v="0"/>
    <n v="0"/>
    <n v="0"/>
    <x v="1"/>
    <s v="Village"/>
    <x v="0"/>
    <s v="Rakhine"/>
    <n v="20.991559980000002"/>
    <n v="92.290878300000003"/>
    <n v="197896"/>
    <x v="0"/>
    <m/>
  </r>
  <r>
    <x v="0"/>
    <x v="13"/>
    <x v="1"/>
    <s v="OFDA"/>
    <x v="1"/>
    <x v="1"/>
    <x v="0"/>
    <x v="172"/>
    <n v="41"/>
    <n v="172"/>
    <d v="2018-05-01T00:00:00"/>
    <d v="2019-07-31T00:00:00"/>
    <n v="37"/>
    <n v="0"/>
    <n v="0"/>
    <n v="4"/>
    <n v="2"/>
    <n v="0"/>
    <n v="0"/>
    <m/>
    <n v="30"/>
    <x v="2"/>
    <n v="2"/>
    <n v="0"/>
    <n v="0"/>
    <n v="0"/>
    <n v="0"/>
    <m/>
    <n v="40"/>
    <n v="50"/>
    <n v="17"/>
    <n v="15"/>
    <n v="17"/>
    <n v="15"/>
    <n v="0"/>
    <n v="1"/>
    <m/>
    <m/>
    <m/>
    <n v="0.7"/>
    <n v="70"/>
    <n v="1"/>
    <n v="172"/>
    <n v="1"/>
    <n v="172"/>
    <n v="1"/>
    <n v="172"/>
    <n v="0.68799999999999994"/>
    <n v="0"/>
    <n v="0"/>
    <n v="0.31200000000000006"/>
    <n v="1"/>
    <n v="1"/>
    <n v="172"/>
    <n v="100"/>
    <n v="29"/>
    <n v="0"/>
    <n v="0"/>
    <n v="154"/>
    <n v="0"/>
    <n v="154"/>
    <n v="0.89534883720930236"/>
    <n v="0.10465116279069764"/>
    <n v="0.89534883720930236"/>
    <n v="0"/>
    <n v="0"/>
    <n v="0"/>
    <x v="1"/>
    <s v="Village"/>
    <x v="0"/>
    <s v="Rakhine"/>
    <n v="20.818290709999999"/>
    <n v="92.594978330000004"/>
    <n v="217876"/>
    <x v="0"/>
    <m/>
  </r>
  <r>
    <x v="0"/>
    <x v="13"/>
    <x v="1"/>
    <s v="OFDA"/>
    <x v="1"/>
    <x v="1"/>
    <x v="0"/>
    <x v="173"/>
    <n v="24"/>
    <n v="91"/>
    <d v="2018-05-01T00:00:00"/>
    <d v="2019-07-31T00:00:00"/>
    <n v="15"/>
    <n v="0"/>
    <n v="0"/>
    <n v="2"/>
    <n v="0"/>
    <n v="0"/>
    <n v="0"/>
    <m/>
    <n v="20"/>
    <x v="2"/>
    <n v="0"/>
    <n v="0"/>
    <n v="0"/>
    <n v="0"/>
    <n v="0"/>
    <m/>
    <n v="19"/>
    <n v="17"/>
    <n v="12"/>
    <n v="14"/>
    <n v="6"/>
    <n v="11"/>
    <n v="0"/>
    <n v="0"/>
    <m/>
    <m/>
    <m/>
    <n v="0.8"/>
    <n v="0.8"/>
    <n v="1"/>
    <n v="91"/>
    <n v="0"/>
    <n v="0"/>
    <n v="1"/>
    <n v="91"/>
    <n v="0.36399999999999999"/>
    <n v="0"/>
    <n v="0"/>
    <n v="0.63600000000000001"/>
    <n v="1"/>
    <n v="1"/>
    <n v="91"/>
    <n v="0"/>
    <n v="15"/>
    <n v="0"/>
    <n v="0"/>
    <n v="79"/>
    <n v="0"/>
    <n v="79"/>
    <n v="0.86813186813186816"/>
    <n v="0.13186813186813184"/>
    <n v="0.86813186813186816"/>
    <n v="0"/>
    <n v="0"/>
    <n v="0"/>
    <x v="1"/>
    <s v="Village"/>
    <x v="0"/>
    <s v="Rakhine"/>
    <n v="20.849060059999999"/>
    <n v="92.497413640000005"/>
    <n v="198313"/>
    <x v="0"/>
    <m/>
  </r>
  <r>
    <x v="0"/>
    <x v="13"/>
    <x v="1"/>
    <s v="OFDA"/>
    <x v="1"/>
    <x v="1"/>
    <x v="0"/>
    <x v="174"/>
    <n v="115"/>
    <n v="658"/>
    <d v="2018-05-01T00:00:00"/>
    <d v="2019-07-31T00:00:00"/>
    <n v="420"/>
    <n v="0"/>
    <n v="0"/>
    <n v="1"/>
    <n v="2"/>
    <n v="0"/>
    <n v="0"/>
    <m/>
    <n v="80"/>
    <x v="1"/>
    <n v="1"/>
    <n v="0"/>
    <n v="0"/>
    <n v="0"/>
    <n v="0"/>
    <m/>
    <n v="150"/>
    <n v="96"/>
    <n v="40"/>
    <n v="37"/>
    <n v="32"/>
    <n v="30"/>
    <n v="0"/>
    <n v="0"/>
    <m/>
    <m/>
    <m/>
    <n v="0.75"/>
    <n v="0.75"/>
    <n v="1"/>
    <n v="658"/>
    <n v="1"/>
    <n v="658"/>
    <n v="1"/>
    <n v="658"/>
    <n v="2.6320000000000001"/>
    <n v="0"/>
    <n v="0"/>
    <n v="0.36799999999999988"/>
    <n v="3"/>
    <n v="0.80547112462006076"/>
    <n v="530"/>
    <n v="50"/>
    <n v="110"/>
    <n v="30"/>
    <n v="0.19452887537993924"/>
    <n v="385"/>
    <n v="0"/>
    <n v="385"/>
    <n v="0.58510638297872342"/>
    <n v="0.41489361702127658"/>
    <n v="0.58510638297872342"/>
    <n v="0"/>
    <n v="0"/>
    <n v="0"/>
    <x v="1"/>
    <s v="Village"/>
    <x v="0"/>
    <s v="Muslim"/>
    <n v="20.876710889999998"/>
    <n v="92.537406919999995"/>
    <n v="198301"/>
    <x v="0"/>
    <m/>
  </r>
  <r>
    <x v="0"/>
    <x v="13"/>
    <x v="1"/>
    <s v="OFDA"/>
    <x v="1"/>
    <x v="2"/>
    <x v="0"/>
    <x v="175"/>
    <n v="55"/>
    <n v="241"/>
    <d v="2018-05-01T00:00:00"/>
    <d v="2019-07-31T00:00:00"/>
    <n v="43"/>
    <n v="0"/>
    <n v="2"/>
    <n v="3"/>
    <n v="1"/>
    <n v="0"/>
    <n v="0"/>
    <m/>
    <n v="30"/>
    <x v="1"/>
    <n v="2"/>
    <n v="0"/>
    <n v="0"/>
    <n v="0"/>
    <n v="0"/>
    <m/>
    <n v="48"/>
    <n v="40"/>
    <n v="25"/>
    <n v="27"/>
    <n v="4"/>
    <n v="19"/>
    <n v="0"/>
    <n v="0"/>
    <m/>
    <m/>
    <m/>
    <n v="0.7"/>
    <n v="0.7"/>
    <n v="1"/>
    <n v="241"/>
    <n v="1"/>
    <n v="241"/>
    <n v="1"/>
    <n v="241"/>
    <n v="0.96399999999999997"/>
    <n v="0"/>
    <n v="0"/>
    <n v="3.6000000000000032E-2"/>
    <n v="1"/>
    <n v="1"/>
    <n v="241"/>
    <n v="100"/>
    <n v="40"/>
    <n v="10"/>
    <n v="0"/>
    <n v="163"/>
    <n v="0"/>
    <n v="163"/>
    <n v="0.67634854771784236"/>
    <n v="0.32365145228215764"/>
    <n v="0.67634854771784236"/>
    <n v="0"/>
    <n v="0"/>
    <n v="0"/>
    <x v="1"/>
    <s v="Village"/>
    <x v="0"/>
    <s v="Rakhine"/>
    <n v="20.8013000488281"/>
    <n v="92.423202514648395"/>
    <n v="217895"/>
    <x v="0"/>
    <m/>
  </r>
  <r>
    <x v="0"/>
    <x v="13"/>
    <x v="1"/>
    <s v="OFDA"/>
    <x v="1"/>
    <x v="1"/>
    <x v="0"/>
    <x v="176"/>
    <n v="105"/>
    <n v="523"/>
    <d v="2018-05-01T00:00:00"/>
    <d v="2019-07-31T00:00:00"/>
    <n v="120"/>
    <n v="0"/>
    <n v="0"/>
    <n v="2"/>
    <n v="1"/>
    <n v="0"/>
    <n v="0"/>
    <m/>
    <n v="50"/>
    <x v="2"/>
    <n v="0"/>
    <n v="0"/>
    <n v="0"/>
    <n v="0"/>
    <n v="0"/>
    <m/>
    <n v="190"/>
    <n v="100"/>
    <n v="50"/>
    <n v="60"/>
    <n v="40"/>
    <n v="30"/>
    <n v="0"/>
    <n v="0"/>
    <m/>
    <m/>
    <m/>
    <n v="0.85"/>
    <n v="0.85"/>
    <n v="1"/>
    <n v="523"/>
    <n v="1"/>
    <n v="523"/>
    <n v="1"/>
    <n v="523"/>
    <n v="2.0920000000000001"/>
    <n v="0"/>
    <n v="0"/>
    <n v="0"/>
    <n v="2"/>
    <n v="0.57361376673040154"/>
    <n v="300"/>
    <n v="0"/>
    <n v="87"/>
    <n v="37"/>
    <n v="0.42638623326959846"/>
    <n v="470"/>
    <n v="0"/>
    <n v="470"/>
    <n v="0.89866156787762907"/>
    <n v="0.10133843212237093"/>
    <n v="0.89866156787762907"/>
    <n v="0"/>
    <n v="0"/>
    <n v="0"/>
    <x v="1"/>
    <s v="Village"/>
    <x v="0"/>
    <s v="Muslim"/>
    <n v="20.806030270000001"/>
    <n v="92.601951600000007"/>
    <n v="198369"/>
    <x v="0"/>
    <m/>
  </r>
  <r>
    <x v="0"/>
    <x v="13"/>
    <x v="1"/>
    <s v="OFDA"/>
    <x v="1"/>
    <x v="2"/>
    <x v="0"/>
    <x v="177"/>
    <n v="170"/>
    <n v="989"/>
    <d v="2018-05-01T00:00:00"/>
    <d v="2019-07-31T00:00:00"/>
    <n v="500"/>
    <n v="0"/>
    <n v="2"/>
    <n v="6"/>
    <n v="4"/>
    <n v="0"/>
    <n v="1"/>
    <m/>
    <n v="102"/>
    <x v="2"/>
    <n v="2"/>
    <n v="0"/>
    <n v="0"/>
    <n v="0"/>
    <n v="0"/>
    <m/>
    <n v="160"/>
    <n v="80"/>
    <n v="80"/>
    <n v="65"/>
    <n v="55"/>
    <n v="47"/>
    <n v="0"/>
    <n v="1"/>
    <m/>
    <m/>
    <m/>
    <n v="0.7"/>
    <n v="0.7"/>
    <n v="1"/>
    <n v="989"/>
    <n v="1"/>
    <n v="989"/>
    <n v="1"/>
    <n v="989"/>
    <n v="3.956"/>
    <n v="0"/>
    <n v="0"/>
    <n v="4.4000000000000039E-2"/>
    <n v="4"/>
    <n v="0.71991911021233568"/>
    <n v="712"/>
    <n v="100"/>
    <n v="165"/>
    <n v="63"/>
    <n v="0.28008088978766432"/>
    <n v="487"/>
    <n v="0"/>
    <n v="487"/>
    <n v="0.49241658240647118"/>
    <n v="0.50758341759352876"/>
    <n v="0.49241658240647118"/>
    <n v="0"/>
    <n v="0"/>
    <n v="0"/>
    <x v="1"/>
    <s v="Village"/>
    <x v="0"/>
    <s v="Muslim"/>
    <n v="20.914119719999999"/>
    <n v="92.3506012"/>
    <n v="197950"/>
    <x v="0"/>
    <m/>
  </r>
  <r>
    <x v="0"/>
    <x v="13"/>
    <x v="1"/>
    <s v="OFDA"/>
    <x v="1"/>
    <x v="1"/>
    <x v="0"/>
    <x v="178"/>
    <n v="11"/>
    <n v="69"/>
    <d v="2018-05-01T00:00:00"/>
    <d v="2019-07-31T00:00:00"/>
    <n v="35"/>
    <n v="0"/>
    <n v="0"/>
    <n v="0"/>
    <n v="1"/>
    <n v="0"/>
    <n v="0"/>
    <m/>
    <n v="11"/>
    <x v="2"/>
    <n v="0"/>
    <n v="0"/>
    <n v="0"/>
    <n v="0"/>
    <n v="0"/>
    <m/>
    <n v="15"/>
    <n v="13"/>
    <n v="10"/>
    <n v="13"/>
    <n v="7"/>
    <n v="9"/>
    <n v="0"/>
    <n v="0"/>
    <m/>
    <m/>
    <m/>
    <n v="0.7"/>
    <n v="0.7"/>
    <n v="0"/>
    <n v="0"/>
    <n v="1"/>
    <n v="69"/>
    <n v="1"/>
    <n v="69"/>
    <n v="0.27600000000000002"/>
    <n v="0"/>
    <n v="0"/>
    <n v="0.72399999999999998"/>
    <n v="1"/>
    <n v="0.95652173913043481"/>
    <n v="66"/>
    <n v="0"/>
    <n v="12"/>
    <n v="1"/>
    <n v="4.3478260869565188E-2"/>
    <n v="67"/>
    <n v="0"/>
    <n v="67"/>
    <n v="0.97101449275362317"/>
    <n v="2.8985507246376829E-2"/>
    <n v="0.97101449275362317"/>
    <n v="0"/>
    <n v="0"/>
    <n v="0"/>
    <x v="1"/>
    <s v="Village"/>
    <x v="0"/>
    <s v="Muslim"/>
    <n v="20.887029649999999"/>
    <n v="92.556823730000005"/>
    <n v="217871"/>
    <x v="0"/>
    <m/>
  </r>
  <r>
    <x v="0"/>
    <x v="13"/>
    <x v="1"/>
    <s v="OFDA"/>
    <x v="1"/>
    <x v="2"/>
    <x v="0"/>
    <x v="179"/>
    <n v="87"/>
    <n v="361"/>
    <d v="2018-05-01T00:00:00"/>
    <d v="2019-07-31T00:00:00"/>
    <n v="67"/>
    <n v="0"/>
    <n v="2"/>
    <n v="0"/>
    <n v="3"/>
    <n v="0"/>
    <n v="0"/>
    <m/>
    <n v="30"/>
    <x v="1"/>
    <n v="0"/>
    <n v="0"/>
    <n v="0"/>
    <n v="0"/>
    <n v="0"/>
    <m/>
    <n v="95"/>
    <n v="91"/>
    <n v="25"/>
    <n v="26"/>
    <n v="17"/>
    <n v="23"/>
    <n v="0"/>
    <n v="0"/>
    <m/>
    <m/>
    <m/>
    <n v="0"/>
    <n v="0"/>
    <n v="1"/>
    <n v="361"/>
    <n v="1"/>
    <n v="361"/>
    <n v="1"/>
    <n v="361"/>
    <n v="1.444"/>
    <n v="0"/>
    <n v="0"/>
    <n v="0"/>
    <n v="1"/>
    <n v="0.49861495844875348"/>
    <n v="180"/>
    <n v="0"/>
    <n v="60"/>
    <n v="30"/>
    <n v="0.50138504155124652"/>
    <n v="277"/>
    <n v="0"/>
    <n v="277"/>
    <n v="0.76731301939058172"/>
    <n v="0.23268698060941828"/>
    <n v="0.76731301939058172"/>
    <n v="0"/>
    <n v="0"/>
    <n v="0"/>
    <x v="1"/>
    <s v="Village"/>
    <x v="0"/>
    <s v="Rakhine"/>
    <n v="20.651159289999999"/>
    <n v="92.605712890000007"/>
    <n v="0"/>
    <x v="0"/>
    <m/>
  </r>
  <r>
    <x v="0"/>
    <x v="13"/>
    <x v="1"/>
    <s v="OFDA"/>
    <x v="1"/>
    <x v="1"/>
    <x v="0"/>
    <x v="180"/>
    <n v="166"/>
    <n v="854"/>
    <d v="2018-05-01T00:00:00"/>
    <d v="2019-07-31T00:00:00"/>
    <n v="231"/>
    <n v="150"/>
    <n v="0"/>
    <n v="3"/>
    <n v="2"/>
    <n v="0"/>
    <n v="0"/>
    <m/>
    <n v="90"/>
    <x v="2"/>
    <n v="2"/>
    <n v="0"/>
    <n v="0"/>
    <n v="0"/>
    <n v="0"/>
    <m/>
    <n v="176"/>
    <n v="150"/>
    <n v="55"/>
    <n v="60"/>
    <n v="42"/>
    <n v="55"/>
    <n v="0"/>
    <n v="1"/>
    <m/>
    <m/>
    <m/>
    <n v="0.7"/>
    <n v="0.7"/>
    <n v="1"/>
    <n v="854"/>
    <n v="1"/>
    <n v="854"/>
    <n v="1"/>
    <n v="854"/>
    <n v="3.4159999999999999"/>
    <n v="0"/>
    <n v="0"/>
    <n v="0"/>
    <n v="3"/>
    <n v="0.74941451990632324"/>
    <n v="640"/>
    <n v="100"/>
    <n v="142"/>
    <n v="52"/>
    <n v="0.25058548009367676"/>
    <n v="538"/>
    <n v="0"/>
    <n v="538"/>
    <n v="0.62997658079625296"/>
    <n v="0.37002341920374704"/>
    <n v="0.62997658079625296"/>
    <n v="0"/>
    <n v="0"/>
    <n v="0"/>
    <x v="1"/>
    <s v="Village"/>
    <x v="0"/>
    <s v="Rakhine"/>
    <n v="20.756410599999999"/>
    <n v="92.63580322"/>
    <n v="198413"/>
    <x v="0"/>
    <m/>
  </r>
  <r>
    <x v="0"/>
    <x v="13"/>
    <x v="1"/>
    <s v="OFDA"/>
    <x v="1"/>
    <x v="2"/>
    <x v="0"/>
    <x v="181"/>
    <n v="24"/>
    <n v="93"/>
    <d v="2018-05-01T00:00:00"/>
    <d v="2019-07-31T00:00:00"/>
    <n v="28"/>
    <n v="0"/>
    <n v="0"/>
    <n v="0"/>
    <n v="1"/>
    <n v="0"/>
    <n v="0"/>
    <m/>
    <n v="15"/>
    <x v="2"/>
    <n v="0"/>
    <n v="0"/>
    <n v="0"/>
    <n v="0"/>
    <n v="0"/>
    <m/>
    <n v="16"/>
    <n v="19"/>
    <n v="10"/>
    <n v="15"/>
    <n v="9"/>
    <n v="10"/>
    <n v="0"/>
    <n v="0"/>
    <m/>
    <m/>
    <m/>
    <n v="0.6"/>
    <n v="0.6"/>
    <n v="0"/>
    <n v="0"/>
    <n v="1"/>
    <n v="93"/>
    <n v="1"/>
    <n v="93"/>
    <n v="0.372"/>
    <n v="0"/>
    <n v="0"/>
    <n v="0.628"/>
    <n v="1"/>
    <n v="0.967741935483871"/>
    <n v="90"/>
    <n v="0"/>
    <n v="16"/>
    <n v="1"/>
    <n v="3.2258064516129004E-2"/>
    <n v="79"/>
    <n v="0"/>
    <n v="79"/>
    <n v="0.84946236559139787"/>
    <n v="0.15053763440860213"/>
    <n v="0.84946236559139787"/>
    <n v="0"/>
    <n v="0"/>
    <n v="0"/>
    <x v="1"/>
    <s v="Village"/>
    <x v="0"/>
    <s v="Rakhine"/>
    <n v="21.004550930000001"/>
    <n v="92.294601439999994"/>
    <n v="197897"/>
    <x v="0"/>
    <m/>
  </r>
  <r>
    <x v="0"/>
    <x v="13"/>
    <x v="1"/>
    <s v="OFDA"/>
    <x v="1"/>
    <x v="1"/>
    <x v="0"/>
    <x v="182"/>
    <n v="55"/>
    <n v="233"/>
    <d v="2018-05-01T00:00:00"/>
    <d v="2019-07-31T00:00:00"/>
    <n v="30"/>
    <n v="150"/>
    <n v="0"/>
    <n v="2"/>
    <n v="1"/>
    <n v="0"/>
    <n v="0"/>
    <m/>
    <n v="50"/>
    <x v="2"/>
    <n v="0"/>
    <n v="0"/>
    <n v="0"/>
    <n v="0"/>
    <n v="0"/>
    <m/>
    <n v="40"/>
    <n v="55"/>
    <n v="30"/>
    <n v="20"/>
    <n v="14"/>
    <n v="13"/>
    <n v="0"/>
    <n v="0"/>
    <m/>
    <m/>
    <m/>
    <n v="0.8"/>
    <n v="0.8"/>
    <n v="1"/>
    <n v="233"/>
    <n v="1"/>
    <n v="233"/>
    <n v="1"/>
    <n v="233"/>
    <n v="0.93200000000000005"/>
    <n v="0"/>
    <n v="0"/>
    <n v="6.7999999999999949E-2"/>
    <n v="1"/>
    <n v="1"/>
    <n v="233"/>
    <n v="0"/>
    <n v="39"/>
    <n v="0"/>
    <n v="0"/>
    <n v="172"/>
    <n v="0"/>
    <n v="172"/>
    <n v="0.7381974248927039"/>
    <n v="0.2618025751072961"/>
    <n v="0.7381974248927039"/>
    <n v="0"/>
    <n v="0"/>
    <n v="0"/>
    <x v="1"/>
    <s v="Village"/>
    <x v="0"/>
    <s v="Rakhine"/>
    <n v="20.76407051"/>
    <n v="92.631126399999999"/>
    <n v="198408"/>
    <x v="0"/>
    <m/>
  </r>
  <r>
    <x v="0"/>
    <x v="13"/>
    <x v="1"/>
    <s v="OFDA"/>
    <x v="1"/>
    <x v="2"/>
    <x v="0"/>
    <x v="183"/>
    <n v="54"/>
    <n v="249"/>
    <d v="2018-05-01T00:00:00"/>
    <d v="2019-07-31T00:00:00"/>
    <n v="80"/>
    <n v="0"/>
    <n v="2"/>
    <n v="4"/>
    <n v="2"/>
    <n v="0"/>
    <n v="1"/>
    <m/>
    <n v="40"/>
    <x v="1"/>
    <n v="2"/>
    <n v="0"/>
    <n v="0"/>
    <n v="0"/>
    <n v="0"/>
    <m/>
    <n v="55"/>
    <n v="60"/>
    <n v="26"/>
    <n v="30"/>
    <n v="20"/>
    <n v="27"/>
    <n v="0"/>
    <n v="1"/>
    <m/>
    <m/>
    <m/>
    <n v="0.6"/>
    <n v="0.6"/>
    <n v="1"/>
    <n v="249"/>
    <n v="1"/>
    <n v="249"/>
    <n v="1"/>
    <n v="249"/>
    <n v="0.996"/>
    <n v="0"/>
    <n v="0"/>
    <n v="4.0000000000000036E-3"/>
    <n v="1"/>
    <n v="1"/>
    <n v="249"/>
    <n v="100"/>
    <n v="42"/>
    <n v="2"/>
    <n v="0"/>
    <n v="218"/>
    <n v="0"/>
    <n v="218"/>
    <n v="0.87550200803212852"/>
    <n v="0.12449799196787148"/>
    <n v="0.87550200803212852"/>
    <n v="0"/>
    <n v="0"/>
    <n v="0"/>
    <x v="1"/>
    <s v="Village"/>
    <x v="0"/>
    <n v="0"/>
    <n v="0"/>
    <n v="0"/>
    <n v="0"/>
    <x v="0"/>
    <m/>
  </r>
  <r>
    <x v="0"/>
    <x v="13"/>
    <x v="1"/>
    <s v="OFDA"/>
    <x v="1"/>
    <x v="2"/>
    <x v="0"/>
    <x v="184"/>
    <n v="62"/>
    <n v="332"/>
    <d v="2018-05-01T00:00:00"/>
    <d v="2019-07-31T00:00:00"/>
    <n v="5"/>
    <n v="0"/>
    <n v="0"/>
    <n v="2"/>
    <n v="1"/>
    <n v="0"/>
    <n v="0"/>
    <m/>
    <n v="15"/>
    <x v="2"/>
    <n v="0"/>
    <n v="0"/>
    <n v="0"/>
    <n v="0"/>
    <n v="0"/>
    <m/>
    <n v="85"/>
    <n v="53"/>
    <n v="28"/>
    <n v="34"/>
    <n v="3"/>
    <n v="2"/>
    <n v="0"/>
    <n v="0"/>
    <m/>
    <m/>
    <m/>
    <n v="0"/>
    <n v="0"/>
    <n v="1"/>
    <n v="332"/>
    <n v="1"/>
    <n v="332"/>
    <n v="1"/>
    <n v="332"/>
    <n v="1.3280000000000001"/>
    <n v="0"/>
    <n v="0"/>
    <n v="0"/>
    <n v="1"/>
    <n v="0.27108433734939757"/>
    <n v="90"/>
    <n v="0"/>
    <n v="55"/>
    <n v="40"/>
    <n v="0.72891566265060237"/>
    <n v="205"/>
    <n v="0"/>
    <n v="205"/>
    <n v="0.61746987951807231"/>
    <n v="0.38253012048192769"/>
    <n v="0.61746987951807231"/>
    <n v="0"/>
    <n v="0"/>
    <n v="0"/>
    <x v="1"/>
    <s v="Village"/>
    <x v="0"/>
    <s v="Muslim"/>
    <n v="20.7818698883057"/>
    <n v="92.393142700195298"/>
    <n v="198002"/>
    <x v="0"/>
    <m/>
  </r>
  <r>
    <x v="0"/>
    <x v="13"/>
    <x v="1"/>
    <s v="OFDA"/>
    <x v="1"/>
    <x v="1"/>
    <x v="0"/>
    <x v="185"/>
    <n v="260"/>
    <n v="2652"/>
    <d v="2018-05-01T00:00:00"/>
    <d v="2019-07-31T00:00:00"/>
    <n v="462"/>
    <n v="90"/>
    <n v="0"/>
    <n v="7"/>
    <n v="5"/>
    <n v="1"/>
    <n v="1"/>
    <m/>
    <n v="60"/>
    <x v="2"/>
    <n v="0"/>
    <n v="0"/>
    <n v="0"/>
    <n v="0"/>
    <n v="0"/>
    <m/>
    <n v="225"/>
    <n v="190"/>
    <n v="80"/>
    <n v="25"/>
    <n v="40"/>
    <n v="46"/>
    <n v="0"/>
    <n v="0"/>
    <m/>
    <m/>
    <m/>
    <n v="0.75"/>
    <n v="0.75"/>
    <n v="1"/>
    <n v="2652"/>
    <n v="1"/>
    <n v="2652"/>
    <n v="1"/>
    <n v="2652"/>
    <n v="10.608000000000001"/>
    <n v="0"/>
    <n v="0"/>
    <n v="0.39199999999999946"/>
    <n v="11"/>
    <n v="0.13574660633484162"/>
    <n v="360"/>
    <n v="0"/>
    <n v="442"/>
    <n v="382"/>
    <n v="0.86425339366515841"/>
    <n v="606"/>
    <n v="0"/>
    <n v="606"/>
    <n v="0.22850678733031674"/>
    <n v="0.77149321266968329"/>
    <n v="0.22850678733031674"/>
    <n v="0"/>
    <n v="0"/>
    <n v="0"/>
    <x v="1"/>
    <s v="Village"/>
    <x v="0"/>
    <s v="Muslim"/>
    <n v="20.775840759277301"/>
    <n v="92.613082885742202"/>
    <n v="198407"/>
    <x v="0"/>
    <m/>
  </r>
  <r>
    <x v="0"/>
    <x v="13"/>
    <x v="1"/>
    <s v="OFDA"/>
    <x v="1"/>
    <x v="2"/>
    <x v="0"/>
    <x v="186"/>
    <n v="150"/>
    <n v="626"/>
    <d v="2018-05-01T00:00:00"/>
    <d v="2019-07-31T00:00:00"/>
    <n v="100"/>
    <n v="0"/>
    <n v="0"/>
    <n v="6"/>
    <n v="0"/>
    <n v="0"/>
    <n v="0"/>
    <m/>
    <n v="82"/>
    <x v="2"/>
    <n v="0"/>
    <n v="0"/>
    <n v="0"/>
    <n v="0"/>
    <n v="0"/>
    <m/>
    <n v="88"/>
    <n v="65"/>
    <n v="45"/>
    <n v="30"/>
    <n v="39"/>
    <n v="28"/>
    <n v="0"/>
    <n v="1"/>
    <m/>
    <m/>
    <m/>
    <n v="0.7"/>
    <n v="0.7"/>
    <n v="1"/>
    <n v="626"/>
    <n v="0"/>
    <n v="0"/>
    <n v="1"/>
    <n v="626"/>
    <n v="2.504"/>
    <n v="0"/>
    <n v="0"/>
    <n v="0.496"/>
    <n v="3"/>
    <n v="0.78594249201277955"/>
    <n v="492"/>
    <n v="0"/>
    <n v="104"/>
    <n v="22"/>
    <n v="0.21405750798722045"/>
    <n v="295"/>
    <n v="0"/>
    <n v="295"/>
    <n v="0.47124600638977637"/>
    <n v="0.52875399361022368"/>
    <n v="0.47124600638977637"/>
    <n v="0"/>
    <n v="0"/>
    <n v="0"/>
    <x v="1"/>
    <s v="Village"/>
    <x v="0"/>
    <s v="Muslim"/>
    <n v="20.900329589999998"/>
    <n v="92.362213130000001"/>
    <n v="197957"/>
    <x v="0"/>
    <m/>
  </r>
  <r>
    <x v="0"/>
    <x v="13"/>
    <x v="1"/>
    <s v="OFDA"/>
    <x v="1"/>
    <x v="1"/>
    <x v="0"/>
    <x v="187"/>
    <n v="192"/>
    <n v="1690"/>
    <d v="2018-05-01T00:00:00"/>
    <d v="2019-07-31T00:00:00"/>
    <n v="190"/>
    <n v="30"/>
    <n v="0"/>
    <n v="0"/>
    <n v="2"/>
    <n v="0"/>
    <n v="0"/>
    <m/>
    <n v="94"/>
    <x v="2"/>
    <n v="0"/>
    <n v="0"/>
    <n v="0"/>
    <n v="0"/>
    <n v="0"/>
    <m/>
    <n v="156"/>
    <n v="97"/>
    <n v="48"/>
    <n v="51"/>
    <n v="30"/>
    <n v="43"/>
    <n v="0"/>
    <n v="0"/>
    <m/>
    <m/>
    <m/>
    <n v="0.6"/>
    <n v="0.6"/>
    <n v="0"/>
    <n v="0"/>
    <n v="1"/>
    <n v="1690"/>
    <n v="1"/>
    <n v="1690"/>
    <n v="6.76"/>
    <n v="0"/>
    <n v="0"/>
    <n v="0.24000000000000021"/>
    <n v="7"/>
    <n v="0.33372781065088758"/>
    <n v="564"/>
    <n v="0"/>
    <n v="282"/>
    <n v="188"/>
    <n v="0.66627218934911236"/>
    <n v="425"/>
    <n v="0"/>
    <n v="425"/>
    <n v="0.25147928994082841"/>
    <n v="0.74852071005917153"/>
    <n v="0.25147928994082841"/>
    <n v="0"/>
    <n v="0"/>
    <n v="0"/>
    <x v="1"/>
    <s v="Village"/>
    <x v="0"/>
    <s v="Muslim"/>
    <n v="20.741249079999999"/>
    <n v="92.610519409999995"/>
    <n v="198398"/>
    <x v="0"/>
    <m/>
  </r>
  <r>
    <x v="0"/>
    <x v="13"/>
    <x v="1"/>
    <s v="OFDA"/>
    <x v="1"/>
    <x v="1"/>
    <x v="0"/>
    <x v="188"/>
    <n v="80"/>
    <n v="300"/>
    <d v="2018-05-01T00:00:00"/>
    <d v="2019-07-31T00:00:00"/>
    <n v="40"/>
    <n v="30"/>
    <n v="0"/>
    <n v="0"/>
    <n v="2"/>
    <n v="0"/>
    <n v="0"/>
    <m/>
    <n v="60"/>
    <x v="2"/>
    <n v="0"/>
    <n v="0"/>
    <n v="0"/>
    <n v="0"/>
    <n v="0"/>
    <m/>
    <n v="59"/>
    <n v="60"/>
    <n v="37"/>
    <n v="41"/>
    <n v="29"/>
    <n v="34"/>
    <n v="0"/>
    <n v="0"/>
    <m/>
    <m/>
    <m/>
    <n v="0.7"/>
    <n v="0.7"/>
    <n v="0"/>
    <n v="0"/>
    <n v="1"/>
    <n v="300"/>
    <n v="1"/>
    <n v="300"/>
    <n v="1.2"/>
    <n v="0"/>
    <n v="0"/>
    <n v="0"/>
    <n v="1"/>
    <n v="1"/>
    <n v="300"/>
    <n v="0"/>
    <n v="50"/>
    <n v="0"/>
    <n v="0"/>
    <n v="260"/>
    <n v="0"/>
    <n v="260"/>
    <n v="0.8666666666666667"/>
    <n v="0.1333333333333333"/>
    <n v="0.8666666666666667"/>
    <n v="0"/>
    <n v="0"/>
    <n v="0"/>
    <x v="1"/>
    <s v="Village"/>
    <x v="0"/>
    <s v="Rakhine"/>
    <n v="20.739839549999999"/>
    <n v="92.613456729999996"/>
    <n v="198399"/>
    <x v="0"/>
    <m/>
  </r>
  <r>
    <x v="0"/>
    <x v="13"/>
    <x v="1"/>
    <s v="OFDA"/>
    <x v="1"/>
    <x v="1"/>
    <x v="0"/>
    <x v="189"/>
    <n v="20"/>
    <n v="96"/>
    <d v="2018-05-01T00:00:00"/>
    <d v="2019-07-31T00:00:00"/>
    <n v="30"/>
    <n v="0"/>
    <n v="0"/>
    <n v="0"/>
    <n v="1"/>
    <n v="0"/>
    <m/>
    <m/>
    <n v="17"/>
    <x v="2"/>
    <n v="0"/>
    <n v="0"/>
    <n v="0"/>
    <n v="0"/>
    <n v="0"/>
    <m/>
    <n v="19"/>
    <n v="15"/>
    <n v="10"/>
    <n v="9"/>
    <n v="9"/>
    <n v="7"/>
    <n v="0"/>
    <n v="0"/>
    <m/>
    <m/>
    <m/>
    <n v="0.7"/>
    <n v="0.7"/>
    <n v="0"/>
    <n v="0"/>
    <n v="1"/>
    <n v="96"/>
    <n v="1"/>
    <n v="96"/>
    <n v="0.38400000000000001"/>
    <n v="0"/>
    <n v="0"/>
    <n v="0.61599999999999999"/>
    <n v="1"/>
    <n v="1"/>
    <n v="96"/>
    <n v="0"/>
    <n v="16"/>
    <n v="0"/>
    <n v="0"/>
    <n v="69"/>
    <n v="0"/>
    <n v="69"/>
    <n v="0.71875"/>
    <n v="0.28125"/>
    <n v="0.71875"/>
    <n v="0"/>
    <n v="0"/>
    <n v="0"/>
    <x v="1"/>
    <s v="Village"/>
    <x v="0"/>
    <n v="0"/>
    <n v="0"/>
    <n v="0"/>
    <n v="0"/>
    <x v="0"/>
    <m/>
  </r>
  <r>
    <x v="0"/>
    <x v="13"/>
    <x v="1"/>
    <s v="OFDA"/>
    <x v="1"/>
    <x v="1"/>
    <x v="0"/>
    <x v="190"/>
    <n v="311"/>
    <n v="1713"/>
    <d v="2018-05-01T00:00:00"/>
    <d v="2019-07-31T00:00:00"/>
    <n v="335"/>
    <n v="0"/>
    <n v="0"/>
    <n v="0"/>
    <n v="2"/>
    <n v="1"/>
    <n v="1"/>
    <m/>
    <n v="50"/>
    <x v="2"/>
    <n v="2"/>
    <n v="0"/>
    <n v="0"/>
    <n v="0"/>
    <n v="0"/>
    <m/>
    <n v="200"/>
    <n v="50"/>
    <n v="66"/>
    <n v="70"/>
    <n v="50"/>
    <n v="40"/>
    <n v="0"/>
    <n v="1"/>
    <m/>
    <m/>
    <m/>
    <n v="0.8"/>
    <n v="0.8"/>
    <n v="0.14594279042615294"/>
    <n v="249.99999999999997"/>
    <n v="1"/>
    <n v="1713"/>
    <n v="1"/>
    <n v="1713"/>
    <n v="6.8520000000000003"/>
    <n v="0"/>
    <n v="0"/>
    <n v="0.14799999999999969"/>
    <n v="7"/>
    <n v="0.23350846468184472"/>
    <n v="400"/>
    <n v="100"/>
    <n v="286"/>
    <n v="236"/>
    <n v="0.76649153531815528"/>
    <n v="476"/>
    <n v="0"/>
    <n v="476"/>
    <n v="0.27787507297139519"/>
    <n v="0.72212492702860476"/>
    <n v="0.27787507297139519"/>
    <n v="0"/>
    <n v="0"/>
    <n v="0"/>
    <x v="1"/>
    <s v="Village"/>
    <x v="0"/>
    <n v="0"/>
    <n v="0"/>
    <n v="0"/>
    <n v="0"/>
    <x v="0"/>
    <m/>
  </r>
  <r>
    <x v="0"/>
    <x v="13"/>
    <x v="1"/>
    <s v="OFDA"/>
    <x v="1"/>
    <x v="1"/>
    <x v="0"/>
    <x v="191"/>
    <n v="250"/>
    <n v="1012"/>
    <d v="2018-05-01T00:00:00"/>
    <d v="2019-07-31T00:00:00"/>
    <n v="732"/>
    <n v="90"/>
    <n v="3"/>
    <n v="0"/>
    <n v="2"/>
    <n v="1"/>
    <n v="1"/>
    <m/>
    <n v="150"/>
    <x v="1"/>
    <n v="4"/>
    <n v="0"/>
    <n v="0"/>
    <n v="0"/>
    <n v="0"/>
    <m/>
    <n v="0"/>
    <n v="0"/>
    <n v="0"/>
    <n v="0"/>
    <n v="0"/>
    <n v="0"/>
    <n v="0"/>
    <n v="0"/>
    <m/>
    <m/>
    <m/>
    <n v="0.85"/>
    <n v="0.85"/>
    <n v="1"/>
    <n v="1012"/>
    <n v="1"/>
    <n v="1012"/>
    <n v="1"/>
    <n v="1012"/>
    <n v="4.048"/>
    <n v="0"/>
    <n v="0"/>
    <n v="0"/>
    <n v="4"/>
    <n v="1"/>
    <n v="1012"/>
    <n v="200"/>
    <n v="169"/>
    <n v="19"/>
    <n v="0"/>
    <n v="0"/>
    <n v="0"/>
    <n v="0"/>
    <n v="0"/>
    <n v="1"/>
    <n v="0"/>
    <n v="0"/>
    <n v="0"/>
    <n v="0"/>
    <x v="1"/>
    <s v="Village"/>
    <x v="0"/>
    <n v="0"/>
    <n v="20.735639572143601"/>
    <n v="92.638076782226605"/>
    <n v="198424"/>
    <x v="0"/>
    <m/>
  </r>
  <r>
    <x v="0"/>
    <x v="10"/>
    <x v="10"/>
    <s v="GIZ"/>
    <x v="0"/>
    <x v="7"/>
    <x v="0"/>
    <x v="192"/>
    <n v="73"/>
    <n v="306"/>
    <d v="2017-06-01T00:00:00"/>
    <d v="2019-05-31T00:00:00"/>
    <m/>
    <m/>
    <m/>
    <m/>
    <m/>
    <m/>
    <m/>
    <m/>
    <m/>
    <x v="3"/>
    <m/>
    <m/>
    <m/>
    <m/>
    <m/>
    <m/>
    <m/>
    <m/>
    <m/>
    <m/>
    <m/>
    <m/>
    <m/>
    <m/>
    <m/>
    <m/>
    <m/>
    <m/>
    <m/>
    <n v="0"/>
    <n v="0"/>
    <n v="0"/>
    <n v="0"/>
    <n v="0"/>
    <n v="0"/>
    <n v="0"/>
    <n v="1"/>
    <n v="306"/>
    <n v="1"/>
    <n v="1"/>
    <n v="0"/>
    <n v="0"/>
    <n v="0"/>
    <n v="51"/>
    <n v="51"/>
    <n v="1"/>
    <n v="0"/>
    <n v="0"/>
    <n v="0"/>
    <n v="0"/>
    <n v="1"/>
    <n v="0"/>
    <n v="0"/>
    <n v="0"/>
    <n v="0"/>
    <x v="0"/>
    <s v="Village"/>
    <x v="0"/>
    <s v="Rakhine"/>
    <n v="0"/>
    <n v="0"/>
    <n v="0"/>
    <x v="0"/>
    <m/>
  </r>
  <r>
    <x v="0"/>
    <x v="10"/>
    <x v="10"/>
    <s v="GIZ"/>
    <x v="0"/>
    <x v="7"/>
    <x v="0"/>
    <x v="193"/>
    <n v="168"/>
    <n v="1002"/>
    <d v="2017-06-01T00:00:00"/>
    <d v="2019-05-31T00:00:00"/>
    <m/>
    <m/>
    <m/>
    <m/>
    <m/>
    <m/>
    <m/>
    <m/>
    <m/>
    <x v="3"/>
    <m/>
    <m/>
    <m/>
    <m/>
    <m/>
    <m/>
    <m/>
    <m/>
    <m/>
    <m/>
    <m/>
    <m/>
    <m/>
    <m/>
    <m/>
    <m/>
    <m/>
    <m/>
    <m/>
    <n v="0"/>
    <n v="0"/>
    <n v="0"/>
    <n v="0"/>
    <n v="0"/>
    <n v="0"/>
    <n v="0"/>
    <n v="1"/>
    <n v="1002"/>
    <n v="4"/>
    <n v="4"/>
    <n v="0"/>
    <n v="0"/>
    <n v="0"/>
    <n v="167"/>
    <n v="167"/>
    <n v="1"/>
    <n v="0"/>
    <n v="0"/>
    <n v="0"/>
    <n v="0"/>
    <n v="1"/>
    <n v="0"/>
    <n v="0"/>
    <n v="0"/>
    <n v="0"/>
    <x v="0"/>
    <s v="Village"/>
    <x v="0"/>
    <s v="Muslim"/>
    <n v="0"/>
    <n v="0"/>
    <n v="196818"/>
    <x v="0"/>
    <m/>
  </r>
  <r>
    <x v="0"/>
    <x v="10"/>
    <x v="10"/>
    <s v="GIZ"/>
    <x v="0"/>
    <x v="7"/>
    <x v="0"/>
    <x v="194"/>
    <n v="45"/>
    <n v="206"/>
    <d v="2017-06-01T00:00:00"/>
    <d v="2019-05-31T00:00:00"/>
    <m/>
    <m/>
    <m/>
    <m/>
    <m/>
    <m/>
    <m/>
    <m/>
    <m/>
    <x v="3"/>
    <m/>
    <m/>
    <m/>
    <m/>
    <m/>
    <m/>
    <m/>
    <m/>
    <m/>
    <m/>
    <m/>
    <m/>
    <m/>
    <m/>
    <m/>
    <m/>
    <m/>
    <m/>
    <m/>
    <n v="0"/>
    <n v="0"/>
    <n v="0"/>
    <n v="0"/>
    <n v="0"/>
    <n v="0"/>
    <n v="0"/>
    <n v="1"/>
    <n v="206"/>
    <n v="1"/>
    <n v="1"/>
    <n v="0"/>
    <n v="0"/>
    <n v="0"/>
    <n v="34"/>
    <n v="34"/>
    <n v="1"/>
    <n v="0"/>
    <n v="0"/>
    <n v="0"/>
    <n v="0"/>
    <n v="1"/>
    <n v="0"/>
    <n v="0"/>
    <n v="0"/>
    <n v="0"/>
    <x v="0"/>
    <s v="Village"/>
    <x v="0"/>
    <s v="Rakhine"/>
    <n v="20.879186630248999"/>
    <n v="92.938163757324205"/>
    <n v="196821"/>
    <x v="0"/>
    <m/>
  </r>
  <r>
    <x v="0"/>
    <x v="10"/>
    <x v="10"/>
    <s v="GIZ"/>
    <x v="0"/>
    <x v="7"/>
    <x v="0"/>
    <x v="195"/>
    <n v="513"/>
    <n v="3224"/>
    <d v="2017-06-01T00:00:00"/>
    <d v="2019-05-31T00:00:00"/>
    <m/>
    <m/>
    <m/>
    <m/>
    <m/>
    <m/>
    <m/>
    <m/>
    <m/>
    <x v="3"/>
    <m/>
    <m/>
    <m/>
    <m/>
    <m/>
    <m/>
    <m/>
    <m/>
    <m/>
    <m/>
    <m/>
    <m/>
    <m/>
    <m/>
    <m/>
    <m/>
    <m/>
    <m/>
    <m/>
    <n v="0"/>
    <n v="0"/>
    <n v="0"/>
    <n v="0"/>
    <n v="0"/>
    <n v="0"/>
    <n v="0"/>
    <n v="1"/>
    <n v="3224"/>
    <n v="13"/>
    <n v="13"/>
    <n v="0"/>
    <n v="0"/>
    <n v="0"/>
    <n v="537"/>
    <n v="537"/>
    <n v="1"/>
    <n v="0"/>
    <n v="0"/>
    <n v="0"/>
    <n v="0"/>
    <n v="1"/>
    <n v="0"/>
    <n v="0"/>
    <n v="0"/>
    <n v="0"/>
    <x v="0"/>
    <s v="Village"/>
    <x v="0"/>
    <s v="Muslim"/>
    <n v="20.864519120000001"/>
    <n v="92.940399170000006"/>
    <n v="196817"/>
    <x v="0"/>
    <m/>
  </r>
  <r>
    <x v="0"/>
    <x v="10"/>
    <x v="10"/>
    <s v="GIZ"/>
    <x v="0"/>
    <x v="7"/>
    <x v="0"/>
    <x v="196"/>
    <n v="454"/>
    <n v="3020"/>
    <d v="2017-06-01T00:00:00"/>
    <d v="2019-05-31T00:00:00"/>
    <m/>
    <m/>
    <m/>
    <m/>
    <m/>
    <m/>
    <m/>
    <m/>
    <m/>
    <x v="3"/>
    <m/>
    <m/>
    <m/>
    <m/>
    <m/>
    <m/>
    <m/>
    <m/>
    <m/>
    <m/>
    <m/>
    <m/>
    <m/>
    <m/>
    <m/>
    <m/>
    <m/>
    <m/>
    <m/>
    <n v="0"/>
    <n v="0"/>
    <n v="0"/>
    <n v="0"/>
    <n v="0"/>
    <n v="0"/>
    <n v="0"/>
    <n v="1"/>
    <n v="3020"/>
    <n v="12"/>
    <n v="12"/>
    <n v="0"/>
    <n v="0"/>
    <n v="0"/>
    <n v="503"/>
    <n v="503"/>
    <n v="1"/>
    <n v="0"/>
    <n v="0"/>
    <n v="0"/>
    <n v="0"/>
    <n v="1"/>
    <n v="0"/>
    <n v="0"/>
    <n v="0"/>
    <n v="0"/>
    <x v="0"/>
    <s v="Village"/>
    <x v="0"/>
    <s v="Muslim"/>
    <n v="20.85956955"/>
    <n v="92.941146849999996"/>
    <n v="196823"/>
    <x v="0"/>
    <m/>
  </r>
  <r>
    <x v="0"/>
    <x v="10"/>
    <x v="10"/>
    <s v="GIZ"/>
    <x v="0"/>
    <x v="7"/>
    <x v="0"/>
    <x v="197"/>
    <n v="170"/>
    <n v="825"/>
    <d v="2017-06-01T00:00:00"/>
    <d v="2019-05-31T00:00:00"/>
    <m/>
    <m/>
    <m/>
    <m/>
    <m/>
    <m/>
    <m/>
    <m/>
    <m/>
    <x v="3"/>
    <m/>
    <m/>
    <m/>
    <m/>
    <m/>
    <m/>
    <m/>
    <m/>
    <m/>
    <m/>
    <m/>
    <m/>
    <m/>
    <m/>
    <m/>
    <m/>
    <m/>
    <m/>
    <m/>
    <n v="0"/>
    <n v="0"/>
    <n v="0"/>
    <n v="0"/>
    <n v="0"/>
    <n v="0"/>
    <n v="0"/>
    <n v="1"/>
    <n v="825"/>
    <n v="3"/>
    <n v="3"/>
    <n v="0"/>
    <n v="0"/>
    <n v="0"/>
    <n v="138"/>
    <n v="138"/>
    <n v="1"/>
    <n v="0"/>
    <n v="0"/>
    <n v="0"/>
    <n v="0"/>
    <n v="1"/>
    <n v="0"/>
    <n v="0"/>
    <n v="0"/>
    <n v="0"/>
    <x v="0"/>
    <s v="Village"/>
    <x v="0"/>
    <s v="Rakhine"/>
    <n v="20.894269940000001"/>
    <n v="92.920730590000005"/>
    <n v="196814"/>
    <x v="0"/>
    <m/>
  </r>
  <r>
    <x v="0"/>
    <x v="10"/>
    <x v="10"/>
    <s v="GIZ"/>
    <x v="0"/>
    <x v="7"/>
    <x v="0"/>
    <x v="198"/>
    <n v="144"/>
    <n v="792"/>
    <d v="2017-06-01T00:00:00"/>
    <d v="2019-05-31T00:00:00"/>
    <m/>
    <m/>
    <m/>
    <m/>
    <m/>
    <m/>
    <m/>
    <m/>
    <m/>
    <x v="3"/>
    <m/>
    <m/>
    <m/>
    <m/>
    <m/>
    <m/>
    <m/>
    <m/>
    <m/>
    <m/>
    <m/>
    <m/>
    <m/>
    <m/>
    <m/>
    <m/>
    <m/>
    <m/>
    <m/>
    <n v="0"/>
    <n v="0"/>
    <n v="0"/>
    <n v="0"/>
    <n v="0"/>
    <n v="0"/>
    <n v="0"/>
    <n v="1"/>
    <n v="792"/>
    <n v="3"/>
    <n v="3"/>
    <n v="0"/>
    <n v="0"/>
    <n v="0"/>
    <n v="132"/>
    <n v="132"/>
    <n v="1"/>
    <n v="0"/>
    <n v="0"/>
    <n v="0"/>
    <n v="0"/>
    <n v="1"/>
    <n v="0"/>
    <n v="0"/>
    <n v="0"/>
    <n v="0"/>
    <x v="0"/>
    <s v="Village"/>
    <x v="0"/>
    <s v="Dinet"/>
    <n v="0"/>
    <n v="0"/>
    <n v="196815"/>
    <x v="0"/>
    <m/>
  </r>
  <r>
    <x v="0"/>
    <x v="10"/>
    <x v="10"/>
    <s v="GIZ"/>
    <x v="0"/>
    <x v="7"/>
    <x v="0"/>
    <x v="199"/>
    <n v="50"/>
    <n v="207"/>
    <d v="2017-06-01T00:00:00"/>
    <d v="2019-05-31T00:00:00"/>
    <m/>
    <m/>
    <m/>
    <m/>
    <m/>
    <m/>
    <m/>
    <m/>
    <m/>
    <x v="3"/>
    <m/>
    <m/>
    <m/>
    <m/>
    <m/>
    <m/>
    <m/>
    <m/>
    <m/>
    <m/>
    <m/>
    <m/>
    <m/>
    <m/>
    <m/>
    <m/>
    <m/>
    <m/>
    <m/>
    <n v="0"/>
    <n v="0"/>
    <n v="0"/>
    <n v="0"/>
    <n v="0"/>
    <n v="0"/>
    <n v="0"/>
    <n v="1"/>
    <n v="207"/>
    <n v="1"/>
    <n v="1"/>
    <n v="0"/>
    <n v="0"/>
    <n v="0"/>
    <n v="35"/>
    <n v="35"/>
    <n v="1"/>
    <n v="0"/>
    <n v="0"/>
    <n v="0"/>
    <n v="0"/>
    <n v="1"/>
    <n v="0"/>
    <n v="0"/>
    <n v="0"/>
    <n v="0"/>
    <x v="0"/>
    <s v="Village"/>
    <x v="0"/>
    <s v="Mro"/>
    <n v="20.895059589999999"/>
    <n v="92.90735626"/>
    <n v="196807"/>
    <x v="0"/>
    <m/>
  </r>
  <r>
    <x v="0"/>
    <x v="10"/>
    <x v="10"/>
    <s v="GIZ"/>
    <x v="0"/>
    <x v="7"/>
    <x v="0"/>
    <x v="200"/>
    <n v="90"/>
    <n v="375"/>
    <d v="2017-06-01T00:00:00"/>
    <d v="2019-05-31T00:00:00"/>
    <m/>
    <m/>
    <m/>
    <m/>
    <m/>
    <m/>
    <m/>
    <m/>
    <m/>
    <x v="3"/>
    <m/>
    <m/>
    <m/>
    <m/>
    <m/>
    <m/>
    <m/>
    <m/>
    <m/>
    <m/>
    <m/>
    <m/>
    <m/>
    <m/>
    <m/>
    <m/>
    <m/>
    <m/>
    <m/>
    <n v="0"/>
    <n v="0"/>
    <n v="0"/>
    <n v="0"/>
    <n v="0"/>
    <n v="0"/>
    <n v="0"/>
    <n v="1"/>
    <n v="375"/>
    <n v="2"/>
    <n v="2"/>
    <n v="0"/>
    <n v="0"/>
    <n v="0"/>
    <n v="63"/>
    <n v="63"/>
    <n v="1"/>
    <n v="0"/>
    <n v="0"/>
    <n v="0"/>
    <n v="0"/>
    <n v="1"/>
    <n v="0"/>
    <n v="0"/>
    <n v="0"/>
    <n v="0"/>
    <x v="0"/>
    <s v="Village"/>
    <x v="0"/>
    <s v="Rakhine"/>
    <n v="20.803710939999998"/>
    <n v="92.946136469999999"/>
    <n v="196886"/>
    <x v="0"/>
    <m/>
  </r>
  <r>
    <x v="0"/>
    <x v="10"/>
    <x v="10"/>
    <s v="GIZ"/>
    <x v="0"/>
    <x v="7"/>
    <x v="0"/>
    <x v="201"/>
    <n v="173"/>
    <n v="867"/>
    <d v="2017-06-01T00:00:00"/>
    <d v="2019-05-31T00:00:00"/>
    <m/>
    <m/>
    <m/>
    <m/>
    <m/>
    <m/>
    <m/>
    <m/>
    <m/>
    <x v="3"/>
    <m/>
    <m/>
    <m/>
    <m/>
    <m/>
    <m/>
    <m/>
    <m/>
    <m/>
    <m/>
    <m/>
    <m/>
    <m/>
    <m/>
    <m/>
    <m/>
    <m/>
    <m/>
    <m/>
    <n v="0"/>
    <n v="0"/>
    <n v="0"/>
    <n v="0"/>
    <n v="0"/>
    <n v="0"/>
    <n v="0"/>
    <n v="1"/>
    <n v="867"/>
    <n v="3"/>
    <n v="3"/>
    <n v="0"/>
    <n v="0"/>
    <n v="0"/>
    <n v="145"/>
    <n v="145"/>
    <n v="1"/>
    <n v="0"/>
    <n v="0"/>
    <n v="0"/>
    <n v="0"/>
    <n v="1"/>
    <n v="0"/>
    <n v="0"/>
    <n v="0"/>
    <n v="0"/>
    <x v="0"/>
    <s v="Village"/>
    <x v="0"/>
    <n v="0"/>
    <n v="20.80635071"/>
    <n v="92.948310849999999"/>
    <n v="196885"/>
    <x v="0"/>
    <m/>
  </r>
  <r>
    <x v="0"/>
    <x v="10"/>
    <x v="10"/>
    <s v="GIZ"/>
    <x v="0"/>
    <x v="7"/>
    <x v="0"/>
    <x v="202"/>
    <n v="98"/>
    <n v="418"/>
    <d v="2017-06-01T00:00:00"/>
    <d v="2019-05-31T00:00:00"/>
    <m/>
    <m/>
    <m/>
    <m/>
    <m/>
    <m/>
    <m/>
    <m/>
    <m/>
    <x v="3"/>
    <m/>
    <m/>
    <m/>
    <m/>
    <m/>
    <m/>
    <m/>
    <m/>
    <m/>
    <m/>
    <m/>
    <m/>
    <m/>
    <m/>
    <m/>
    <m/>
    <m/>
    <m/>
    <m/>
    <n v="0"/>
    <n v="0"/>
    <n v="0"/>
    <n v="0"/>
    <n v="0"/>
    <n v="0"/>
    <n v="0"/>
    <n v="1"/>
    <n v="418"/>
    <n v="2"/>
    <n v="2"/>
    <n v="0"/>
    <n v="0"/>
    <n v="0"/>
    <n v="70"/>
    <n v="70"/>
    <n v="1"/>
    <n v="0"/>
    <n v="0"/>
    <n v="0"/>
    <n v="0"/>
    <n v="1"/>
    <n v="0"/>
    <n v="0"/>
    <n v="0"/>
    <n v="0"/>
    <x v="0"/>
    <s v="Village"/>
    <x v="0"/>
    <s v="Mro"/>
    <n v="20.831729889999998"/>
    <n v="92.919639590000003"/>
    <n v="196880"/>
    <x v="0"/>
    <m/>
  </r>
  <r>
    <x v="0"/>
    <x v="10"/>
    <x v="10"/>
    <s v="GIZ"/>
    <x v="0"/>
    <x v="7"/>
    <x v="0"/>
    <x v="203"/>
    <n v="47"/>
    <n v="203"/>
    <d v="2017-06-01T00:00:00"/>
    <d v="2019-05-31T00:00:00"/>
    <m/>
    <m/>
    <m/>
    <m/>
    <m/>
    <m/>
    <m/>
    <m/>
    <m/>
    <x v="3"/>
    <m/>
    <m/>
    <m/>
    <m/>
    <m/>
    <m/>
    <m/>
    <m/>
    <m/>
    <m/>
    <m/>
    <m/>
    <m/>
    <m/>
    <m/>
    <m/>
    <m/>
    <m/>
    <m/>
    <n v="0"/>
    <n v="0"/>
    <n v="0"/>
    <n v="0"/>
    <n v="0"/>
    <n v="0"/>
    <n v="0"/>
    <n v="1"/>
    <n v="203"/>
    <n v="1"/>
    <n v="1"/>
    <n v="0"/>
    <n v="0"/>
    <n v="0"/>
    <n v="34"/>
    <n v="34"/>
    <n v="1"/>
    <n v="0"/>
    <n v="0"/>
    <n v="0"/>
    <n v="0"/>
    <n v="1"/>
    <n v="0"/>
    <n v="0"/>
    <n v="0"/>
    <n v="0"/>
    <x v="0"/>
    <s v="Village"/>
    <x v="0"/>
    <s v="Mro"/>
    <n v="0"/>
    <n v="0"/>
    <n v="0"/>
    <x v="0"/>
    <m/>
  </r>
  <r>
    <x v="0"/>
    <x v="10"/>
    <x v="10"/>
    <s v="GIZ"/>
    <x v="0"/>
    <x v="7"/>
    <x v="0"/>
    <x v="204"/>
    <n v="131"/>
    <n v="631"/>
    <d v="2017-06-01T00:00:00"/>
    <d v="2019-05-31T00:00:00"/>
    <m/>
    <m/>
    <m/>
    <m/>
    <m/>
    <m/>
    <m/>
    <m/>
    <m/>
    <x v="3"/>
    <m/>
    <m/>
    <m/>
    <m/>
    <m/>
    <m/>
    <m/>
    <m/>
    <m/>
    <m/>
    <m/>
    <m/>
    <m/>
    <m/>
    <m/>
    <m/>
    <m/>
    <m/>
    <m/>
    <n v="0"/>
    <n v="0"/>
    <n v="0"/>
    <n v="0"/>
    <n v="0"/>
    <n v="0"/>
    <n v="0"/>
    <n v="1"/>
    <n v="631"/>
    <n v="3"/>
    <n v="3"/>
    <n v="0"/>
    <n v="0"/>
    <n v="0"/>
    <n v="105"/>
    <n v="105"/>
    <n v="1"/>
    <n v="0"/>
    <n v="0"/>
    <n v="0"/>
    <n v="0"/>
    <n v="1"/>
    <n v="0"/>
    <n v="0"/>
    <n v="0"/>
    <n v="0"/>
    <x v="0"/>
    <s v="Village"/>
    <x v="0"/>
    <s v="Mro"/>
    <n v="20.809240339999999"/>
    <n v="92.923919679999997"/>
    <n v="196881"/>
    <x v="0"/>
    <m/>
  </r>
  <r>
    <x v="0"/>
    <x v="10"/>
    <x v="10"/>
    <s v="GIZ"/>
    <x v="0"/>
    <x v="7"/>
    <x v="0"/>
    <x v="205"/>
    <n v="42"/>
    <n v="184"/>
    <d v="2017-06-01T00:00:00"/>
    <d v="2019-05-31T00:00:00"/>
    <m/>
    <m/>
    <m/>
    <m/>
    <m/>
    <m/>
    <m/>
    <m/>
    <m/>
    <x v="3"/>
    <m/>
    <m/>
    <m/>
    <m/>
    <m/>
    <m/>
    <m/>
    <m/>
    <m/>
    <m/>
    <m/>
    <m/>
    <m/>
    <m/>
    <m/>
    <m/>
    <m/>
    <m/>
    <m/>
    <n v="0"/>
    <n v="0"/>
    <n v="0"/>
    <n v="0"/>
    <n v="0"/>
    <n v="0"/>
    <n v="0"/>
    <n v="1"/>
    <n v="184"/>
    <n v="1"/>
    <n v="1"/>
    <n v="0"/>
    <n v="0"/>
    <n v="0"/>
    <n v="31"/>
    <n v="31"/>
    <n v="1"/>
    <n v="0"/>
    <n v="0"/>
    <n v="0"/>
    <n v="0"/>
    <n v="1"/>
    <n v="0"/>
    <n v="0"/>
    <n v="0"/>
    <n v="0"/>
    <x v="0"/>
    <s v="Village"/>
    <x v="0"/>
    <s v="Mro"/>
    <n v="20.807970050000002"/>
    <n v="92.929046630000002"/>
    <n v="196882"/>
    <x v="0"/>
    <m/>
  </r>
  <r>
    <x v="0"/>
    <x v="10"/>
    <x v="10"/>
    <s v="GIZ"/>
    <x v="0"/>
    <x v="7"/>
    <x v="0"/>
    <x v="206"/>
    <n v="73"/>
    <n v="343"/>
    <d v="2017-06-01T00:00:00"/>
    <d v="2019-05-31T00:00:00"/>
    <m/>
    <m/>
    <m/>
    <m/>
    <m/>
    <m/>
    <m/>
    <m/>
    <m/>
    <x v="3"/>
    <m/>
    <m/>
    <m/>
    <m/>
    <m/>
    <m/>
    <m/>
    <m/>
    <m/>
    <m/>
    <m/>
    <m/>
    <m/>
    <m/>
    <m/>
    <m/>
    <m/>
    <m/>
    <m/>
    <n v="0"/>
    <n v="0"/>
    <n v="0"/>
    <n v="0"/>
    <n v="0"/>
    <n v="0"/>
    <n v="0"/>
    <n v="1"/>
    <n v="343"/>
    <n v="1"/>
    <n v="1"/>
    <n v="0"/>
    <n v="0"/>
    <n v="0"/>
    <n v="57"/>
    <n v="57"/>
    <n v="1"/>
    <n v="0"/>
    <n v="0"/>
    <n v="0"/>
    <n v="0"/>
    <n v="1"/>
    <n v="0"/>
    <n v="0"/>
    <n v="0"/>
    <n v="0"/>
    <x v="0"/>
    <s v="Village"/>
    <x v="0"/>
    <s v="Mro"/>
    <n v="20.803529739999998"/>
    <n v="92.929466250000004"/>
    <n v="196883"/>
    <x v="0"/>
    <m/>
  </r>
  <r>
    <x v="0"/>
    <x v="10"/>
    <x v="10"/>
    <s v="GIZ"/>
    <x v="0"/>
    <x v="7"/>
    <x v="0"/>
    <x v="207"/>
    <n v="73"/>
    <n v="397"/>
    <d v="2017-06-01T00:00:00"/>
    <d v="2019-05-31T00:00:00"/>
    <m/>
    <m/>
    <m/>
    <m/>
    <m/>
    <m/>
    <m/>
    <m/>
    <m/>
    <x v="3"/>
    <m/>
    <m/>
    <m/>
    <m/>
    <m/>
    <m/>
    <m/>
    <m/>
    <m/>
    <m/>
    <m/>
    <m/>
    <m/>
    <m/>
    <m/>
    <m/>
    <m/>
    <m/>
    <m/>
    <n v="0"/>
    <n v="0"/>
    <n v="0"/>
    <n v="0"/>
    <n v="0"/>
    <n v="0"/>
    <n v="0"/>
    <n v="1"/>
    <n v="397"/>
    <n v="2"/>
    <n v="2"/>
    <n v="0"/>
    <n v="0"/>
    <n v="0"/>
    <n v="66"/>
    <n v="66"/>
    <n v="1"/>
    <n v="0"/>
    <n v="0"/>
    <n v="0"/>
    <n v="0"/>
    <n v="1"/>
    <n v="0"/>
    <n v="0"/>
    <n v="0"/>
    <n v="0"/>
    <x v="0"/>
    <s v="Village"/>
    <x v="0"/>
    <s v="Mro"/>
    <n v="20.851089479999999"/>
    <n v="92.916893009999995"/>
    <n v="196825"/>
    <x v="0"/>
    <m/>
  </r>
  <r>
    <x v="0"/>
    <x v="10"/>
    <x v="10"/>
    <s v="GIZ"/>
    <x v="0"/>
    <x v="7"/>
    <x v="0"/>
    <x v="208"/>
    <n v="138"/>
    <n v="609"/>
    <d v="2017-06-01T00:00:00"/>
    <d v="2019-05-31T00:00:00"/>
    <m/>
    <m/>
    <m/>
    <m/>
    <m/>
    <m/>
    <m/>
    <m/>
    <m/>
    <x v="3"/>
    <m/>
    <m/>
    <m/>
    <m/>
    <m/>
    <m/>
    <m/>
    <m/>
    <m/>
    <m/>
    <m/>
    <m/>
    <m/>
    <m/>
    <m/>
    <m/>
    <m/>
    <m/>
    <m/>
    <n v="0"/>
    <n v="0"/>
    <n v="0"/>
    <n v="0"/>
    <n v="0"/>
    <n v="0"/>
    <n v="0"/>
    <n v="1"/>
    <n v="609"/>
    <n v="2"/>
    <n v="2"/>
    <n v="0"/>
    <n v="0"/>
    <n v="0"/>
    <n v="102"/>
    <n v="102"/>
    <n v="1"/>
    <n v="0"/>
    <n v="0"/>
    <n v="0"/>
    <n v="0"/>
    <n v="1"/>
    <n v="0"/>
    <n v="0"/>
    <n v="0"/>
    <n v="0"/>
    <x v="0"/>
    <s v="Village"/>
    <x v="0"/>
    <s v="Rakhine"/>
    <n v="20.67705917"/>
    <n v="92.953247070000003"/>
    <n v="196929"/>
    <x v="0"/>
    <m/>
  </r>
  <r>
    <x v="0"/>
    <x v="10"/>
    <x v="10"/>
    <s v="GIZ"/>
    <x v="0"/>
    <x v="7"/>
    <x v="0"/>
    <x v="209"/>
    <n v="76"/>
    <n v="394"/>
    <d v="2017-06-01T00:00:00"/>
    <d v="2019-05-31T00:00:00"/>
    <m/>
    <m/>
    <m/>
    <m/>
    <m/>
    <m/>
    <m/>
    <m/>
    <m/>
    <x v="3"/>
    <m/>
    <m/>
    <m/>
    <m/>
    <m/>
    <m/>
    <m/>
    <m/>
    <m/>
    <m/>
    <m/>
    <m/>
    <m/>
    <m/>
    <m/>
    <m/>
    <m/>
    <m/>
    <m/>
    <n v="0"/>
    <n v="0"/>
    <n v="0"/>
    <n v="0"/>
    <n v="0"/>
    <n v="0"/>
    <n v="0"/>
    <n v="1"/>
    <n v="394"/>
    <n v="2"/>
    <n v="2"/>
    <n v="0"/>
    <n v="0"/>
    <n v="0"/>
    <n v="66"/>
    <n v="66"/>
    <n v="1"/>
    <n v="0"/>
    <n v="0"/>
    <n v="0"/>
    <n v="0"/>
    <n v="1"/>
    <n v="0"/>
    <n v="0"/>
    <n v="0"/>
    <n v="0"/>
    <x v="0"/>
    <s v="Village"/>
    <x v="0"/>
    <s v="Rakhine, Mro, Khami"/>
    <n v="20.681715010000001"/>
    <n v="92.94140625"/>
    <n v="196930"/>
    <x v="0"/>
    <m/>
  </r>
  <r>
    <x v="0"/>
    <x v="10"/>
    <x v="10"/>
    <s v="GIZ"/>
    <x v="0"/>
    <x v="7"/>
    <x v="0"/>
    <x v="210"/>
    <n v="185"/>
    <n v="915"/>
    <d v="2017-06-01T00:00:00"/>
    <d v="2019-05-31T00:00:00"/>
    <m/>
    <m/>
    <m/>
    <m/>
    <m/>
    <m/>
    <m/>
    <m/>
    <m/>
    <x v="3"/>
    <m/>
    <m/>
    <m/>
    <m/>
    <m/>
    <m/>
    <m/>
    <m/>
    <m/>
    <m/>
    <m/>
    <m/>
    <m/>
    <m/>
    <m/>
    <m/>
    <m/>
    <m/>
    <m/>
    <n v="0"/>
    <n v="0"/>
    <n v="0"/>
    <n v="0"/>
    <n v="0"/>
    <n v="0"/>
    <n v="0"/>
    <n v="1"/>
    <n v="915"/>
    <n v="4"/>
    <n v="4"/>
    <n v="0"/>
    <n v="0"/>
    <n v="0"/>
    <n v="153"/>
    <n v="153"/>
    <n v="1"/>
    <n v="0"/>
    <n v="0"/>
    <n v="0"/>
    <n v="0"/>
    <n v="1"/>
    <n v="0"/>
    <n v="0"/>
    <n v="0"/>
    <n v="0"/>
    <x v="0"/>
    <s v="Village"/>
    <x v="0"/>
    <s v="Rakhine"/>
    <n v="20.786739350000001"/>
    <n v="92.944313050000005"/>
    <n v="196884"/>
    <x v="0"/>
    <m/>
  </r>
  <r>
    <x v="0"/>
    <x v="10"/>
    <x v="10"/>
    <s v="GIZ"/>
    <x v="0"/>
    <x v="7"/>
    <x v="0"/>
    <x v="211"/>
    <n v="293"/>
    <n v="1503"/>
    <d v="2017-06-01T00:00:00"/>
    <d v="2019-05-31T00:00:00"/>
    <m/>
    <m/>
    <m/>
    <m/>
    <m/>
    <m/>
    <m/>
    <m/>
    <m/>
    <x v="3"/>
    <m/>
    <m/>
    <m/>
    <m/>
    <m/>
    <m/>
    <m/>
    <m/>
    <m/>
    <m/>
    <m/>
    <m/>
    <m/>
    <m/>
    <m/>
    <m/>
    <m/>
    <m/>
    <m/>
    <n v="0"/>
    <n v="0"/>
    <n v="0"/>
    <n v="0"/>
    <n v="0"/>
    <n v="0"/>
    <n v="0"/>
    <n v="1"/>
    <n v="1503"/>
    <n v="6"/>
    <n v="6"/>
    <n v="0"/>
    <n v="0"/>
    <n v="0"/>
    <n v="251"/>
    <n v="251"/>
    <n v="1"/>
    <n v="0"/>
    <n v="0"/>
    <n v="0"/>
    <n v="0"/>
    <n v="1"/>
    <n v="0"/>
    <n v="0"/>
    <n v="0"/>
    <n v="0"/>
    <x v="0"/>
    <s v="Village"/>
    <x v="0"/>
    <s v="Rakhine"/>
    <n v="20.71134949"/>
    <n v="92.980506899999995"/>
    <n v="196944"/>
    <x v="0"/>
    <m/>
  </r>
  <r>
    <x v="0"/>
    <x v="10"/>
    <x v="10"/>
    <s v="GIZ"/>
    <x v="0"/>
    <x v="7"/>
    <x v="0"/>
    <x v="212"/>
    <n v="122"/>
    <n v="486"/>
    <d v="2017-06-01T00:00:00"/>
    <d v="2019-05-31T00:00:00"/>
    <m/>
    <m/>
    <m/>
    <m/>
    <m/>
    <m/>
    <m/>
    <m/>
    <m/>
    <x v="3"/>
    <m/>
    <m/>
    <m/>
    <m/>
    <m/>
    <m/>
    <m/>
    <m/>
    <m/>
    <m/>
    <m/>
    <m/>
    <m/>
    <m/>
    <m/>
    <m/>
    <m/>
    <m/>
    <m/>
    <n v="0"/>
    <n v="0"/>
    <n v="0"/>
    <n v="0"/>
    <n v="0"/>
    <n v="0"/>
    <n v="0"/>
    <n v="1"/>
    <n v="486"/>
    <n v="2"/>
    <n v="2"/>
    <n v="0"/>
    <n v="0"/>
    <n v="0"/>
    <n v="81"/>
    <n v="81"/>
    <n v="1"/>
    <n v="0"/>
    <n v="0"/>
    <n v="0"/>
    <n v="0"/>
    <n v="1"/>
    <n v="0"/>
    <n v="0"/>
    <n v="0"/>
    <n v="0"/>
    <x v="0"/>
    <s v="Village"/>
    <x v="0"/>
    <s v="Mro"/>
    <n v="20.785770419999999"/>
    <n v="92.931426999999999"/>
    <n v="196887"/>
    <x v="0"/>
    <m/>
  </r>
  <r>
    <x v="0"/>
    <x v="10"/>
    <x v="10"/>
    <s v="GIZ"/>
    <x v="0"/>
    <x v="7"/>
    <x v="0"/>
    <x v="213"/>
    <n v="361"/>
    <n v="1669"/>
    <d v="2017-06-01T00:00:00"/>
    <d v="2019-05-31T00:00:00"/>
    <m/>
    <m/>
    <m/>
    <m/>
    <m/>
    <m/>
    <m/>
    <m/>
    <m/>
    <x v="3"/>
    <m/>
    <m/>
    <m/>
    <m/>
    <m/>
    <m/>
    <m/>
    <m/>
    <m/>
    <m/>
    <m/>
    <m/>
    <m/>
    <m/>
    <m/>
    <m/>
    <m/>
    <m/>
    <m/>
    <n v="0"/>
    <n v="0"/>
    <n v="0"/>
    <n v="0"/>
    <n v="0"/>
    <n v="0"/>
    <n v="0"/>
    <n v="1"/>
    <n v="1669"/>
    <n v="7"/>
    <n v="7"/>
    <n v="0"/>
    <n v="0"/>
    <n v="0"/>
    <n v="278"/>
    <n v="278"/>
    <n v="1"/>
    <n v="0"/>
    <n v="0"/>
    <n v="0"/>
    <n v="0"/>
    <n v="1"/>
    <n v="0"/>
    <n v="0"/>
    <n v="0"/>
    <n v="0"/>
    <x v="0"/>
    <s v="Village"/>
    <x v="0"/>
    <s v="Rakhine"/>
    <n v="20.705930710000001"/>
    <n v="93.001953130000004"/>
    <n v="196943"/>
    <x v="0"/>
    <m/>
  </r>
  <r>
    <x v="1"/>
    <x v="0"/>
    <x v="0"/>
    <s v="BMZ"/>
    <x v="0"/>
    <x v="0"/>
    <x v="0"/>
    <x v="0"/>
    <n v="217"/>
    <n v="663"/>
    <d v="2018-09-16T00:00:00"/>
    <d v="2019-12-31T00:00:00"/>
    <n v="88"/>
    <m/>
    <m/>
    <m/>
    <m/>
    <m/>
    <m/>
    <m/>
    <m/>
    <x v="0"/>
    <m/>
    <m/>
    <m/>
    <m/>
    <m/>
    <m/>
    <m/>
    <m/>
    <m/>
    <m/>
    <m/>
    <m/>
    <m/>
    <m/>
    <m/>
    <m/>
    <m/>
    <m/>
    <m/>
    <n v="0"/>
    <n v="0"/>
    <n v="0"/>
    <n v="0"/>
    <n v="0"/>
    <n v="0"/>
    <n v="0"/>
    <n v="1"/>
    <n v="663"/>
    <n v="3"/>
    <n v="3"/>
    <n v="0"/>
    <n v="0"/>
    <n v="0"/>
    <n v="111"/>
    <n v="111"/>
    <n v="1"/>
    <n v="0"/>
    <n v="0"/>
    <n v="0"/>
    <n v="0"/>
    <n v="1"/>
    <n v="0"/>
    <n v="0"/>
    <n v="0"/>
    <n v="0"/>
    <x v="1"/>
    <s v="Village"/>
    <x v="0"/>
    <n v="0"/>
    <n v="20.072999954223601"/>
    <n v="92.924957275390597"/>
    <n v="197561"/>
    <x v="0"/>
    <m/>
  </r>
  <r>
    <x v="1"/>
    <x v="0"/>
    <x v="0"/>
    <s v="BMZ"/>
    <x v="0"/>
    <x v="0"/>
    <x v="0"/>
    <x v="1"/>
    <n v="90"/>
    <n v="393"/>
    <d v="2018-09-16T00:00:00"/>
    <d v="2019-12-31T00:00:00"/>
    <n v="65"/>
    <m/>
    <m/>
    <m/>
    <m/>
    <m/>
    <m/>
    <m/>
    <m/>
    <x v="0"/>
    <m/>
    <m/>
    <m/>
    <m/>
    <m/>
    <m/>
    <m/>
    <m/>
    <m/>
    <m/>
    <m/>
    <m/>
    <m/>
    <m/>
    <m/>
    <m/>
    <m/>
    <m/>
    <m/>
    <n v="0"/>
    <n v="0"/>
    <n v="0"/>
    <n v="0"/>
    <n v="0"/>
    <n v="0"/>
    <n v="0"/>
    <n v="1"/>
    <n v="393"/>
    <n v="2"/>
    <n v="2"/>
    <n v="0"/>
    <n v="0"/>
    <n v="0"/>
    <n v="66"/>
    <n v="66"/>
    <n v="1"/>
    <n v="0"/>
    <n v="0"/>
    <n v="0"/>
    <n v="0"/>
    <n v="1"/>
    <n v="0"/>
    <n v="0"/>
    <n v="0"/>
    <n v="0"/>
    <x v="1"/>
    <s v="Village"/>
    <x v="0"/>
    <n v="0"/>
    <n v="19.986650466918899"/>
    <n v="92.986160278320298"/>
    <n v="197546"/>
    <x v="0"/>
    <m/>
  </r>
  <r>
    <x v="1"/>
    <x v="0"/>
    <x v="0"/>
    <s v="BMZ"/>
    <x v="0"/>
    <x v="0"/>
    <x v="0"/>
    <x v="2"/>
    <n v="53"/>
    <n v="248"/>
    <d v="2018-09-16T00:00:00"/>
    <d v="2019-12-31T00:00:00"/>
    <n v="43"/>
    <m/>
    <m/>
    <m/>
    <m/>
    <m/>
    <m/>
    <m/>
    <m/>
    <x v="0"/>
    <m/>
    <m/>
    <m/>
    <m/>
    <m/>
    <m/>
    <m/>
    <m/>
    <m/>
    <m/>
    <m/>
    <m/>
    <m/>
    <m/>
    <m/>
    <m/>
    <m/>
    <m/>
    <m/>
    <n v="0"/>
    <n v="0"/>
    <n v="0"/>
    <n v="0"/>
    <n v="0"/>
    <n v="0"/>
    <n v="0"/>
    <n v="1"/>
    <n v="248"/>
    <n v="1"/>
    <n v="1"/>
    <n v="0"/>
    <n v="0"/>
    <n v="0"/>
    <n v="41"/>
    <n v="41"/>
    <n v="1"/>
    <n v="0"/>
    <n v="0"/>
    <n v="0"/>
    <n v="0"/>
    <n v="1"/>
    <n v="0"/>
    <n v="0"/>
    <n v="0"/>
    <n v="0"/>
    <x v="1"/>
    <s v="Village"/>
    <x v="0"/>
    <n v="0"/>
    <n v="19.863630294799801"/>
    <n v="93.030677795410199"/>
    <n v="217985"/>
    <x v="0"/>
    <m/>
  </r>
  <r>
    <x v="1"/>
    <x v="0"/>
    <x v="0"/>
    <s v="BMZ"/>
    <x v="0"/>
    <x v="0"/>
    <x v="0"/>
    <x v="32"/>
    <n v="43"/>
    <n v="193"/>
    <d v="2018-09-16T00:00:00"/>
    <d v="2019-12-31T00:00:00"/>
    <n v="41"/>
    <m/>
    <m/>
    <m/>
    <m/>
    <m/>
    <m/>
    <m/>
    <m/>
    <x v="0"/>
    <m/>
    <m/>
    <m/>
    <m/>
    <m/>
    <m/>
    <m/>
    <m/>
    <m/>
    <m/>
    <m/>
    <m/>
    <m/>
    <m/>
    <m/>
    <m/>
    <m/>
    <m/>
    <m/>
    <n v="0"/>
    <n v="0"/>
    <n v="0"/>
    <n v="0"/>
    <n v="0"/>
    <n v="0"/>
    <n v="0"/>
    <n v="1"/>
    <n v="193"/>
    <n v="1"/>
    <n v="1"/>
    <n v="0"/>
    <n v="0"/>
    <n v="0"/>
    <n v="32"/>
    <n v="32"/>
    <n v="1"/>
    <n v="0"/>
    <n v="0"/>
    <n v="0"/>
    <n v="0"/>
    <n v="1"/>
    <n v="0"/>
    <n v="0"/>
    <n v="0"/>
    <n v="0"/>
    <x v="1"/>
    <s v="Village"/>
    <x v="0"/>
    <n v="0"/>
    <n v="19.9233303070068"/>
    <n v="93.018592834472699"/>
    <n v="197547"/>
    <x v="0"/>
    <m/>
  </r>
  <r>
    <x v="1"/>
    <x v="0"/>
    <x v="0"/>
    <s v="BMZ"/>
    <x v="0"/>
    <x v="0"/>
    <x v="0"/>
    <x v="214"/>
    <n v="83"/>
    <n v="493"/>
    <d v="2018-09-16T00:00:00"/>
    <d v="2019-12-31T00:00:00"/>
    <n v="65"/>
    <m/>
    <m/>
    <m/>
    <m/>
    <m/>
    <m/>
    <m/>
    <m/>
    <x v="0"/>
    <m/>
    <m/>
    <m/>
    <m/>
    <m/>
    <m/>
    <m/>
    <m/>
    <m/>
    <m/>
    <m/>
    <m/>
    <m/>
    <m/>
    <m/>
    <m/>
    <m/>
    <m/>
    <m/>
    <n v="0"/>
    <n v="0"/>
    <n v="0"/>
    <n v="0"/>
    <n v="0"/>
    <n v="0"/>
    <n v="0"/>
    <n v="1"/>
    <n v="493"/>
    <n v="2"/>
    <n v="2"/>
    <n v="0"/>
    <n v="0"/>
    <n v="0"/>
    <n v="82"/>
    <n v="82"/>
    <n v="1"/>
    <n v="0"/>
    <n v="0"/>
    <n v="0"/>
    <n v="0"/>
    <n v="1"/>
    <n v="0"/>
    <n v="0"/>
    <n v="0"/>
    <n v="0"/>
    <x v="1"/>
    <s v="Village"/>
    <x v="0"/>
    <n v="0"/>
    <n v="20.074710845947301"/>
    <n v="92.949638366699205"/>
    <n v="197570"/>
    <x v="0"/>
    <m/>
  </r>
  <r>
    <x v="1"/>
    <x v="0"/>
    <x v="0"/>
    <s v="OFDA"/>
    <x v="0"/>
    <x v="0"/>
    <x v="0"/>
    <x v="34"/>
    <n v="204"/>
    <n v="1055"/>
    <d v="2019-04-01T00:00:00"/>
    <d v="2020-03-31T00:00:00"/>
    <n v="241"/>
    <n v="0"/>
    <m/>
    <m/>
    <n v="3"/>
    <n v="1"/>
    <m/>
    <m/>
    <m/>
    <x v="1"/>
    <n v="2"/>
    <m/>
    <m/>
    <m/>
    <m/>
    <m/>
    <m/>
    <m/>
    <m/>
    <m/>
    <m/>
    <m/>
    <m/>
    <n v="1"/>
    <m/>
    <m/>
    <m/>
    <m/>
    <m/>
    <n v="0"/>
    <n v="0"/>
    <n v="1"/>
    <n v="1055"/>
    <n v="1"/>
    <n v="1055"/>
    <n v="4.22"/>
    <n v="0"/>
    <n v="0"/>
    <n v="0"/>
    <n v="4"/>
    <n v="9.4786729857819899E-2"/>
    <n v="100"/>
    <n v="100"/>
    <n v="176"/>
    <n v="176"/>
    <n v="0.90521327014218012"/>
    <n v="0"/>
    <n v="0"/>
    <n v="0"/>
    <n v="0"/>
    <n v="1"/>
    <n v="0"/>
    <n v="0"/>
    <n v="0"/>
    <n v="0"/>
    <x v="1"/>
    <s v="Village"/>
    <x v="0"/>
    <s v="Rakhine"/>
    <n v="20.0839"/>
    <n v="92.993799999999993"/>
    <n v="197557"/>
    <x v="0"/>
    <m/>
  </r>
  <r>
    <x v="1"/>
    <x v="0"/>
    <x v="0"/>
    <s v="OFDA"/>
    <x v="0"/>
    <x v="0"/>
    <x v="0"/>
    <x v="35"/>
    <n v="948"/>
    <n v="3946"/>
    <d v="2019-04-01T00:00:00"/>
    <d v="2020-03-31T00:00:00"/>
    <n v="342"/>
    <n v="0"/>
    <m/>
    <m/>
    <n v="3"/>
    <n v="1"/>
    <n v="2"/>
    <m/>
    <m/>
    <x v="1"/>
    <n v="2"/>
    <m/>
    <m/>
    <m/>
    <m/>
    <m/>
    <m/>
    <m/>
    <m/>
    <m/>
    <m/>
    <m/>
    <m/>
    <n v="1"/>
    <m/>
    <m/>
    <m/>
    <m/>
    <m/>
    <n v="0.12671059300557527"/>
    <n v="500"/>
    <n v="1"/>
    <n v="3946"/>
    <n v="1"/>
    <n v="3946"/>
    <n v="15.784000000000001"/>
    <n v="0"/>
    <n v="0"/>
    <n v="0.2159999999999993"/>
    <n v="16"/>
    <n v="2.5342118601115054E-2"/>
    <n v="100"/>
    <n v="100"/>
    <n v="658"/>
    <n v="658"/>
    <n v="0.97465788139888498"/>
    <n v="0"/>
    <n v="0"/>
    <n v="0"/>
    <n v="0"/>
    <n v="1"/>
    <n v="0"/>
    <n v="0"/>
    <n v="0"/>
    <n v="0"/>
    <x v="1"/>
    <s v="Village"/>
    <x v="0"/>
    <s v="Muslim"/>
    <n v="20.0641"/>
    <n v="92.994600000000005"/>
    <n v="197548"/>
    <x v="0"/>
    <m/>
  </r>
  <r>
    <x v="1"/>
    <x v="0"/>
    <x v="0"/>
    <s v="OFDA"/>
    <x v="0"/>
    <x v="0"/>
    <x v="0"/>
    <x v="36"/>
    <n v="477"/>
    <n v="2034"/>
    <d v="2019-04-01T00:00:00"/>
    <d v="2020-03-31T00:00:00"/>
    <n v="462"/>
    <n v="0"/>
    <m/>
    <m/>
    <n v="1"/>
    <m/>
    <n v="2"/>
    <m/>
    <m/>
    <x v="1"/>
    <n v="8"/>
    <m/>
    <m/>
    <m/>
    <m/>
    <m/>
    <m/>
    <m/>
    <m/>
    <m/>
    <m/>
    <m/>
    <m/>
    <m/>
    <m/>
    <m/>
    <m/>
    <m/>
    <m/>
    <n v="0.24582104228121926"/>
    <n v="500"/>
    <n v="1"/>
    <n v="2034"/>
    <n v="1"/>
    <n v="2034"/>
    <n v="8.1359999999999992"/>
    <n v="0"/>
    <n v="0"/>
    <n v="0"/>
    <n v="8"/>
    <n v="0.19665683382497542"/>
    <n v="400"/>
    <n v="400"/>
    <n v="339"/>
    <n v="339"/>
    <n v="0.80334316617502455"/>
    <n v="0"/>
    <n v="0"/>
    <n v="0"/>
    <n v="0"/>
    <n v="1"/>
    <n v="0"/>
    <n v="0"/>
    <n v="0"/>
    <n v="0"/>
    <x v="1"/>
    <s v="Village"/>
    <x v="0"/>
    <s v="Rakhine"/>
    <n v="20.057860999999999"/>
    <n v="92.995181000000002"/>
    <n v="197550"/>
    <x v="0"/>
    <m/>
  </r>
  <r>
    <x v="1"/>
    <x v="0"/>
    <x v="0"/>
    <s v="BMZ"/>
    <x v="0"/>
    <x v="0"/>
    <x v="0"/>
    <x v="37"/>
    <n v="97"/>
    <n v="97"/>
    <d v="2018-09-16T00:00:00"/>
    <d v="2019-12-31T00:00:00"/>
    <n v="82"/>
    <m/>
    <m/>
    <m/>
    <m/>
    <m/>
    <m/>
    <m/>
    <m/>
    <x v="0"/>
    <m/>
    <m/>
    <m/>
    <m/>
    <m/>
    <m/>
    <m/>
    <m/>
    <m/>
    <m/>
    <m/>
    <m/>
    <m/>
    <m/>
    <m/>
    <m/>
    <m/>
    <m/>
    <m/>
    <n v="0"/>
    <n v="0"/>
    <n v="0"/>
    <n v="0"/>
    <n v="0"/>
    <n v="0"/>
    <n v="0"/>
    <n v="1"/>
    <n v="97"/>
    <n v="1"/>
    <n v="1"/>
    <n v="0"/>
    <n v="0"/>
    <n v="0"/>
    <n v="16"/>
    <n v="16"/>
    <n v="1"/>
    <n v="0"/>
    <n v="0"/>
    <n v="0"/>
    <n v="0"/>
    <n v="1"/>
    <n v="0"/>
    <n v="0"/>
    <n v="0"/>
    <n v="0"/>
    <x v="1"/>
    <s v="Village"/>
    <x v="0"/>
    <n v="0"/>
    <n v="19.9964408874512"/>
    <n v="92.951683044433594"/>
    <n v="217986"/>
    <x v="0"/>
    <m/>
  </r>
  <r>
    <x v="1"/>
    <x v="0"/>
    <x v="0"/>
    <s v="BMZ"/>
    <x v="0"/>
    <x v="0"/>
    <x v="0"/>
    <x v="38"/>
    <n v="47"/>
    <n v="239"/>
    <d v="2018-09-16T00:00:00"/>
    <d v="2019-12-31T00:00:00"/>
    <n v="25"/>
    <m/>
    <m/>
    <m/>
    <m/>
    <m/>
    <m/>
    <m/>
    <m/>
    <x v="0"/>
    <m/>
    <m/>
    <m/>
    <m/>
    <m/>
    <m/>
    <m/>
    <m/>
    <m/>
    <m/>
    <m/>
    <m/>
    <m/>
    <m/>
    <m/>
    <m/>
    <m/>
    <m/>
    <m/>
    <n v="0"/>
    <n v="0"/>
    <n v="0"/>
    <n v="0"/>
    <n v="0"/>
    <n v="0"/>
    <n v="0"/>
    <n v="1"/>
    <n v="239"/>
    <n v="1"/>
    <n v="1"/>
    <n v="0"/>
    <n v="0"/>
    <n v="0"/>
    <n v="40"/>
    <n v="40"/>
    <n v="1"/>
    <n v="0"/>
    <n v="0"/>
    <n v="0"/>
    <n v="0"/>
    <n v="1"/>
    <n v="0"/>
    <n v="0"/>
    <n v="0"/>
    <n v="0"/>
    <x v="1"/>
    <s v="Village"/>
    <x v="0"/>
    <n v="0"/>
    <n v="20.032600402831999"/>
    <n v="92.931488037109403"/>
    <n v="197563"/>
    <x v="0"/>
    <m/>
  </r>
  <r>
    <x v="1"/>
    <x v="0"/>
    <x v="0"/>
    <s v="BMZ"/>
    <x v="0"/>
    <x v="0"/>
    <x v="0"/>
    <x v="39"/>
    <n v="113"/>
    <n v="506"/>
    <d v="2018-09-16T00:00:00"/>
    <d v="2019-12-31T00:00:00"/>
    <n v="183"/>
    <m/>
    <m/>
    <m/>
    <m/>
    <m/>
    <m/>
    <m/>
    <m/>
    <x v="0"/>
    <m/>
    <m/>
    <m/>
    <m/>
    <m/>
    <m/>
    <m/>
    <m/>
    <m/>
    <m/>
    <m/>
    <m/>
    <m/>
    <m/>
    <m/>
    <m/>
    <m/>
    <m/>
    <m/>
    <n v="0"/>
    <n v="0"/>
    <n v="0"/>
    <n v="0"/>
    <n v="0"/>
    <n v="0"/>
    <n v="0"/>
    <n v="1"/>
    <n v="506"/>
    <n v="2"/>
    <n v="2"/>
    <n v="0"/>
    <n v="0"/>
    <n v="0"/>
    <n v="84"/>
    <n v="84"/>
    <n v="1"/>
    <n v="0"/>
    <n v="0"/>
    <n v="0"/>
    <n v="0"/>
    <n v="1"/>
    <n v="0"/>
    <n v="0"/>
    <n v="0"/>
    <n v="0"/>
    <x v="1"/>
    <s v="Village"/>
    <x v="0"/>
    <n v="0"/>
    <n v="20.0275993347168"/>
    <n v="92.936653137207003"/>
    <n v="197564"/>
    <x v="0"/>
    <m/>
  </r>
  <r>
    <x v="1"/>
    <x v="0"/>
    <x v="0"/>
    <s v="BMZ"/>
    <x v="0"/>
    <x v="0"/>
    <x v="0"/>
    <x v="40"/>
    <n v="66"/>
    <n v="315"/>
    <d v="2018-09-16T00:00:00"/>
    <d v="2019-12-31T00:00:00"/>
    <n v="38"/>
    <m/>
    <m/>
    <m/>
    <m/>
    <m/>
    <m/>
    <m/>
    <m/>
    <x v="0"/>
    <m/>
    <m/>
    <m/>
    <m/>
    <m/>
    <m/>
    <m/>
    <m/>
    <m/>
    <m/>
    <m/>
    <m/>
    <m/>
    <m/>
    <m/>
    <m/>
    <m/>
    <m/>
    <m/>
    <n v="0"/>
    <n v="0"/>
    <n v="0"/>
    <n v="0"/>
    <n v="0"/>
    <n v="0"/>
    <n v="0"/>
    <n v="1"/>
    <n v="315"/>
    <n v="1"/>
    <n v="1"/>
    <n v="0"/>
    <n v="0"/>
    <n v="0"/>
    <n v="53"/>
    <n v="53"/>
    <n v="1"/>
    <n v="0"/>
    <n v="0"/>
    <n v="0"/>
    <n v="0"/>
    <n v="1"/>
    <n v="0"/>
    <n v="0"/>
    <n v="0"/>
    <n v="0"/>
    <x v="1"/>
    <s v="Village"/>
    <x v="0"/>
    <n v="0"/>
    <n v="19.9403591156006"/>
    <n v="93.009452819824205"/>
    <n v="197543"/>
    <x v="0"/>
    <m/>
  </r>
  <r>
    <x v="1"/>
    <x v="2"/>
    <x v="2"/>
    <m/>
    <x v="1"/>
    <x v="1"/>
    <x v="0"/>
    <x v="42"/>
    <n v="3097"/>
    <n v="15485"/>
    <m/>
    <m/>
    <m/>
    <m/>
    <m/>
    <m/>
    <m/>
    <m/>
    <m/>
    <m/>
    <m/>
    <x v="0"/>
    <m/>
    <m/>
    <m/>
    <m/>
    <m/>
    <m/>
    <m/>
    <m/>
    <m/>
    <m/>
    <m/>
    <m/>
    <m/>
    <m/>
    <n v="3097"/>
    <m/>
    <m/>
    <m/>
    <m/>
    <n v="0"/>
    <n v="0"/>
    <n v="0"/>
    <n v="0"/>
    <n v="0"/>
    <n v="0"/>
    <n v="0"/>
    <n v="1"/>
    <n v="15485"/>
    <n v="62"/>
    <n v="62"/>
    <n v="0"/>
    <n v="0"/>
    <n v="0"/>
    <n v="2581"/>
    <n v="2581"/>
    <n v="1"/>
    <n v="0"/>
    <n v="0"/>
    <n v="15485"/>
    <n v="1"/>
    <n v="0"/>
    <n v="0"/>
    <n v="15485"/>
    <n v="0"/>
    <n v="15485"/>
    <x v="0"/>
    <s v="Village"/>
    <x v="0"/>
    <n v="0"/>
    <n v="20.825700759887699"/>
    <n v="92.542686462402301"/>
    <n v="198334"/>
    <x v="0"/>
    <m/>
  </r>
  <r>
    <x v="1"/>
    <x v="2"/>
    <x v="2"/>
    <m/>
    <x v="1"/>
    <x v="1"/>
    <x v="0"/>
    <x v="41"/>
    <n v="2575.1999999999998"/>
    <n v="12876"/>
    <m/>
    <m/>
    <m/>
    <m/>
    <m/>
    <m/>
    <m/>
    <m/>
    <m/>
    <m/>
    <m/>
    <x v="0"/>
    <m/>
    <m/>
    <m/>
    <m/>
    <m/>
    <m/>
    <m/>
    <m/>
    <m/>
    <m/>
    <m/>
    <m/>
    <m/>
    <m/>
    <n v="2575.1999999999998"/>
    <m/>
    <m/>
    <m/>
    <m/>
    <n v="0"/>
    <n v="0"/>
    <n v="0"/>
    <n v="0"/>
    <n v="0"/>
    <n v="0"/>
    <n v="0"/>
    <n v="1"/>
    <n v="12876"/>
    <n v="52"/>
    <n v="52"/>
    <n v="0"/>
    <n v="0"/>
    <n v="0"/>
    <n v="2146"/>
    <n v="2146"/>
    <n v="1"/>
    <n v="0"/>
    <n v="0"/>
    <n v="12876"/>
    <n v="1"/>
    <n v="0"/>
    <n v="0"/>
    <n v="12876"/>
    <n v="0"/>
    <n v="12876"/>
    <x v="0"/>
    <s v="Village"/>
    <x v="0"/>
    <n v="0"/>
    <n v="0"/>
    <n v="0"/>
    <n v="0"/>
    <x v="0"/>
    <m/>
  </r>
  <r>
    <x v="1"/>
    <x v="2"/>
    <x v="2"/>
    <m/>
    <x v="1"/>
    <x v="1"/>
    <x v="0"/>
    <x v="44"/>
    <n v="1616.2"/>
    <n v="8081"/>
    <m/>
    <m/>
    <m/>
    <m/>
    <m/>
    <m/>
    <m/>
    <m/>
    <m/>
    <m/>
    <m/>
    <x v="0"/>
    <m/>
    <m/>
    <m/>
    <m/>
    <m/>
    <m/>
    <m/>
    <m/>
    <m/>
    <m/>
    <m/>
    <m/>
    <m/>
    <m/>
    <n v="1616.2"/>
    <m/>
    <m/>
    <m/>
    <m/>
    <n v="0"/>
    <n v="0"/>
    <n v="0"/>
    <n v="0"/>
    <n v="0"/>
    <n v="0"/>
    <n v="0"/>
    <n v="1"/>
    <n v="8081"/>
    <n v="32"/>
    <n v="32"/>
    <n v="0"/>
    <n v="0"/>
    <n v="0"/>
    <n v="1347"/>
    <n v="1347"/>
    <n v="1"/>
    <n v="0"/>
    <n v="0"/>
    <n v="8081"/>
    <n v="1"/>
    <n v="0"/>
    <n v="0"/>
    <n v="8081"/>
    <n v="0"/>
    <n v="8081"/>
    <x v="0"/>
    <s v="Village"/>
    <x v="0"/>
    <n v="0"/>
    <n v="20.793779373168899"/>
    <n v="92.597961425781307"/>
    <n v="198370"/>
    <x v="0"/>
    <m/>
  </r>
  <r>
    <x v="1"/>
    <x v="2"/>
    <x v="2"/>
    <m/>
    <x v="1"/>
    <x v="1"/>
    <x v="0"/>
    <x v="45"/>
    <n v="2765.4"/>
    <n v="13827"/>
    <m/>
    <m/>
    <m/>
    <m/>
    <m/>
    <m/>
    <m/>
    <m/>
    <m/>
    <m/>
    <m/>
    <x v="0"/>
    <m/>
    <m/>
    <m/>
    <m/>
    <m/>
    <m/>
    <m/>
    <m/>
    <m/>
    <m/>
    <m/>
    <m/>
    <m/>
    <m/>
    <n v="2765.4"/>
    <m/>
    <m/>
    <m/>
    <m/>
    <n v="0"/>
    <n v="0"/>
    <n v="0"/>
    <n v="0"/>
    <n v="0"/>
    <n v="0"/>
    <n v="0"/>
    <n v="1"/>
    <n v="13827"/>
    <n v="55"/>
    <n v="55"/>
    <n v="0"/>
    <n v="0"/>
    <n v="0"/>
    <n v="2305"/>
    <n v="2305"/>
    <n v="1"/>
    <n v="0"/>
    <n v="0"/>
    <n v="13827"/>
    <n v="1"/>
    <n v="0"/>
    <n v="0"/>
    <n v="13827"/>
    <n v="0"/>
    <n v="13827"/>
    <x v="0"/>
    <s v="Village"/>
    <x v="0"/>
    <n v="0"/>
    <n v="20.821479797363299"/>
    <n v="92.603950500488295"/>
    <n v="198356"/>
    <x v="0"/>
    <m/>
  </r>
  <r>
    <x v="1"/>
    <x v="2"/>
    <x v="2"/>
    <m/>
    <x v="1"/>
    <x v="2"/>
    <x v="0"/>
    <x v="48"/>
    <n v="449.8"/>
    <n v="2249"/>
    <m/>
    <m/>
    <m/>
    <m/>
    <m/>
    <m/>
    <m/>
    <m/>
    <m/>
    <m/>
    <m/>
    <x v="0"/>
    <m/>
    <m/>
    <m/>
    <m/>
    <m/>
    <m/>
    <m/>
    <m/>
    <m/>
    <m/>
    <m/>
    <m/>
    <m/>
    <m/>
    <n v="449.8"/>
    <m/>
    <m/>
    <m/>
    <m/>
    <n v="0"/>
    <n v="0"/>
    <n v="0"/>
    <n v="0"/>
    <n v="0"/>
    <n v="0"/>
    <n v="0"/>
    <n v="1"/>
    <n v="2249"/>
    <n v="9"/>
    <n v="9"/>
    <n v="0"/>
    <n v="0"/>
    <n v="0"/>
    <n v="375"/>
    <n v="375"/>
    <n v="1"/>
    <n v="0"/>
    <n v="0"/>
    <n v="2249"/>
    <n v="1"/>
    <n v="0"/>
    <n v="0"/>
    <n v="2249"/>
    <n v="0"/>
    <n v="2249"/>
    <x v="0"/>
    <s v="Village"/>
    <x v="0"/>
    <n v="0"/>
    <n v="21.2080974578857"/>
    <n v="92.308609008789105"/>
    <n v="197841"/>
    <x v="0"/>
    <m/>
  </r>
  <r>
    <x v="1"/>
    <x v="2"/>
    <x v="2"/>
    <m/>
    <x v="1"/>
    <x v="2"/>
    <x v="0"/>
    <x v="49"/>
    <n v="1162"/>
    <n v="5810"/>
    <m/>
    <m/>
    <m/>
    <m/>
    <m/>
    <m/>
    <m/>
    <m/>
    <m/>
    <m/>
    <m/>
    <x v="0"/>
    <m/>
    <m/>
    <m/>
    <m/>
    <m/>
    <m/>
    <m/>
    <m/>
    <m/>
    <m/>
    <m/>
    <m/>
    <m/>
    <m/>
    <n v="1162"/>
    <m/>
    <m/>
    <m/>
    <m/>
    <n v="0"/>
    <n v="0"/>
    <n v="0"/>
    <n v="0"/>
    <n v="0"/>
    <n v="0"/>
    <n v="0"/>
    <n v="1"/>
    <n v="5810"/>
    <n v="23"/>
    <n v="23"/>
    <n v="0"/>
    <n v="0"/>
    <n v="0"/>
    <n v="968"/>
    <n v="968"/>
    <n v="1"/>
    <n v="0"/>
    <n v="0"/>
    <n v="5810"/>
    <n v="1"/>
    <n v="0"/>
    <n v="0"/>
    <n v="5810"/>
    <n v="0"/>
    <n v="5810"/>
    <x v="0"/>
    <s v="Village"/>
    <x v="0"/>
    <s v="Muslim"/>
    <n v="20.71759033"/>
    <n v="92.426422119999998"/>
    <n v="198045"/>
    <x v="0"/>
    <m/>
  </r>
  <r>
    <x v="1"/>
    <x v="2"/>
    <x v="2"/>
    <m/>
    <x v="1"/>
    <x v="1"/>
    <x v="0"/>
    <x v="43"/>
    <n v="2749.2"/>
    <n v="13746"/>
    <m/>
    <m/>
    <m/>
    <m/>
    <m/>
    <m/>
    <m/>
    <m/>
    <m/>
    <m/>
    <m/>
    <x v="0"/>
    <m/>
    <m/>
    <m/>
    <m/>
    <m/>
    <m/>
    <m/>
    <m/>
    <m/>
    <m/>
    <m/>
    <m/>
    <m/>
    <m/>
    <n v="2749.2"/>
    <m/>
    <m/>
    <m/>
    <m/>
    <n v="0"/>
    <n v="0"/>
    <n v="0"/>
    <n v="0"/>
    <n v="0"/>
    <n v="0"/>
    <n v="0"/>
    <n v="1"/>
    <n v="13746"/>
    <n v="55"/>
    <n v="55"/>
    <n v="0"/>
    <n v="0"/>
    <n v="0"/>
    <n v="2291"/>
    <n v="2291"/>
    <n v="1"/>
    <n v="0"/>
    <n v="0"/>
    <n v="13746"/>
    <n v="1"/>
    <n v="0"/>
    <n v="0"/>
    <n v="13746"/>
    <n v="0"/>
    <n v="13746"/>
    <x v="0"/>
    <s v="Village"/>
    <x v="0"/>
    <n v="0"/>
    <n v="20.8608493804932"/>
    <n v="92.539390563964801"/>
    <n v="198326"/>
    <x v="0"/>
    <m/>
  </r>
  <r>
    <x v="1"/>
    <x v="3"/>
    <x v="3"/>
    <s v="UNICEF"/>
    <x v="0"/>
    <x v="3"/>
    <x v="0"/>
    <x v="50"/>
    <n v="65"/>
    <n v="323"/>
    <d v="2019-03-16T00:00:00"/>
    <d v="2020-03-16T00:00:00"/>
    <n v="48"/>
    <n v="0"/>
    <n v="0"/>
    <n v="4"/>
    <n v="1"/>
    <n v="0"/>
    <n v="0"/>
    <m/>
    <n v="65"/>
    <x v="2"/>
    <n v="0"/>
    <n v="0"/>
    <n v="0"/>
    <n v="0"/>
    <n v="0"/>
    <m/>
    <n v="114"/>
    <n v="53"/>
    <n v="0"/>
    <n v="0"/>
    <n v="0"/>
    <n v="0"/>
    <n v="65"/>
    <n v="0"/>
    <m/>
    <m/>
    <m/>
    <m/>
    <m/>
    <n v="1"/>
    <n v="323"/>
    <n v="1"/>
    <n v="323"/>
    <n v="1"/>
    <n v="323"/>
    <n v="1.292"/>
    <n v="0"/>
    <n v="0"/>
    <n v="0"/>
    <n v="1"/>
    <n v="1"/>
    <n v="323"/>
    <n v="0"/>
    <n v="54"/>
    <n v="0"/>
    <n v="0"/>
    <n v="167"/>
    <n v="323"/>
    <n v="167"/>
    <n v="0.51702786377708976"/>
    <n v="0.48297213622291024"/>
    <n v="0.51702786377708976"/>
    <n v="0"/>
    <n v="0"/>
    <n v="0"/>
    <x v="1"/>
    <s v="Village"/>
    <x v="0"/>
    <s v="Rakhine"/>
    <n v="19.417640689999999"/>
    <n v="93.565246579999993"/>
    <n v="198464"/>
    <x v="0"/>
    <m/>
  </r>
  <r>
    <x v="1"/>
    <x v="3"/>
    <x v="3"/>
    <s v="UNICEF"/>
    <x v="0"/>
    <x v="3"/>
    <x v="0"/>
    <x v="51"/>
    <n v="275"/>
    <n v="1018"/>
    <d v="2019-03-16T00:00:00"/>
    <d v="2020-03-16T00:00:00"/>
    <m/>
    <m/>
    <m/>
    <m/>
    <m/>
    <m/>
    <m/>
    <m/>
    <m/>
    <x v="1"/>
    <m/>
    <m/>
    <m/>
    <m/>
    <m/>
    <m/>
    <m/>
    <m/>
    <m/>
    <m/>
    <m/>
    <m/>
    <n v="0"/>
    <n v="0"/>
    <m/>
    <m/>
    <m/>
    <m/>
    <m/>
    <n v="0"/>
    <n v="0"/>
    <n v="0"/>
    <n v="0"/>
    <n v="0"/>
    <n v="0"/>
    <n v="0"/>
    <n v="1"/>
    <n v="1018"/>
    <n v="4"/>
    <n v="4"/>
    <n v="0"/>
    <n v="0"/>
    <n v="0"/>
    <n v="170"/>
    <n v="170"/>
    <n v="1"/>
    <n v="0"/>
    <n v="0"/>
    <n v="0"/>
    <n v="0"/>
    <n v="1"/>
    <n v="0"/>
    <n v="0"/>
    <n v="0"/>
    <n v="0"/>
    <x v="0"/>
    <s v="Village"/>
    <x v="0"/>
    <s v="Rakhine"/>
    <n v="0"/>
    <n v="0"/>
    <n v="198475"/>
    <x v="0"/>
    <m/>
  </r>
  <r>
    <x v="1"/>
    <x v="3"/>
    <x v="3"/>
    <s v="UNICEF"/>
    <x v="0"/>
    <x v="3"/>
    <x v="0"/>
    <x v="52"/>
    <n v="76"/>
    <n v="276"/>
    <d v="2019-03-16T00:00:00"/>
    <d v="2020-03-16T00:00:00"/>
    <m/>
    <m/>
    <m/>
    <m/>
    <m/>
    <m/>
    <m/>
    <m/>
    <m/>
    <x v="1"/>
    <m/>
    <m/>
    <m/>
    <m/>
    <m/>
    <m/>
    <m/>
    <m/>
    <m/>
    <m/>
    <m/>
    <m/>
    <n v="0"/>
    <n v="0"/>
    <m/>
    <m/>
    <m/>
    <m/>
    <m/>
    <n v="0"/>
    <n v="0"/>
    <n v="0"/>
    <n v="0"/>
    <n v="0"/>
    <n v="0"/>
    <n v="0"/>
    <n v="1"/>
    <n v="276"/>
    <n v="1"/>
    <n v="1"/>
    <n v="0"/>
    <n v="0"/>
    <n v="0"/>
    <n v="46"/>
    <n v="46"/>
    <n v="1"/>
    <n v="0"/>
    <n v="0"/>
    <n v="0"/>
    <n v="0"/>
    <n v="1"/>
    <n v="0"/>
    <n v="0"/>
    <n v="0"/>
    <n v="0"/>
    <x v="0"/>
    <s v="Village"/>
    <x v="0"/>
    <s v="Rakhine"/>
    <n v="0"/>
    <n v="0"/>
    <n v="198476"/>
    <x v="0"/>
    <m/>
  </r>
  <r>
    <x v="1"/>
    <x v="3"/>
    <x v="3"/>
    <s v="UNICEF"/>
    <x v="0"/>
    <x v="3"/>
    <x v="0"/>
    <x v="53"/>
    <n v="251"/>
    <n v="970"/>
    <d v="2019-03-16T00:00:00"/>
    <d v="2020-03-16T00:00:00"/>
    <m/>
    <m/>
    <m/>
    <m/>
    <m/>
    <m/>
    <m/>
    <m/>
    <m/>
    <x v="1"/>
    <n v="5"/>
    <m/>
    <m/>
    <m/>
    <m/>
    <m/>
    <m/>
    <m/>
    <m/>
    <m/>
    <m/>
    <m/>
    <n v="0"/>
    <n v="0"/>
    <m/>
    <m/>
    <m/>
    <m/>
    <m/>
    <n v="0"/>
    <n v="0"/>
    <n v="0"/>
    <n v="0"/>
    <n v="0"/>
    <n v="0"/>
    <n v="0"/>
    <n v="1"/>
    <n v="970"/>
    <n v="4"/>
    <n v="4"/>
    <n v="0.25773195876288657"/>
    <n v="249.99999999999997"/>
    <n v="250"/>
    <n v="162"/>
    <n v="162"/>
    <n v="0.74226804123711343"/>
    <n v="0"/>
    <n v="0"/>
    <n v="0"/>
    <n v="0"/>
    <n v="1"/>
    <n v="0"/>
    <n v="0"/>
    <n v="0"/>
    <n v="0"/>
    <x v="0"/>
    <s v="Village"/>
    <x v="0"/>
    <s v="Rakhine"/>
    <n v="0"/>
    <n v="0"/>
    <n v="198508"/>
    <x v="0"/>
    <m/>
  </r>
  <r>
    <x v="1"/>
    <x v="3"/>
    <x v="3"/>
    <s v="UNICEF"/>
    <x v="0"/>
    <x v="3"/>
    <x v="0"/>
    <x v="54"/>
    <n v="152"/>
    <n v="864"/>
    <d v="2019-03-16T00:00:00"/>
    <d v="2020-03-16T00:00:00"/>
    <m/>
    <m/>
    <m/>
    <m/>
    <m/>
    <m/>
    <m/>
    <m/>
    <m/>
    <x v="1"/>
    <m/>
    <m/>
    <m/>
    <m/>
    <m/>
    <m/>
    <m/>
    <m/>
    <m/>
    <m/>
    <m/>
    <m/>
    <n v="0"/>
    <n v="0"/>
    <m/>
    <m/>
    <m/>
    <m/>
    <m/>
    <n v="0"/>
    <n v="0"/>
    <n v="0"/>
    <n v="0"/>
    <n v="0"/>
    <n v="0"/>
    <n v="0"/>
    <n v="1"/>
    <n v="864"/>
    <n v="3"/>
    <n v="3"/>
    <n v="0"/>
    <n v="0"/>
    <n v="0"/>
    <n v="144"/>
    <n v="144"/>
    <n v="1"/>
    <n v="0"/>
    <n v="0"/>
    <n v="0"/>
    <n v="0"/>
    <n v="1"/>
    <n v="0"/>
    <n v="0"/>
    <n v="0"/>
    <n v="0"/>
    <x v="0"/>
    <s v="Village"/>
    <x v="0"/>
    <s v="Rakhine"/>
    <n v="0"/>
    <n v="0"/>
    <n v="198667"/>
    <x v="0"/>
    <m/>
  </r>
  <r>
    <x v="1"/>
    <x v="4"/>
    <x v="4"/>
    <s v="BMZ"/>
    <x v="0"/>
    <x v="0"/>
    <x v="0"/>
    <x v="55"/>
    <n v="74"/>
    <n v="427"/>
    <m/>
    <d v="2021-08-31T00:00:00"/>
    <n v="81"/>
    <m/>
    <m/>
    <m/>
    <n v="1"/>
    <m/>
    <m/>
    <m/>
    <m/>
    <x v="2"/>
    <n v="1"/>
    <m/>
    <m/>
    <m/>
    <m/>
    <m/>
    <m/>
    <m/>
    <m/>
    <m/>
    <m/>
    <m/>
    <m/>
    <m/>
    <m/>
    <m/>
    <m/>
    <m/>
    <m/>
    <n v="0"/>
    <n v="0"/>
    <n v="1"/>
    <n v="427"/>
    <n v="1"/>
    <n v="427"/>
    <n v="1.708"/>
    <n v="0"/>
    <n v="0"/>
    <n v="0.29200000000000004"/>
    <n v="2"/>
    <n v="0.117096018735363"/>
    <n v="50"/>
    <n v="50"/>
    <n v="71"/>
    <n v="71"/>
    <n v="0.88290398126463698"/>
    <n v="0"/>
    <n v="0"/>
    <n v="0"/>
    <n v="0"/>
    <n v="1"/>
    <n v="0"/>
    <n v="0"/>
    <n v="0"/>
    <n v="0"/>
    <x v="1"/>
    <s v="Village"/>
    <x v="0"/>
    <s v="Rakhine"/>
    <n v="0"/>
    <n v="0"/>
    <n v="197461"/>
    <x v="0"/>
    <m/>
  </r>
  <r>
    <x v="1"/>
    <x v="4"/>
    <x v="4"/>
    <s v="BMZ"/>
    <x v="0"/>
    <x v="0"/>
    <x v="0"/>
    <x v="56"/>
    <n v="211"/>
    <n v="1006"/>
    <m/>
    <d v="2021-08-31T00:00:00"/>
    <n v="143"/>
    <m/>
    <m/>
    <m/>
    <n v="1"/>
    <m/>
    <m/>
    <m/>
    <m/>
    <x v="2"/>
    <n v="2"/>
    <m/>
    <m/>
    <m/>
    <m/>
    <m/>
    <m/>
    <m/>
    <m/>
    <m/>
    <m/>
    <m/>
    <m/>
    <m/>
    <m/>
    <m/>
    <m/>
    <m/>
    <m/>
    <n v="0"/>
    <n v="0"/>
    <n v="1"/>
    <n v="1006"/>
    <n v="1"/>
    <n v="1006"/>
    <n v="4.024"/>
    <n v="0"/>
    <n v="0"/>
    <n v="0"/>
    <n v="4"/>
    <n v="9.9403578528827044E-2"/>
    <n v="100"/>
    <n v="100"/>
    <n v="168"/>
    <n v="168"/>
    <n v="0.90059642147117291"/>
    <n v="0"/>
    <n v="0"/>
    <n v="0"/>
    <n v="0"/>
    <n v="1"/>
    <n v="0"/>
    <n v="0"/>
    <n v="0"/>
    <n v="0"/>
    <x v="1"/>
    <s v="Village"/>
    <x v="0"/>
    <s v="Rakhine"/>
    <n v="0"/>
    <n v="0"/>
    <n v="197441"/>
    <x v="0"/>
    <m/>
  </r>
  <r>
    <x v="1"/>
    <x v="4"/>
    <x v="4"/>
    <s v="BMZ"/>
    <x v="0"/>
    <x v="0"/>
    <x v="0"/>
    <x v="57"/>
    <n v="169"/>
    <n v="776"/>
    <m/>
    <d v="2021-08-31T00:00:00"/>
    <n v="114"/>
    <m/>
    <m/>
    <m/>
    <n v="1"/>
    <m/>
    <m/>
    <m/>
    <m/>
    <x v="2"/>
    <n v="2"/>
    <m/>
    <m/>
    <m/>
    <m/>
    <m/>
    <m/>
    <m/>
    <m/>
    <m/>
    <m/>
    <m/>
    <m/>
    <m/>
    <m/>
    <m/>
    <m/>
    <m/>
    <m/>
    <n v="0"/>
    <n v="0"/>
    <n v="1"/>
    <n v="776"/>
    <n v="1"/>
    <n v="776"/>
    <n v="3.1040000000000001"/>
    <n v="0"/>
    <n v="0"/>
    <n v="0"/>
    <n v="3"/>
    <n v="0.12886597938144329"/>
    <n v="99.999999999999986"/>
    <n v="100"/>
    <n v="129"/>
    <n v="129"/>
    <n v="0.87113402061855671"/>
    <n v="0"/>
    <n v="0"/>
    <n v="0"/>
    <n v="0"/>
    <n v="1"/>
    <n v="0"/>
    <n v="0"/>
    <n v="0"/>
    <n v="0"/>
    <x v="1"/>
    <s v="Village"/>
    <x v="0"/>
    <s v="Rakhine"/>
    <n v="0"/>
    <n v="0"/>
    <n v="197450"/>
    <x v="0"/>
    <m/>
  </r>
  <r>
    <x v="1"/>
    <x v="4"/>
    <x v="4"/>
    <s v="BMZ"/>
    <x v="0"/>
    <x v="0"/>
    <x v="0"/>
    <x v="58"/>
    <n v="50"/>
    <n v="265"/>
    <m/>
    <d v="2021-08-31T00:00:00"/>
    <n v="0"/>
    <m/>
    <m/>
    <m/>
    <n v="1"/>
    <m/>
    <m/>
    <m/>
    <m/>
    <x v="0"/>
    <m/>
    <m/>
    <m/>
    <m/>
    <m/>
    <m/>
    <m/>
    <m/>
    <m/>
    <m/>
    <m/>
    <m/>
    <m/>
    <m/>
    <m/>
    <m/>
    <m/>
    <m/>
    <m/>
    <n v="0"/>
    <n v="0"/>
    <n v="1"/>
    <n v="265"/>
    <n v="1"/>
    <n v="265"/>
    <n v="1.06"/>
    <n v="0"/>
    <n v="0"/>
    <n v="0"/>
    <n v="1"/>
    <n v="0"/>
    <n v="0"/>
    <n v="0"/>
    <n v="44"/>
    <n v="44"/>
    <n v="1"/>
    <n v="0"/>
    <n v="0"/>
    <n v="0"/>
    <n v="0"/>
    <n v="1"/>
    <n v="0"/>
    <n v="0"/>
    <n v="0"/>
    <n v="0"/>
    <x v="0"/>
    <s v="Village"/>
    <x v="0"/>
    <s v="Rakhine"/>
    <n v="0"/>
    <n v="0"/>
    <n v="197463"/>
    <x v="0"/>
    <m/>
  </r>
  <r>
    <x v="1"/>
    <x v="4"/>
    <x v="4"/>
    <s v="BMZ"/>
    <x v="0"/>
    <x v="0"/>
    <x v="0"/>
    <x v="59"/>
    <n v="168"/>
    <n v="1614"/>
    <m/>
    <d v="2021-08-31T00:00:00"/>
    <n v="102"/>
    <m/>
    <m/>
    <m/>
    <n v="0"/>
    <m/>
    <m/>
    <m/>
    <m/>
    <x v="2"/>
    <n v="1"/>
    <m/>
    <m/>
    <m/>
    <m/>
    <m/>
    <m/>
    <m/>
    <m/>
    <m/>
    <m/>
    <m/>
    <m/>
    <m/>
    <m/>
    <m/>
    <m/>
    <m/>
    <m/>
    <n v="0"/>
    <n v="0"/>
    <n v="0"/>
    <n v="0"/>
    <n v="0"/>
    <n v="0"/>
    <n v="0"/>
    <n v="1"/>
    <n v="1614"/>
    <n v="6"/>
    <n v="6"/>
    <n v="3.0978934324659233E-2"/>
    <n v="50"/>
    <n v="50"/>
    <n v="269"/>
    <n v="269"/>
    <n v="0.96902106567534074"/>
    <n v="0"/>
    <n v="0"/>
    <n v="0"/>
    <n v="0"/>
    <n v="1"/>
    <n v="0"/>
    <n v="0"/>
    <n v="0"/>
    <n v="0"/>
    <x v="1"/>
    <s v="Village"/>
    <x v="0"/>
    <s v="Rakhine"/>
    <n v="0"/>
    <n v="0"/>
    <n v="197404"/>
    <x v="0"/>
    <m/>
  </r>
  <r>
    <x v="1"/>
    <x v="4"/>
    <x v="4"/>
    <s v="BMZ"/>
    <x v="0"/>
    <x v="0"/>
    <x v="0"/>
    <x v="60"/>
    <n v="370"/>
    <n v="1711"/>
    <m/>
    <d v="2021-08-31T00:00:00"/>
    <n v="400"/>
    <m/>
    <m/>
    <m/>
    <n v="0"/>
    <m/>
    <m/>
    <m/>
    <m/>
    <x v="2"/>
    <n v="2"/>
    <m/>
    <m/>
    <m/>
    <m/>
    <m/>
    <m/>
    <m/>
    <m/>
    <m/>
    <m/>
    <m/>
    <m/>
    <m/>
    <m/>
    <m/>
    <m/>
    <m/>
    <m/>
    <n v="0"/>
    <n v="0"/>
    <n v="0"/>
    <n v="0"/>
    <n v="0"/>
    <n v="0"/>
    <n v="0"/>
    <n v="1"/>
    <n v="1711"/>
    <n v="7"/>
    <n v="7"/>
    <n v="5.8445353594389245E-2"/>
    <n v="100"/>
    <n v="100"/>
    <n v="285"/>
    <n v="285"/>
    <n v="0.94155464640561071"/>
    <n v="0"/>
    <n v="0"/>
    <n v="0"/>
    <n v="0"/>
    <n v="1"/>
    <n v="0"/>
    <n v="0"/>
    <n v="0"/>
    <n v="0"/>
    <x v="1"/>
    <s v="Village"/>
    <x v="0"/>
    <s v="Rakhine"/>
    <n v="0"/>
    <n v="0"/>
    <n v="197464"/>
    <x v="0"/>
    <m/>
  </r>
  <r>
    <x v="1"/>
    <x v="4"/>
    <x v="4"/>
    <s v="BMZ"/>
    <x v="0"/>
    <x v="0"/>
    <x v="0"/>
    <x v="61"/>
    <n v="436"/>
    <n v="2287"/>
    <m/>
    <d v="2021-08-31T00:00:00"/>
    <n v="495"/>
    <m/>
    <m/>
    <m/>
    <n v="1"/>
    <m/>
    <m/>
    <m/>
    <m/>
    <x v="2"/>
    <n v="4"/>
    <m/>
    <m/>
    <m/>
    <m/>
    <m/>
    <m/>
    <m/>
    <m/>
    <m/>
    <m/>
    <m/>
    <m/>
    <m/>
    <m/>
    <m/>
    <m/>
    <m/>
    <m/>
    <n v="0"/>
    <n v="0"/>
    <n v="1"/>
    <n v="2287"/>
    <n v="1"/>
    <n v="2287"/>
    <n v="9.1479999999999997"/>
    <n v="0"/>
    <n v="0"/>
    <n v="0"/>
    <n v="9"/>
    <n v="8.7450808919982512E-2"/>
    <n v="200"/>
    <n v="200"/>
    <n v="381"/>
    <n v="381"/>
    <n v="0.91254919108001753"/>
    <n v="0"/>
    <n v="0"/>
    <n v="0"/>
    <n v="0"/>
    <n v="1"/>
    <n v="0"/>
    <n v="0"/>
    <n v="0"/>
    <n v="0"/>
    <x v="1"/>
    <s v="Village"/>
    <x v="0"/>
    <s v="Rakhine"/>
    <n v="0"/>
    <n v="0"/>
    <n v="197460"/>
    <x v="0"/>
    <m/>
  </r>
  <r>
    <x v="1"/>
    <x v="4"/>
    <x v="4"/>
    <s v="BMZ"/>
    <x v="0"/>
    <x v="0"/>
    <x v="0"/>
    <x v="62"/>
    <n v="215"/>
    <n v="959"/>
    <m/>
    <d v="2021-08-31T00:00:00"/>
    <n v="123"/>
    <m/>
    <m/>
    <m/>
    <n v="1"/>
    <m/>
    <m/>
    <m/>
    <m/>
    <x v="2"/>
    <n v="1"/>
    <m/>
    <m/>
    <m/>
    <m/>
    <m/>
    <m/>
    <m/>
    <m/>
    <m/>
    <m/>
    <m/>
    <m/>
    <m/>
    <m/>
    <m/>
    <m/>
    <m/>
    <m/>
    <n v="0"/>
    <n v="0"/>
    <n v="1"/>
    <n v="959"/>
    <n v="1"/>
    <n v="959"/>
    <n v="3.8359999999999999"/>
    <n v="0"/>
    <n v="0"/>
    <n v="0.16400000000000015"/>
    <n v="4"/>
    <n v="5.213764337851929E-2"/>
    <n v="50"/>
    <n v="50"/>
    <n v="160"/>
    <n v="160"/>
    <n v="0.94786235662148066"/>
    <n v="0"/>
    <n v="0"/>
    <n v="0"/>
    <n v="0"/>
    <n v="1"/>
    <n v="0"/>
    <n v="0"/>
    <n v="0"/>
    <n v="0"/>
    <x v="1"/>
    <s v="Village"/>
    <x v="0"/>
    <s v="Rakhine"/>
    <n v="0"/>
    <n v="0"/>
    <n v="197449"/>
    <x v="0"/>
    <m/>
  </r>
  <r>
    <x v="1"/>
    <x v="4"/>
    <x v="4"/>
    <s v="BMZ"/>
    <x v="0"/>
    <x v="0"/>
    <x v="0"/>
    <x v="63"/>
    <n v="19"/>
    <n v="92"/>
    <m/>
    <d v="2021-08-31T00:00:00"/>
    <n v="0"/>
    <m/>
    <m/>
    <m/>
    <n v="0"/>
    <m/>
    <m/>
    <m/>
    <m/>
    <x v="0"/>
    <m/>
    <m/>
    <m/>
    <m/>
    <m/>
    <m/>
    <m/>
    <m/>
    <m/>
    <m/>
    <m/>
    <m/>
    <m/>
    <m/>
    <m/>
    <m/>
    <m/>
    <m/>
    <m/>
    <n v="0"/>
    <n v="0"/>
    <n v="0"/>
    <n v="0"/>
    <n v="0"/>
    <n v="0"/>
    <n v="0"/>
    <n v="1"/>
    <n v="92"/>
    <n v="1"/>
    <n v="1"/>
    <n v="0"/>
    <n v="0"/>
    <n v="0"/>
    <n v="15"/>
    <n v="15"/>
    <n v="1"/>
    <n v="0"/>
    <n v="0"/>
    <n v="0"/>
    <n v="0"/>
    <n v="1"/>
    <n v="0"/>
    <n v="0"/>
    <n v="0"/>
    <n v="0"/>
    <x v="0"/>
    <s v="Village"/>
    <x v="0"/>
    <s v="Rakhine"/>
    <n v="0"/>
    <n v="0"/>
    <n v="197462"/>
    <x v="0"/>
    <m/>
  </r>
  <r>
    <x v="1"/>
    <x v="4"/>
    <x v="4"/>
    <s v="BMZ"/>
    <x v="0"/>
    <x v="0"/>
    <x v="0"/>
    <x v="64"/>
    <n v="147"/>
    <n v="601"/>
    <m/>
    <d v="2021-08-31T00:00:00"/>
    <n v="112"/>
    <m/>
    <m/>
    <m/>
    <n v="1"/>
    <m/>
    <m/>
    <m/>
    <n v="147"/>
    <x v="2"/>
    <n v="1"/>
    <m/>
    <m/>
    <m/>
    <m/>
    <m/>
    <m/>
    <m/>
    <m/>
    <m/>
    <m/>
    <m/>
    <m/>
    <m/>
    <m/>
    <m/>
    <m/>
    <m/>
    <m/>
    <n v="0"/>
    <n v="0"/>
    <n v="1"/>
    <n v="601"/>
    <n v="1"/>
    <n v="601"/>
    <n v="2.4039999999999999"/>
    <n v="0"/>
    <n v="0"/>
    <n v="0"/>
    <n v="2"/>
    <n v="1"/>
    <n v="601"/>
    <n v="50"/>
    <n v="100"/>
    <n v="0"/>
    <n v="0"/>
    <n v="0"/>
    <n v="0"/>
    <n v="0"/>
    <n v="0"/>
    <n v="1"/>
    <n v="0"/>
    <n v="0"/>
    <n v="0"/>
    <n v="0"/>
    <x v="1"/>
    <s v="Village"/>
    <x v="0"/>
    <s v="KhaMi"/>
    <n v="0"/>
    <n v="0"/>
    <n v="197442"/>
    <x v="0"/>
    <m/>
  </r>
  <r>
    <x v="1"/>
    <x v="4"/>
    <x v="4"/>
    <s v="BMZ"/>
    <x v="0"/>
    <x v="0"/>
    <x v="0"/>
    <x v="65"/>
    <n v="284"/>
    <n v="1292"/>
    <m/>
    <d v="2021-08-31T00:00:00"/>
    <n v="425"/>
    <m/>
    <m/>
    <m/>
    <n v="2"/>
    <m/>
    <m/>
    <m/>
    <m/>
    <x v="2"/>
    <n v="10"/>
    <m/>
    <m/>
    <m/>
    <m/>
    <m/>
    <m/>
    <m/>
    <m/>
    <m/>
    <m/>
    <m/>
    <m/>
    <m/>
    <m/>
    <m/>
    <m/>
    <m/>
    <m/>
    <n v="0"/>
    <n v="0"/>
    <n v="1"/>
    <n v="1292"/>
    <n v="1"/>
    <n v="1292"/>
    <n v="5.1680000000000001"/>
    <n v="0"/>
    <n v="0"/>
    <n v="0"/>
    <n v="5"/>
    <n v="0.38699690402476783"/>
    <n v="500.00000000000006"/>
    <n v="500"/>
    <n v="215"/>
    <n v="215"/>
    <n v="0.61300309597523217"/>
    <n v="0"/>
    <n v="0"/>
    <n v="0"/>
    <n v="0"/>
    <n v="1"/>
    <n v="0"/>
    <n v="0"/>
    <n v="0"/>
    <n v="0"/>
    <x v="1"/>
    <s v="Village"/>
    <x v="0"/>
    <s v="Rakhine"/>
    <n v="0"/>
    <n v="0"/>
    <n v="197405"/>
    <x v="0"/>
    <m/>
  </r>
  <r>
    <x v="1"/>
    <x v="4"/>
    <x v="4"/>
    <s v="BMZ"/>
    <x v="0"/>
    <x v="0"/>
    <x v="0"/>
    <x v="66"/>
    <n v="173"/>
    <n v="354"/>
    <m/>
    <d v="2021-08-31T00:00:00"/>
    <n v="132"/>
    <m/>
    <m/>
    <m/>
    <n v="1"/>
    <m/>
    <m/>
    <m/>
    <m/>
    <x v="2"/>
    <n v="0"/>
    <m/>
    <m/>
    <m/>
    <m/>
    <m/>
    <m/>
    <m/>
    <m/>
    <m/>
    <m/>
    <m/>
    <m/>
    <m/>
    <m/>
    <m/>
    <m/>
    <m/>
    <m/>
    <n v="0"/>
    <n v="0"/>
    <n v="1"/>
    <n v="354"/>
    <n v="1"/>
    <n v="354"/>
    <n v="1.4159999999999999"/>
    <n v="0"/>
    <n v="0"/>
    <n v="0"/>
    <n v="1"/>
    <n v="0"/>
    <n v="0"/>
    <n v="0"/>
    <n v="59"/>
    <n v="59"/>
    <n v="1"/>
    <n v="0"/>
    <n v="0"/>
    <n v="0"/>
    <n v="0"/>
    <n v="1"/>
    <n v="0"/>
    <n v="0"/>
    <n v="0"/>
    <n v="0"/>
    <x v="1"/>
    <s v="Village"/>
    <x v="0"/>
    <s v="Rakhine"/>
    <n v="0"/>
    <n v="0"/>
    <n v="197403"/>
    <x v="0"/>
    <m/>
  </r>
  <r>
    <x v="1"/>
    <x v="4"/>
    <x v="4"/>
    <s v="BMZ"/>
    <x v="0"/>
    <x v="0"/>
    <x v="0"/>
    <x v="67"/>
    <n v="66"/>
    <n v="1018"/>
    <m/>
    <d v="2021-08-31T00:00:00"/>
    <n v="34"/>
    <m/>
    <m/>
    <m/>
    <n v="2"/>
    <m/>
    <m/>
    <m/>
    <m/>
    <x v="2"/>
    <n v="3"/>
    <m/>
    <m/>
    <m/>
    <m/>
    <m/>
    <m/>
    <m/>
    <m/>
    <m/>
    <m/>
    <m/>
    <m/>
    <m/>
    <m/>
    <m/>
    <m/>
    <m/>
    <m/>
    <n v="0"/>
    <n v="0"/>
    <n v="1"/>
    <n v="1018"/>
    <n v="1"/>
    <n v="1018"/>
    <n v="4.0720000000000001"/>
    <n v="0"/>
    <n v="0"/>
    <n v="0"/>
    <n v="4"/>
    <n v="0.14734774066797643"/>
    <n v="150"/>
    <n v="150"/>
    <n v="170"/>
    <n v="170"/>
    <n v="0.8526522593320236"/>
    <n v="0"/>
    <n v="0"/>
    <n v="0"/>
    <n v="0"/>
    <n v="1"/>
    <n v="0"/>
    <n v="0"/>
    <n v="0"/>
    <n v="0"/>
    <x v="1"/>
    <s v="Village"/>
    <x v="0"/>
    <s v="Rakhine"/>
    <n v="20.260679244995099"/>
    <n v="93.051597595214801"/>
    <n v="197401"/>
    <x v="0"/>
    <m/>
  </r>
  <r>
    <x v="1"/>
    <x v="4"/>
    <x v="4"/>
    <s v="BMZ"/>
    <x v="0"/>
    <x v="0"/>
    <x v="0"/>
    <x v="68"/>
    <n v="207"/>
    <n v="957"/>
    <m/>
    <d v="2021-08-31T00:00:00"/>
    <n v="153"/>
    <m/>
    <m/>
    <m/>
    <n v="1"/>
    <m/>
    <m/>
    <m/>
    <m/>
    <x v="2"/>
    <n v="2"/>
    <m/>
    <m/>
    <m/>
    <m/>
    <m/>
    <m/>
    <m/>
    <m/>
    <m/>
    <m/>
    <m/>
    <m/>
    <m/>
    <m/>
    <m/>
    <m/>
    <m/>
    <m/>
    <n v="0"/>
    <n v="0"/>
    <n v="1"/>
    <n v="957"/>
    <n v="1"/>
    <n v="957"/>
    <n v="3.8279999999999998"/>
    <n v="0"/>
    <n v="0"/>
    <n v="0.17200000000000015"/>
    <n v="4"/>
    <n v="0.1044932079414838"/>
    <n v="100"/>
    <n v="100"/>
    <n v="160"/>
    <n v="160"/>
    <n v="0.89550679205851624"/>
    <n v="0"/>
    <n v="0"/>
    <n v="0"/>
    <n v="0"/>
    <n v="1"/>
    <n v="0"/>
    <n v="0"/>
    <n v="0"/>
    <n v="0"/>
    <x v="1"/>
    <s v="Village"/>
    <x v="0"/>
    <s v="Rakhine"/>
    <n v="0"/>
    <n v="0"/>
    <n v="197451"/>
    <x v="0"/>
    <m/>
  </r>
  <r>
    <x v="1"/>
    <x v="4"/>
    <x v="4"/>
    <s v="BMZ"/>
    <x v="0"/>
    <x v="0"/>
    <x v="0"/>
    <x v="69"/>
    <n v="279"/>
    <n v="1246"/>
    <m/>
    <d v="2021-08-31T00:00:00"/>
    <n v="217"/>
    <m/>
    <m/>
    <m/>
    <n v="1"/>
    <m/>
    <m/>
    <m/>
    <m/>
    <x v="2"/>
    <n v="1"/>
    <m/>
    <m/>
    <m/>
    <m/>
    <m/>
    <m/>
    <m/>
    <m/>
    <m/>
    <m/>
    <m/>
    <m/>
    <m/>
    <m/>
    <m/>
    <m/>
    <m/>
    <m/>
    <n v="0"/>
    <n v="0"/>
    <n v="1"/>
    <n v="1246"/>
    <n v="1"/>
    <n v="1246"/>
    <n v="4.984"/>
    <n v="0"/>
    <n v="0"/>
    <n v="1.6000000000000014E-2"/>
    <n v="5"/>
    <n v="4.0128410914927769E-2"/>
    <n v="50"/>
    <n v="50"/>
    <n v="208"/>
    <n v="208"/>
    <n v="0.9598715890850722"/>
    <n v="0"/>
    <n v="0"/>
    <n v="0"/>
    <n v="0"/>
    <n v="1"/>
    <n v="0"/>
    <n v="0"/>
    <n v="0"/>
    <n v="0"/>
    <x v="1"/>
    <s v="Village"/>
    <x v="0"/>
    <s v="Rakhine"/>
    <n v="0"/>
    <n v="0"/>
    <n v="197447"/>
    <x v="0"/>
    <m/>
  </r>
  <r>
    <x v="1"/>
    <x v="5"/>
    <x v="5"/>
    <s v="BMZ"/>
    <x v="0"/>
    <x v="4"/>
    <x v="0"/>
    <x v="70"/>
    <n v="192"/>
    <n v="1083"/>
    <d v="2017-01-01T00:00:00"/>
    <d v="2021-12-21T00:00:00"/>
    <m/>
    <m/>
    <m/>
    <m/>
    <m/>
    <m/>
    <m/>
    <m/>
    <m/>
    <x v="0"/>
    <m/>
    <m/>
    <m/>
    <m/>
    <m/>
    <m/>
    <m/>
    <m/>
    <m/>
    <m/>
    <m/>
    <m/>
    <m/>
    <m/>
    <m/>
    <m/>
    <m/>
    <m/>
    <m/>
    <n v="0"/>
    <n v="0"/>
    <n v="0"/>
    <n v="0"/>
    <n v="0"/>
    <n v="0"/>
    <n v="0"/>
    <n v="1"/>
    <n v="1083"/>
    <n v="4"/>
    <n v="4"/>
    <n v="0"/>
    <n v="0"/>
    <n v="0"/>
    <n v="181"/>
    <n v="181"/>
    <n v="1"/>
    <n v="0"/>
    <n v="0"/>
    <n v="0"/>
    <n v="0"/>
    <n v="1"/>
    <n v="0"/>
    <n v="0"/>
    <n v="0"/>
    <n v="0"/>
    <x v="0"/>
    <s v="Village"/>
    <x v="0"/>
    <n v="0"/>
    <n v="0"/>
    <n v="0"/>
    <n v="196132"/>
    <x v="0"/>
    <m/>
  </r>
  <r>
    <x v="1"/>
    <x v="5"/>
    <x v="5"/>
    <s v="BMZ"/>
    <x v="0"/>
    <x v="4"/>
    <x v="0"/>
    <x v="71"/>
    <n v="65"/>
    <n v="373"/>
    <d v="2017-01-01T00:00:00"/>
    <d v="2021-12-21T00:00:00"/>
    <m/>
    <m/>
    <m/>
    <m/>
    <m/>
    <m/>
    <m/>
    <m/>
    <m/>
    <x v="0"/>
    <m/>
    <m/>
    <m/>
    <m/>
    <m/>
    <m/>
    <m/>
    <m/>
    <m/>
    <m/>
    <m/>
    <m/>
    <m/>
    <m/>
    <m/>
    <m/>
    <m/>
    <m/>
    <m/>
    <n v="0"/>
    <n v="0"/>
    <n v="0"/>
    <n v="0"/>
    <n v="0"/>
    <n v="0"/>
    <n v="0"/>
    <n v="1"/>
    <n v="373"/>
    <n v="1"/>
    <n v="1"/>
    <n v="0"/>
    <n v="0"/>
    <n v="0"/>
    <n v="62"/>
    <n v="62"/>
    <n v="1"/>
    <n v="0"/>
    <n v="0"/>
    <n v="0"/>
    <n v="0"/>
    <n v="1"/>
    <n v="0"/>
    <n v="0"/>
    <n v="0"/>
    <n v="0"/>
    <x v="0"/>
    <s v="Village"/>
    <x v="0"/>
    <n v="0"/>
    <n v="0"/>
    <n v="0"/>
    <n v="196135"/>
    <x v="0"/>
    <m/>
  </r>
  <r>
    <x v="1"/>
    <x v="5"/>
    <x v="5"/>
    <s v="BMZ"/>
    <x v="0"/>
    <x v="4"/>
    <x v="0"/>
    <x v="72"/>
    <n v="86"/>
    <n v="481"/>
    <d v="2017-01-01T00:00:00"/>
    <d v="2021-12-21T00:00:00"/>
    <m/>
    <m/>
    <m/>
    <m/>
    <m/>
    <m/>
    <m/>
    <m/>
    <m/>
    <x v="0"/>
    <m/>
    <m/>
    <m/>
    <m/>
    <m/>
    <m/>
    <m/>
    <m/>
    <m/>
    <m/>
    <m/>
    <m/>
    <m/>
    <m/>
    <m/>
    <m/>
    <m/>
    <m/>
    <m/>
    <n v="0"/>
    <n v="0"/>
    <n v="0"/>
    <n v="0"/>
    <n v="0"/>
    <n v="0"/>
    <n v="0"/>
    <n v="1"/>
    <n v="481"/>
    <n v="2"/>
    <n v="2"/>
    <n v="0"/>
    <n v="0"/>
    <n v="0"/>
    <n v="80"/>
    <n v="80"/>
    <n v="1"/>
    <n v="0"/>
    <n v="0"/>
    <n v="0"/>
    <n v="0"/>
    <n v="1"/>
    <n v="0"/>
    <n v="0"/>
    <n v="0"/>
    <n v="0"/>
    <x v="0"/>
    <s v="Village"/>
    <x v="0"/>
    <n v="0"/>
    <n v="20.187860488891602"/>
    <n v="92.903419494628906"/>
    <n v="196134"/>
    <x v="0"/>
    <m/>
  </r>
  <r>
    <x v="1"/>
    <x v="5"/>
    <x v="5"/>
    <s v="BMZ"/>
    <x v="0"/>
    <x v="4"/>
    <x v="0"/>
    <x v="73"/>
    <n v="88"/>
    <n v="454"/>
    <d v="2017-01-01T00:00:00"/>
    <d v="2021-12-21T00:00:00"/>
    <m/>
    <m/>
    <m/>
    <m/>
    <m/>
    <m/>
    <m/>
    <m/>
    <m/>
    <x v="0"/>
    <m/>
    <m/>
    <m/>
    <m/>
    <m/>
    <m/>
    <m/>
    <m/>
    <m/>
    <m/>
    <m/>
    <m/>
    <m/>
    <m/>
    <m/>
    <m/>
    <m/>
    <m/>
    <m/>
    <n v="0"/>
    <n v="0"/>
    <n v="0"/>
    <n v="0"/>
    <n v="0"/>
    <n v="0"/>
    <n v="0"/>
    <n v="1"/>
    <n v="454"/>
    <n v="2"/>
    <n v="2"/>
    <n v="0"/>
    <n v="0"/>
    <n v="0"/>
    <n v="76"/>
    <n v="76"/>
    <n v="1"/>
    <n v="0"/>
    <n v="0"/>
    <n v="0"/>
    <n v="0"/>
    <n v="1"/>
    <n v="0"/>
    <n v="0"/>
    <n v="0"/>
    <n v="0"/>
    <x v="0"/>
    <s v="Village"/>
    <x v="0"/>
    <n v="0"/>
    <n v="20.1899604797363"/>
    <n v="92.895767211914105"/>
    <n v="196136"/>
    <x v="0"/>
    <m/>
  </r>
  <r>
    <x v="1"/>
    <x v="5"/>
    <x v="5"/>
    <s v="EU"/>
    <x v="0"/>
    <x v="4"/>
    <x v="0"/>
    <x v="74"/>
    <n v="218"/>
    <n v="978"/>
    <d v="2017-01-01T00:00:00"/>
    <d v="2021-12-21T00:00:00"/>
    <m/>
    <m/>
    <m/>
    <m/>
    <m/>
    <m/>
    <m/>
    <m/>
    <m/>
    <x v="0"/>
    <m/>
    <m/>
    <m/>
    <m/>
    <m/>
    <m/>
    <m/>
    <m/>
    <m/>
    <m/>
    <m/>
    <m/>
    <m/>
    <m/>
    <m/>
    <m/>
    <m/>
    <m/>
    <m/>
    <n v="0"/>
    <n v="0"/>
    <n v="0"/>
    <n v="0"/>
    <n v="0"/>
    <n v="0"/>
    <n v="0"/>
    <n v="1"/>
    <n v="978"/>
    <n v="4"/>
    <n v="4"/>
    <n v="0"/>
    <n v="0"/>
    <n v="0"/>
    <n v="163"/>
    <n v="163"/>
    <n v="1"/>
    <n v="0"/>
    <n v="0"/>
    <n v="0"/>
    <n v="0"/>
    <n v="1"/>
    <n v="0"/>
    <n v="0"/>
    <n v="0"/>
    <n v="0"/>
    <x v="0"/>
    <s v="Village"/>
    <x v="0"/>
    <n v="0"/>
    <n v="20.2630290985107"/>
    <n v="92.858856201171903"/>
    <n v="196166"/>
    <x v="0"/>
    <m/>
  </r>
  <r>
    <x v="1"/>
    <x v="5"/>
    <x v="5"/>
    <s v="EU"/>
    <x v="0"/>
    <x v="4"/>
    <x v="0"/>
    <x v="75"/>
    <n v="147"/>
    <n v="741"/>
    <d v="2017-01-01T00:00:00"/>
    <d v="2021-12-21T00:00:00"/>
    <m/>
    <m/>
    <m/>
    <m/>
    <m/>
    <m/>
    <m/>
    <m/>
    <m/>
    <x v="0"/>
    <m/>
    <m/>
    <m/>
    <m/>
    <m/>
    <m/>
    <m/>
    <m/>
    <m/>
    <m/>
    <m/>
    <m/>
    <m/>
    <m/>
    <m/>
    <m/>
    <m/>
    <m/>
    <m/>
    <n v="0"/>
    <n v="0"/>
    <n v="0"/>
    <n v="0"/>
    <n v="0"/>
    <n v="0"/>
    <n v="0"/>
    <n v="1"/>
    <n v="741"/>
    <n v="3"/>
    <n v="3"/>
    <n v="0"/>
    <n v="0"/>
    <n v="0"/>
    <n v="124"/>
    <n v="124"/>
    <n v="1"/>
    <n v="0"/>
    <n v="0"/>
    <n v="0"/>
    <n v="0"/>
    <n v="1"/>
    <n v="0"/>
    <n v="0"/>
    <n v="0"/>
    <n v="0"/>
    <x v="0"/>
    <s v="Village"/>
    <x v="0"/>
    <n v="0"/>
    <n v="20.248519897460898"/>
    <n v="92.8621826171875"/>
    <n v="196170"/>
    <x v="0"/>
    <m/>
  </r>
  <r>
    <x v="1"/>
    <x v="5"/>
    <x v="5"/>
    <s v="EU"/>
    <x v="0"/>
    <x v="4"/>
    <x v="0"/>
    <x v="76"/>
    <n v="235"/>
    <n v="1117"/>
    <d v="2017-01-01T00:00:00"/>
    <d v="2021-12-21T00:00:00"/>
    <m/>
    <m/>
    <m/>
    <m/>
    <m/>
    <m/>
    <m/>
    <m/>
    <m/>
    <x v="0"/>
    <m/>
    <m/>
    <m/>
    <m/>
    <m/>
    <m/>
    <m/>
    <m/>
    <m/>
    <m/>
    <m/>
    <m/>
    <m/>
    <m/>
    <m/>
    <m/>
    <m/>
    <m/>
    <m/>
    <n v="0"/>
    <n v="0"/>
    <n v="0"/>
    <n v="0"/>
    <n v="0"/>
    <n v="0"/>
    <n v="0"/>
    <n v="1"/>
    <n v="1117"/>
    <n v="4"/>
    <n v="4"/>
    <n v="0"/>
    <n v="0"/>
    <n v="0"/>
    <n v="186"/>
    <n v="186"/>
    <n v="1"/>
    <n v="0"/>
    <n v="0"/>
    <n v="0"/>
    <n v="0"/>
    <n v="1"/>
    <n v="0"/>
    <n v="0"/>
    <n v="0"/>
    <n v="0"/>
    <x v="0"/>
    <s v="Village"/>
    <x v="0"/>
    <n v="0"/>
    <n v="20.2375602722168"/>
    <n v="92.861152648925795"/>
    <n v="196169"/>
    <x v="0"/>
    <m/>
  </r>
  <r>
    <x v="1"/>
    <x v="5"/>
    <x v="5"/>
    <s v="EU"/>
    <x v="0"/>
    <x v="4"/>
    <x v="0"/>
    <x v="77"/>
    <n v="156"/>
    <n v="658"/>
    <d v="2017-01-01T00:00:00"/>
    <d v="2021-12-21T00:00:00"/>
    <m/>
    <m/>
    <m/>
    <m/>
    <m/>
    <m/>
    <m/>
    <m/>
    <m/>
    <x v="0"/>
    <m/>
    <m/>
    <m/>
    <m/>
    <m/>
    <m/>
    <m/>
    <m/>
    <m/>
    <m/>
    <m/>
    <m/>
    <m/>
    <m/>
    <m/>
    <m/>
    <m/>
    <m/>
    <m/>
    <n v="0"/>
    <n v="0"/>
    <n v="0"/>
    <n v="0"/>
    <n v="0"/>
    <n v="0"/>
    <n v="0"/>
    <n v="1"/>
    <n v="658"/>
    <n v="3"/>
    <n v="3"/>
    <n v="0"/>
    <n v="0"/>
    <n v="0"/>
    <n v="110"/>
    <n v="110"/>
    <n v="1"/>
    <n v="0"/>
    <n v="0"/>
    <n v="0"/>
    <n v="0"/>
    <n v="1"/>
    <n v="0"/>
    <n v="0"/>
    <n v="0"/>
    <n v="0"/>
    <x v="0"/>
    <s v="Village"/>
    <x v="0"/>
    <s v="Rakhine"/>
    <n v="20.22929001"/>
    <n v="92.864669800000001"/>
    <n v="196167"/>
    <x v="0"/>
    <m/>
  </r>
  <r>
    <x v="1"/>
    <x v="5"/>
    <x v="5"/>
    <s v="EU"/>
    <x v="0"/>
    <x v="4"/>
    <x v="0"/>
    <x v="78"/>
    <n v="113"/>
    <n v="656"/>
    <d v="2017-01-01T00:00:00"/>
    <d v="2021-12-21T00:00:00"/>
    <m/>
    <m/>
    <m/>
    <m/>
    <m/>
    <m/>
    <m/>
    <m/>
    <m/>
    <x v="0"/>
    <m/>
    <m/>
    <m/>
    <m/>
    <m/>
    <m/>
    <m/>
    <m/>
    <m/>
    <m/>
    <m/>
    <m/>
    <m/>
    <m/>
    <m/>
    <m/>
    <m/>
    <m/>
    <m/>
    <n v="0"/>
    <n v="0"/>
    <n v="0"/>
    <n v="0"/>
    <n v="0"/>
    <n v="0"/>
    <n v="0"/>
    <n v="1"/>
    <n v="656"/>
    <n v="3"/>
    <n v="3"/>
    <n v="0"/>
    <n v="0"/>
    <n v="0"/>
    <n v="109"/>
    <n v="109"/>
    <n v="1"/>
    <n v="0"/>
    <n v="0"/>
    <n v="0"/>
    <n v="0"/>
    <n v="1"/>
    <n v="0"/>
    <n v="0"/>
    <n v="0"/>
    <n v="0"/>
    <x v="0"/>
    <s v="Village"/>
    <x v="0"/>
    <s v="Rakhine"/>
    <n v="20.2315197"/>
    <n v="92.876129149999997"/>
    <n v="196180"/>
    <x v="0"/>
    <m/>
  </r>
  <r>
    <x v="1"/>
    <x v="5"/>
    <x v="5"/>
    <s v="EU"/>
    <x v="0"/>
    <x v="4"/>
    <x v="0"/>
    <x v="80"/>
    <n v="172"/>
    <n v="1435"/>
    <d v="2017-01-01T00:00:00"/>
    <d v="2021-12-21T00:00:00"/>
    <m/>
    <m/>
    <m/>
    <m/>
    <m/>
    <m/>
    <m/>
    <m/>
    <m/>
    <x v="0"/>
    <m/>
    <m/>
    <m/>
    <m/>
    <m/>
    <m/>
    <m/>
    <m/>
    <m/>
    <m/>
    <m/>
    <m/>
    <m/>
    <m/>
    <m/>
    <m/>
    <m/>
    <m/>
    <m/>
    <n v="0"/>
    <n v="0"/>
    <n v="0"/>
    <n v="0"/>
    <n v="0"/>
    <n v="0"/>
    <n v="0"/>
    <n v="1"/>
    <n v="1435"/>
    <n v="6"/>
    <n v="6"/>
    <n v="0"/>
    <n v="0"/>
    <n v="0"/>
    <n v="239"/>
    <n v="239"/>
    <n v="1"/>
    <n v="0"/>
    <n v="0"/>
    <n v="0"/>
    <n v="0"/>
    <n v="1"/>
    <n v="0"/>
    <n v="0"/>
    <n v="0"/>
    <n v="0"/>
    <x v="0"/>
    <s v="Village"/>
    <x v="0"/>
    <s v="Muslim"/>
    <n v="0"/>
    <n v="0"/>
    <n v="0"/>
    <x v="0"/>
    <m/>
  </r>
  <r>
    <x v="1"/>
    <x v="5"/>
    <x v="5"/>
    <s v="EU"/>
    <x v="0"/>
    <x v="4"/>
    <x v="0"/>
    <x v="81"/>
    <n v="73"/>
    <n v="320"/>
    <d v="2017-01-01T00:00:00"/>
    <d v="2021-12-21T00:00:00"/>
    <m/>
    <m/>
    <m/>
    <m/>
    <m/>
    <m/>
    <m/>
    <m/>
    <m/>
    <x v="0"/>
    <m/>
    <m/>
    <m/>
    <m/>
    <m/>
    <m/>
    <m/>
    <m/>
    <m/>
    <m/>
    <m/>
    <m/>
    <m/>
    <m/>
    <m/>
    <m/>
    <m/>
    <m/>
    <m/>
    <n v="0"/>
    <n v="0"/>
    <n v="0"/>
    <n v="0"/>
    <n v="0"/>
    <n v="0"/>
    <n v="0"/>
    <n v="1"/>
    <n v="320"/>
    <n v="1"/>
    <n v="1"/>
    <n v="0"/>
    <n v="0"/>
    <n v="0"/>
    <n v="53"/>
    <n v="53"/>
    <n v="1"/>
    <n v="0"/>
    <n v="0"/>
    <n v="0"/>
    <n v="0"/>
    <n v="1"/>
    <n v="0"/>
    <n v="0"/>
    <n v="0"/>
    <n v="0"/>
    <x v="0"/>
    <s v="Village"/>
    <x v="0"/>
    <s v="Rakhine"/>
    <n v="20.2023601531982"/>
    <n v="92.812782287597699"/>
    <n v="196159"/>
    <x v="0"/>
    <m/>
  </r>
  <r>
    <x v="1"/>
    <x v="5"/>
    <x v="5"/>
    <s v="EU"/>
    <x v="0"/>
    <x v="4"/>
    <x v="0"/>
    <x v="82"/>
    <n v="266"/>
    <n v="1416"/>
    <d v="2017-01-01T00:00:00"/>
    <d v="2021-12-21T00:00:00"/>
    <m/>
    <m/>
    <m/>
    <m/>
    <m/>
    <m/>
    <m/>
    <m/>
    <m/>
    <x v="0"/>
    <m/>
    <m/>
    <m/>
    <m/>
    <m/>
    <m/>
    <m/>
    <m/>
    <m/>
    <m/>
    <m/>
    <m/>
    <m/>
    <m/>
    <m/>
    <m/>
    <m/>
    <m/>
    <m/>
    <n v="0"/>
    <n v="0"/>
    <n v="0"/>
    <n v="0"/>
    <n v="0"/>
    <n v="0"/>
    <n v="0"/>
    <n v="1"/>
    <n v="1416"/>
    <n v="6"/>
    <n v="6"/>
    <n v="0"/>
    <n v="0"/>
    <n v="0"/>
    <n v="236"/>
    <n v="236"/>
    <n v="1"/>
    <n v="0"/>
    <n v="0"/>
    <n v="0"/>
    <n v="0"/>
    <n v="1"/>
    <n v="0"/>
    <n v="0"/>
    <n v="0"/>
    <n v="0"/>
    <x v="0"/>
    <s v="Village"/>
    <x v="0"/>
    <n v="0"/>
    <n v="20.199499130248999"/>
    <n v="92.834327697753906"/>
    <n v="196126"/>
    <x v="0"/>
    <m/>
  </r>
  <r>
    <x v="1"/>
    <x v="5"/>
    <x v="5"/>
    <s v="EU"/>
    <x v="0"/>
    <x v="4"/>
    <x v="0"/>
    <x v="83"/>
    <n v="179"/>
    <n v="853"/>
    <d v="2017-01-01T00:00:00"/>
    <d v="2021-12-21T00:00:00"/>
    <m/>
    <m/>
    <m/>
    <m/>
    <m/>
    <m/>
    <m/>
    <m/>
    <m/>
    <x v="0"/>
    <m/>
    <m/>
    <m/>
    <m/>
    <m/>
    <m/>
    <m/>
    <m/>
    <m/>
    <m/>
    <m/>
    <m/>
    <m/>
    <m/>
    <m/>
    <m/>
    <m/>
    <m/>
    <m/>
    <n v="0"/>
    <n v="0"/>
    <n v="0"/>
    <n v="0"/>
    <n v="0"/>
    <n v="0"/>
    <n v="0"/>
    <n v="1"/>
    <n v="853"/>
    <n v="3"/>
    <n v="3"/>
    <n v="0"/>
    <n v="0"/>
    <n v="0"/>
    <n v="142"/>
    <n v="142"/>
    <n v="1"/>
    <n v="0"/>
    <n v="0"/>
    <n v="0"/>
    <n v="0"/>
    <n v="1"/>
    <n v="0"/>
    <n v="0"/>
    <n v="0"/>
    <n v="0"/>
    <x v="0"/>
    <s v="Village"/>
    <x v="0"/>
    <n v="0"/>
    <n v="20.194370269775401"/>
    <n v="92.834007263183594"/>
    <n v="196128"/>
    <x v="0"/>
    <m/>
  </r>
  <r>
    <x v="1"/>
    <x v="5"/>
    <x v="5"/>
    <s v="EU"/>
    <x v="0"/>
    <x v="4"/>
    <x v="0"/>
    <x v="84"/>
    <n v="241"/>
    <n v="1027"/>
    <d v="2017-01-01T00:00:00"/>
    <d v="2021-12-21T00:00:00"/>
    <m/>
    <m/>
    <m/>
    <m/>
    <m/>
    <m/>
    <m/>
    <m/>
    <m/>
    <x v="0"/>
    <m/>
    <m/>
    <m/>
    <m/>
    <m/>
    <m/>
    <m/>
    <m/>
    <m/>
    <m/>
    <m/>
    <m/>
    <m/>
    <m/>
    <m/>
    <m/>
    <m/>
    <m/>
    <m/>
    <n v="0"/>
    <n v="0"/>
    <n v="0"/>
    <n v="0"/>
    <n v="0"/>
    <n v="0"/>
    <n v="0"/>
    <n v="1"/>
    <n v="1027"/>
    <n v="4"/>
    <n v="4"/>
    <n v="0"/>
    <n v="0"/>
    <n v="0"/>
    <n v="171"/>
    <n v="171"/>
    <n v="1"/>
    <n v="0"/>
    <n v="0"/>
    <n v="0"/>
    <n v="0"/>
    <n v="1"/>
    <n v="0"/>
    <n v="0"/>
    <n v="0"/>
    <n v="0"/>
    <x v="0"/>
    <s v="Village"/>
    <x v="0"/>
    <n v="0"/>
    <n v="20.2105598449707"/>
    <n v="92.836456298828097"/>
    <n v="196125"/>
    <x v="0"/>
    <m/>
  </r>
  <r>
    <x v="1"/>
    <x v="5"/>
    <x v="5"/>
    <s v="EU"/>
    <x v="0"/>
    <x v="4"/>
    <x v="0"/>
    <x v="85"/>
    <n v="77"/>
    <n v="370"/>
    <d v="2017-01-01T00:00:00"/>
    <d v="2021-12-21T00:00:00"/>
    <m/>
    <m/>
    <m/>
    <m/>
    <m/>
    <m/>
    <m/>
    <m/>
    <m/>
    <x v="0"/>
    <m/>
    <m/>
    <m/>
    <m/>
    <m/>
    <m/>
    <m/>
    <m/>
    <m/>
    <m/>
    <m/>
    <m/>
    <m/>
    <m/>
    <m/>
    <m/>
    <m/>
    <m/>
    <m/>
    <n v="0"/>
    <n v="0"/>
    <n v="0"/>
    <n v="0"/>
    <n v="0"/>
    <n v="0"/>
    <n v="0"/>
    <n v="1"/>
    <n v="370"/>
    <n v="1"/>
    <n v="1"/>
    <n v="0"/>
    <n v="0"/>
    <n v="0"/>
    <n v="62"/>
    <n v="62"/>
    <n v="1"/>
    <n v="0"/>
    <n v="0"/>
    <n v="0"/>
    <n v="0"/>
    <n v="1"/>
    <n v="0"/>
    <n v="0"/>
    <n v="0"/>
    <n v="0"/>
    <x v="0"/>
    <s v="Village"/>
    <x v="0"/>
    <s v="Rakhine"/>
    <n v="20.142474"/>
    <n v="92.494243999999995"/>
    <n v="196130"/>
    <x v="0"/>
    <m/>
  </r>
  <r>
    <x v="1"/>
    <x v="5"/>
    <x v="5"/>
    <s v="EU"/>
    <x v="0"/>
    <x v="4"/>
    <x v="0"/>
    <x v="86"/>
    <n v="509"/>
    <n v="1574"/>
    <d v="2017-01-01T00:00:00"/>
    <d v="2021-12-21T00:00:00"/>
    <m/>
    <m/>
    <m/>
    <m/>
    <m/>
    <m/>
    <m/>
    <m/>
    <m/>
    <x v="0"/>
    <m/>
    <m/>
    <m/>
    <m/>
    <m/>
    <m/>
    <m/>
    <m/>
    <m/>
    <m/>
    <m/>
    <m/>
    <m/>
    <m/>
    <m/>
    <m/>
    <m/>
    <m/>
    <m/>
    <n v="0"/>
    <n v="0"/>
    <n v="0"/>
    <n v="0"/>
    <n v="0"/>
    <n v="0"/>
    <n v="0"/>
    <n v="1"/>
    <n v="1574"/>
    <n v="6"/>
    <n v="6"/>
    <n v="0"/>
    <n v="0"/>
    <n v="0"/>
    <n v="262"/>
    <n v="262"/>
    <n v="1"/>
    <n v="0"/>
    <n v="0"/>
    <n v="0"/>
    <n v="0"/>
    <n v="1"/>
    <n v="0"/>
    <n v="0"/>
    <n v="0"/>
    <n v="0"/>
    <x v="0"/>
    <s v="Village"/>
    <x v="0"/>
    <s v="Rakhine"/>
    <n v="20.226730346679702"/>
    <n v="92.836929321289105"/>
    <n v="196129"/>
    <x v="0"/>
    <m/>
  </r>
  <r>
    <x v="1"/>
    <x v="5"/>
    <x v="5"/>
    <s v="EU"/>
    <x v="0"/>
    <x v="4"/>
    <x v="0"/>
    <x v="87"/>
    <n v="301"/>
    <n v="1529"/>
    <d v="2017-01-01T00:00:00"/>
    <d v="2021-12-21T00:00:00"/>
    <m/>
    <m/>
    <m/>
    <m/>
    <m/>
    <m/>
    <m/>
    <m/>
    <m/>
    <x v="0"/>
    <m/>
    <m/>
    <m/>
    <m/>
    <m/>
    <m/>
    <m/>
    <m/>
    <m/>
    <m/>
    <m/>
    <m/>
    <m/>
    <m/>
    <m/>
    <m/>
    <m/>
    <m/>
    <m/>
    <n v="0"/>
    <n v="0"/>
    <n v="0"/>
    <n v="0"/>
    <n v="0"/>
    <n v="0"/>
    <n v="0"/>
    <n v="1"/>
    <n v="1529"/>
    <n v="6"/>
    <n v="6"/>
    <n v="0"/>
    <n v="0"/>
    <n v="0"/>
    <n v="255"/>
    <n v="255"/>
    <n v="1"/>
    <n v="0"/>
    <n v="0"/>
    <n v="0"/>
    <n v="0"/>
    <n v="1"/>
    <n v="0"/>
    <n v="0"/>
    <n v="0"/>
    <n v="0"/>
    <x v="0"/>
    <s v="Village"/>
    <x v="0"/>
    <s v="Rakhine"/>
    <n v="20.257850650000002"/>
    <n v="92.811126709999996"/>
    <n v="196161"/>
    <x v="0"/>
    <m/>
  </r>
  <r>
    <x v="1"/>
    <x v="5"/>
    <x v="5"/>
    <s v="EU"/>
    <x v="0"/>
    <x v="4"/>
    <x v="0"/>
    <x v="88"/>
    <n v="85"/>
    <n v="369"/>
    <d v="2017-01-01T00:00:00"/>
    <d v="2021-12-21T00:00:00"/>
    <m/>
    <m/>
    <m/>
    <m/>
    <m/>
    <m/>
    <m/>
    <m/>
    <m/>
    <x v="0"/>
    <m/>
    <m/>
    <m/>
    <m/>
    <m/>
    <m/>
    <m/>
    <m/>
    <m/>
    <m/>
    <m/>
    <m/>
    <m/>
    <m/>
    <m/>
    <m/>
    <m/>
    <m/>
    <m/>
    <n v="0"/>
    <n v="0"/>
    <n v="0"/>
    <n v="0"/>
    <n v="0"/>
    <n v="0"/>
    <n v="0"/>
    <n v="1"/>
    <n v="369"/>
    <n v="1"/>
    <n v="1"/>
    <n v="0"/>
    <n v="0"/>
    <n v="0"/>
    <n v="62"/>
    <n v="62"/>
    <n v="1"/>
    <n v="0"/>
    <n v="0"/>
    <n v="0"/>
    <n v="0"/>
    <n v="1"/>
    <n v="0"/>
    <n v="0"/>
    <n v="0"/>
    <n v="0"/>
    <x v="0"/>
    <s v="Village"/>
    <x v="0"/>
    <n v="0"/>
    <n v="20.261358000000001"/>
    <n v="92.805672999999999"/>
    <n v="220593"/>
    <x v="0"/>
    <m/>
  </r>
  <r>
    <x v="1"/>
    <x v="5"/>
    <x v="5"/>
    <s v="EU"/>
    <x v="0"/>
    <x v="4"/>
    <x v="0"/>
    <x v="89"/>
    <n v="175"/>
    <n v="811"/>
    <d v="2017-01-01T00:00:00"/>
    <d v="2021-12-21T00:00:00"/>
    <m/>
    <m/>
    <m/>
    <m/>
    <m/>
    <m/>
    <m/>
    <m/>
    <m/>
    <x v="0"/>
    <m/>
    <m/>
    <m/>
    <m/>
    <m/>
    <m/>
    <m/>
    <m/>
    <m/>
    <m/>
    <m/>
    <m/>
    <m/>
    <m/>
    <m/>
    <m/>
    <m/>
    <m/>
    <m/>
    <n v="0"/>
    <n v="0"/>
    <n v="0"/>
    <n v="0"/>
    <n v="0"/>
    <n v="0"/>
    <n v="0"/>
    <n v="1"/>
    <n v="811"/>
    <n v="3"/>
    <n v="3"/>
    <n v="0"/>
    <n v="0"/>
    <n v="0"/>
    <n v="135"/>
    <n v="135"/>
    <n v="1"/>
    <n v="0"/>
    <n v="0"/>
    <n v="0"/>
    <n v="0"/>
    <n v="1"/>
    <n v="0"/>
    <n v="0"/>
    <n v="0"/>
    <n v="0"/>
    <x v="0"/>
    <s v="Village"/>
    <x v="0"/>
    <s v="Rakhine"/>
    <n v="20.245159149999999"/>
    <n v="92.807418819999995"/>
    <n v="196137"/>
    <x v="0"/>
    <m/>
  </r>
  <r>
    <x v="1"/>
    <x v="5"/>
    <x v="5"/>
    <s v="EU"/>
    <x v="0"/>
    <x v="4"/>
    <x v="0"/>
    <x v="90"/>
    <n v="355"/>
    <n v="2168"/>
    <d v="2017-01-01T00:00:00"/>
    <d v="2021-12-21T00:00:00"/>
    <m/>
    <m/>
    <m/>
    <m/>
    <m/>
    <m/>
    <m/>
    <m/>
    <m/>
    <x v="0"/>
    <m/>
    <m/>
    <m/>
    <m/>
    <m/>
    <m/>
    <m/>
    <m/>
    <m/>
    <m/>
    <m/>
    <m/>
    <m/>
    <m/>
    <m/>
    <m/>
    <m/>
    <m/>
    <m/>
    <n v="0"/>
    <n v="0"/>
    <n v="0"/>
    <n v="0"/>
    <n v="0"/>
    <n v="0"/>
    <n v="0"/>
    <n v="1"/>
    <n v="2168"/>
    <n v="9"/>
    <n v="9"/>
    <n v="0"/>
    <n v="0"/>
    <n v="0"/>
    <n v="361"/>
    <n v="361"/>
    <n v="1"/>
    <n v="0"/>
    <n v="0"/>
    <n v="0"/>
    <n v="0"/>
    <n v="1"/>
    <n v="0"/>
    <n v="0"/>
    <n v="0"/>
    <n v="0"/>
    <x v="0"/>
    <s v="Village"/>
    <x v="0"/>
    <n v="0"/>
    <n v="20.246250152587901"/>
    <n v="92.822059631347699"/>
    <n v="196160"/>
    <x v="0"/>
    <m/>
  </r>
  <r>
    <x v="1"/>
    <x v="5"/>
    <x v="5"/>
    <s v="EU"/>
    <x v="0"/>
    <x v="4"/>
    <x v="0"/>
    <x v="91"/>
    <n v="300"/>
    <n v="1369"/>
    <d v="2017-01-01T00:00:00"/>
    <d v="2021-12-21T00:00:00"/>
    <m/>
    <m/>
    <m/>
    <m/>
    <m/>
    <m/>
    <m/>
    <m/>
    <m/>
    <x v="0"/>
    <m/>
    <m/>
    <m/>
    <m/>
    <m/>
    <m/>
    <m/>
    <m/>
    <m/>
    <m/>
    <m/>
    <m/>
    <m/>
    <m/>
    <m/>
    <m/>
    <m/>
    <m/>
    <m/>
    <n v="0"/>
    <n v="0"/>
    <n v="0"/>
    <n v="0"/>
    <n v="0"/>
    <n v="0"/>
    <n v="0"/>
    <n v="1"/>
    <n v="1369"/>
    <n v="5"/>
    <n v="5"/>
    <n v="0"/>
    <n v="0"/>
    <n v="0"/>
    <n v="228"/>
    <n v="228"/>
    <n v="1"/>
    <n v="0"/>
    <n v="0"/>
    <n v="0"/>
    <n v="0"/>
    <n v="1"/>
    <n v="0"/>
    <n v="0"/>
    <n v="0"/>
    <n v="0"/>
    <x v="0"/>
    <s v="Village"/>
    <x v="0"/>
    <n v="0"/>
    <n v="20.239799499511701"/>
    <n v="92.825088500976605"/>
    <n v="196131"/>
    <x v="0"/>
    <m/>
  </r>
  <r>
    <x v="1"/>
    <x v="5"/>
    <x v="5"/>
    <s v="BMZ"/>
    <x v="0"/>
    <x v="4"/>
    <x v="0"/>
    <x v="92"/>
    <n v="331"/>
    <n v="1473"/>
    <d v="2017-01-01T00:00:00"/>
    <d v="2021-12-21T00:00:00"/>
    <m/>
    <m/>
    <m/>
    <m/>
    <m/>
    <m/>
    <m/>
    <m/>
    <m/>
    <x v="0"/>
    <m/>
    <m/>
    <m/>
    <m/>
    <m/>
    <m/>
    <m/>
    <m/>
    <m/>
    <m/>
    <m/>
    <m/>
    <m/>
    <m/>
    <m/>
    <m/>
    <m/>
    <m/>
    <m/>
    <n v="0"/>
    <n v="0"/>
    <n v="0"/>
    <n v="0"/>
    <n v="0"/>
    <n v="0"/>
    <n v="0"/>
    <n v="1"/>
    <n v="1473"/>
    <n v="6"/>
    <n v="6"/>
    <n v="0"/>
    <n v="0"/>
    <n v="0"/>
    <n v="246"/>
    <n v="246"/>
    <n v="1"/>
    <n v="0"/>
    <n v="0"/>
    <n v="0"/>
    <n v="0"/>
    <n v="1"/>
    <n v="0"/>
    <n v="0"/>
    <n v="0"/>
    <n v="0"/>
    <x v="0"/>
    <s v="Village"/>
    <x v="0"/>
    <n v="0"/>
    <n v="20.128850936889599"/>
    <n v="92.872497558593807"/>
    <n v="196208"/>
    <x v="0"/>
    <m/>
  </r>
  <r>
    <x v="1"/>
    <x v="6"/>
    <x v="6"/>
    <s v="DFID/HARP"/>
    <x v="0"/>
    <x v="4"/>
    <x v="0"/>
    <x v="93"/>
    <n v="200"/>
    <n v="1065"/>
    <d v="2017-10-01T00:00:00"/>
    <d v="2020-09-30T00:00:00"/>
    <m/>
    <n v="0"/>
    <m/>
    <n v="7"/>
    <m/>
    <m/>
    <m/>
    <m/>
    <m/>
    <x v="0"/>
    <m/>
    <m/>
    <m/>
    <m/>
    <m/>
    <m/>
    <m/>
    <m/>
    <m/>
    <m/>
    <m/>
    <m/>
    <m/>
    <m/>
    <m/>
    <m/>
    <m/>
    <m/>
    <m/>
    <n v="1"/>
    <n v="1065"/>
    <n v="0"/>
    <n v="0"/>
    <n v="1"/>
    <n v="1065"/>
    <n v="4.26"/>
    <n v="0"/>
    <n v="0"/>
    <n v="0"/>
    <n v="4"/>
    <n v="0"/>
    <n v="0"/>
    <n v="0"/>
    <n v="178"/>
    <n v="178"/>
    <n v="1"/>
    <n v="0"/>
    <n v="0"/>
    <n v="0"/>
    <n v="0"/>
    <n v="1"/>
    <n v="0"/>
    <n v="0"/>
    <n v="0"/>
    <n v="0"/>
    <x v="0"/>
    <s v="Village"/>
    <x v="0"/>
    <s v="Muslim"/>
    <n v="20.197549819999999"/>
    <n v="92.785682679999994"/>
    <n v="196156"/>
    <x v="0"/>
    <m/>
  </r>
  <r>
    <x v="1"/>
    <x v="5"/>
    <x v="5"/>
    <s v="EU"/>
    <x v="0"/>
    <x v="4"/>
    <x v="0"/>
    <x v="94"/>
    <n v="326"/>
    <n v="4476"/>
    <d v="2017-01-01T00:00:00"/>
    <d v="2021-12-21T00:00:00"/>
    <m/>
    <m/>
    <m/>
    <m/>
    <m/>
    <m/>
    <m/>
    <m/>
    <m/>
    <x v="0"/>
    <m/>
    <m/>
    <m/>
    <m/>
    <m/>
    <m/>
    <m/>
    <m/>
    <m/>
    <m/>
    <m/>
    <m/>
    <m/>
    <m/>
    <m/>
    <m/>
    <m/>
    <m/>
    <m/>
    <n v="0"/>
    <n v="0"/>
    <n v="0"/>
    <n v="0"/>
    <n v="0"/>
    <n v="0"/>
    <n v="0"/>
    <n v="1"/>
    <n v="4476"/>
    <n v="18"/>
    <n v="18"/>
    <n v="0"/>
    <n v="0"/>
    <n v="0"/>
    <n v="746"/>
    <n v="746"/>
    <n v="1"/>
    <n v="0"/>
    <n v="0"/>
    <n v="0"/>
    <n v="0"/>
    <n v="1"/>
    <n v="0"/>
    <n v="0"/>
    <n v="0"/>
    <n v="0"/>
    <x v="0"/>
    <s v="Village"/>
    <x v="0"/>
    <n v="0"/>
    <n v="20.142469406127901"/>
    <n v="92.863967895507798"/>
    <n v="196203"/>
    <x v="0"/>
    <m/>
  </r>
  <r>
    <x v="1"/>
    <x v="5"/>
    <x v="5"/>
    <s v="EU"/>
    <x v="0"/>
    <x v="4"/>
    <x v="0"/>
    <x v="95"/>
    <n v="335"/>
    <n v="1867"/>
    <d v="2017-01-01T00:00:00"/>
    <d v="2021-12-21T00:00:00"/>
    <m/>
    <m/>
    <m/>
    <m/>
    <m/>
    <m/>
    <m/>
    <m/>
    <m/>
    <x v="0"/>
    <m/>
    <m/>
    <m/>
    <m/>
    <m/>
    <m/>
    <m/>
    <m/>
    <m/>
    <m/>
    <m/>
    <m/>
    <m/>
    <m/>
    <m/>
    <m/>
    <m/>
    <m/>
    <m/>
    <n v="0"/>
    <n v="0"/>
    <n v="0"/>
    <n v="0"/>
    <n v="0"/>
    <n v="0"/>
    <n v="0"/>
    <n v="1"/>
    <n v="1867"/>
    <n v="7"/>
    <n v="7"/>
    <n v="0"/>
    <n v="0"/>
    <n v="0"/>
    <n v="311"/>
    <n v="311"/>
    <n v="1"/>
    <n v="0"/>
    <n v="0"/>
    <n v="0"/>
    <n v="0"/>
    <n v="1"/>
    <n v="0"/>
    <n v="0"/>
    <n v="0"/>
    <n v="0"/>
    <x v="0"/>
    <s v="Village"/>
    <x v="0"/>
    <n v="0"/>
    <n v="20.170469284057599"/>
    <n v="92.8343505859375"/>
    <n v="196202"/>
    <x v="0"/>
    <m/>
  </r>
  <r>
    <x v="1"/>
    <x v="5"/>
    <x v="5"/>
    <s v="EU"/>
    <x v="0"/>
    <x v="4"/>
    <x v="0"/>
    <x v="96"/>
    <n v="863"/>
    <n v="3768"/>
    <d v="2017-01-01T00:00:00"/>
    <d v="2021-12-21T00:00:00"/>
    <m/>
    <m/>
    <m/>
    <m/>
    <m/>
    <m/>
    <m/>
    <m/>
    <m/>
    <x v="0"/>
    <m/>
    <m/>
    <m/>
    <m/>
    <m/>
    <m/>
    <m/>
    <m/>
    <m/>
    <m/>
    <m/>
    <m/>
    <m/>
    <m/>
    <m/>
    <m/>
    <m/>
    <m/>
    <m/>
    <n v="0"/>
    <n v="0"/>
    <n v="0"/>
    <n v="0"/>
    <n v="0"/>
    <n v="0"/>
    <n v="0"/>
    <n v="1"/>
    <n v="3768"/>
    <n v="15"/>
    <n v="15"/>
    <n v="0"/>
    <n v="0"/>
    <n v="0"/>
    <n v="628"/>
    <n v="628"/>
    <n v="1"/>
    <n v="0"/>
    <n v="0"/>
    <n v="0"/>
    <n v="0"/>
    <n v="1"/>
    <n v="0"/>
    <n v="0"/>
    <n v="0"/>
    <n v="0"/>
    <x v="0"/>
    <s v="Village"/>
    <x v="0"/>
    <n v="0"/>
    <n v="20.168970108032202"/>
    <n v="92.826896667480497"/>
    <n v="196206"/>
    <x v="0"/>
    <m/>
  </r>
  <r>
    <x v="1"/>
    <x v="5"/>
    <x v="5"/>
    <s v="EU"/>
    <x v="0"/>
    <x v="4"/>
    <x v="0"/>
    <x v="97"/>
    <n v="310"/>
    <n v="1750"/>
    <d v="2017-01-01T00:00:00"/>
    <d v="2021-12-21T00:00:00"/>
    <m/>
    <m/>
    <m/>
    <m/>
    <m/>
    <m/>
    <m/>
    <m/>
    <m/>
    <x v="0"/>
    <m/>
    <m/>
    <m/>
    <m/>
    <m/>
    <m/>
    <m/>
    <m/>
    <m/>
    <m/>
    <m/>
    <m/>
    <m/>
    <m/>
    <m/>
    <m/>
    <m/>
    <m/>
    <m/>
    <n v="0"/>
    <n v="0"/>
    <n v="0"/>
    <n v="0"/>
    <n v="0"/>
    <n v="0"/>
    <n v="0"/>
    <n v="1"/>
    <n v="1750"/>
    <n v="7"/>
    <n v="7"/>
    <n v="0"/>
    <n v="0"/>
    <n v="0"/>
    <n v="292"/>
    <n v="292"/>
    <n v="1"/>
    <n v="0"/>
    <n v="0"/>
    <n v="0"/>
    <n v="0"/>
    <n v="1"/>
    <n v="0"/>
    <n v="0"/>
    <n v="0"/>
    <n v="0"/>
    <x v="0"/>
    <s v="Village"/>
    <x v="0"/>
    <n v="0"/>
    <n v="0"/>
    <n v="0"/>
    <n v="0"/>
    <x v="0"/>
    <m/>
  </r>
  <r>
    <x v="1"/>
    <x v="5"/>
    <x v="5"/>
    <s v="EU"/>
    <x v="0"/>
    <x v="5"/>
    <x v="0"/>
    <x v="98"/>
    <n v="125"/>
    <n v="513"/>
    <d v="2017-01-01T00:00:00"/>
    <d v="2021-12-21T00:00:00"/>
    <m/>
    <m/>
    <m/>
    <m/>
    <m/>
    <m/>
    <m/>
    <m/>
    <m/>
    <x v="0"/>
    <m/>
    <m/>
    <m/>
    <m/>
    <m/>
    <m/>
    <m/>
    <m/>
    <m/>
    <m/>
    <m/>
    <m/>
    <m/>
    <m/>
    <m/>
    <m/>
    <m/>
    <m/>
    <m/>
    <n v="0"/>
    <n v="0"/>
    <n v="0"/>
    <n v="0"/>
    <n v="0"/>
    <n v="0"/>
    <n v="0"/>
    <n v="1"/>
    <n v="513"/>
    <n v="2"/>
    <n v="2"/>
    <n v="0"/>
    <n v="0"/>
    <n v="0"/>
    <n v="86"/>
    <n v="86"/>
    <n v="1"/>
    <n v="0"/>
    <n v="0"/>
    <n v="0"/>
    <n v="0"/>
    <n v="1"/>
    <n v="0"/>
    <n v="0"/>
    <n v="0"/>
    <n v="0"/>
    <x v="0"/>
    <s v="Village"/>
    <x v="2"/>
    <s v="Muslim"/>
    <n v="20.39902"/>
    <n v="93.249669999999995"/>
    <s v="MMR012CMP003"/>
    <x v="0"/>
    <m/>
  </r>
  <r>
    <x v="1"/>
    <x v="5"/>
    <x v="5"/>
    <s v="BMZ"/>
    <x v="0"/>
    <x v="4"/>
    <x v="0"/>
    <x v="99"/>
    <n v="92"/>
    <n v="715"/>
    <d v="2017-01-01T00:00:00"/>
    <d v="2021-12-21T00:00:00"/>
    <m/>
    <m/>
    <m/>
    <m/>
    <m/>
    <m/>
    <m/>
    <m/>
    <m/>
    <x v="0"/>
    <m/>
    <m/>
    <m/>
    <m/>
    <m/>
    <m/>
    <m/>
    <m/>
    <m/>
    <m/>
    <m/>
    <m/>
    <m/>
    <m/>
    <m/>
    <m/>
    <m/>
    <m/>
    <m/>
    <n v="0"/>
    <n v="0"/>
    <n v="0"/>
    <n v="0"/>
    <n v="0"/>
    <n v="0"/>
    <n v="0"/>
    <n v="1"/>
    <n v="715"/>
    <n v="3"/>
    <n v="3"/>
    <n v="0"/>
    <n v="0"/>
    <n v="0"/>
    <n v="119"/>
    <n v="119"/>
    <n v="1"/>
    <n v="0"/>
    <n v="0"/>
    <n v="0"/>
    <n v="0"/>
    <n v="1"/>
    <n v="0"/>
    <n v="0"/>
    <n v="0"/>
    <n v="0"/>
    <x v="0"/>
    <s v="Village"/>
    <x v="0"/>
    <n v="0"/>
    <n v="20.172649383544901"/>
    <n v="92.874351501464801"/>
    <n v="196195"/>
    <x v="0"/>
    <m/>
  </r>
  <r>
    <x v="1"/>
    <x v="5"/>
    <x v="5"/>
    <s v="BMZ"/>
    <x v="0"/>
    <x v="4"/>
    <x v="0"/>
    <x v="100"/>
    <n v="381"/>
    <n v="2256"/>
    <d v="2017-01-01T00:00:00"/>
    <d v="2021-12-21T00:00:00"/>
    <m/>
    <m/>
    <m/>
    <m/>
    <m/>
    <m/>
    <m/>
    <m/>
    <m/>
    <x v="0"/>
    <m/>
    <m/>
    <m/>
    <m/>
    <m/>
    <m/>
    <m/>
    <m/>
    <m/>
    <m/>
    <m/>
    <m/>
    <m/>
    <m/>
    <m/>
    <m/>
    <m/>
    <m/>
    <m/>
    <n v="0"/>
    <n v="0"/>
    <n v="0"/>
    <n v="0"/>
    <n v="0"/>
    <n v="0"/>
    <n v="0"/>
    <n v="1"/>
    <n v="2256"/>
    <n v="9"/>
    <n v="9"/>
    <n v="0"/>
    <n v="0"/>
    <n v="0"/>
    <n v="376"/>
    <n v="376"/>
    <n v="1"/>
    <n v="0"/>
    <n v="0"/>
    <n v="0"/>
    <n v="0"/>
    <n v="1"/>
    <n v="0"/>
    <n v="0"/>
    <n v="0"/>
    <n v="0"/>
    <x v="0"/>
    <s v="Village"/>
    <x v="0"/>
    <n v="0"/>
    <n v="20.183790210000002"/>
    <n v="92.864143369999994"/>
    <n v="196197"/>
    <x v="0"/>
    <m/>
  </r>
  <r>
    <x v="1"/>
    <x v="5"/>
    <x v="5"/>
    <s v="BMZ"/>
    <x v="0"/>
    <x v="4"/>
    <x v="0"/>
    <x v="101"/>
    <n v="2100"/>
    <n v="12993"/>
    <d v="2017-01-01T00:00:00"/>
    <d v="2021-12-21T00:00:00"/>
    <m/>
    <m/>
    <m/>
    <m/>
    <m/>
    <m/>
    <m/>
    <m/>
    <m/>
    <x v="0"/>
    <m/>
    <m/>
    <m/>
    <m/>
    <m/>
    <m/>
    <m/>
    <m/>
    <m/>
    <m/>
    <m/>
    <m/>
    <m/>
    <m/>
    <m/>
    <m/>
    <m/>
    <m/>
    <m/>
    <n v="0"/>
    <n v="0"/>
    <n v="0"/>
    <n v="0"/>
    <n v="0"/>
    <n v="0"/>
    <n v="0"/>
    <n v="1"/>
    <n v="12993"/>
    <n v="52"/>
    <n v="52"/>
    <n v="0"/>
    <n v="0"/>
    <n v="0"/>
    <n v="2166"/>
    <n v="2166"/>
    <n v="1"/>
    <n v="0"/>
    <n v="0"/>
    <n v="0"/>
    <n v="0"/>
    <n v="1"/>
    <n v="0"/>
    <n v="0"/>
    <n v="0"/>
    <n v="0"/>
    <x v="0"/>
    <s v="Village"/>
    <x v="0"/>
    <s v="Muslim"/>
    <n v="0"/>
    <n v="0"/>
    <n v="0"/>
    <x v="0"/>
    <m/>
  </r>
  <r>
    <x v="1"/>
    <x v="5"/>
    <x v="5"/>
    <s v="EU"/>
    <x v="0"/>
    <x v="5"/>
    <x v="0"/>
    <x v="102"/>
    <n v="325"/>
    <n v="1923"/>
    <d v="2017-01-01T00:00:00"/>
    <d v="2021-12-21T00:00:00"/>
    <m/>
    <m/>
    <m/>
    <m/>
    <m/>
    <m/>
    <m/>
    <m/>
    <m/>
    <x v="0"/>
    <m/>
    <m/>
    <m/>
    <m/>
    <m/>
    <m/>
    <m/>
    <m/>
    <m/>
    <m/>
    <m/>
    <m/>
    <m/>
    <m/>
    <m/>
    <m/>
    <m/>
    <m/>
    <m/>
    <n v="0"/>
    <n v="0"/>
    <n v="0"/>
    <n v="0"/>
    <n v="0"/>
    <n v="0"/>
    <n v="0"/>
    <n v="1"/>
    <n v="1923"/>
    <n v="8"/>
    <n v="8"/>
    <n v="0"/>
    <n v="0"/>
    <n v="0"/>
    <n v="321"/>
    <n v="321"/>
    <n v="1"/>
    <n v="0"/>
    <n v="0"/>
    <n v="0"/>
    <n v="0"/>
    <n v="1"/>
    <n v="0"/>
    <n v="0"/>
    <n v="0"/>
    <n v="0"/>
    <x v="0"/>
    <s v="Village"/>
    <x v="0"/>
    <s v="Muslim"/>
    <n v="0"/>
    <n v="0"/>
    <n v="196999"/>
    <x v="0"/>
    <m/>
  </r>
  <r>
    <x v="1"/>
    <x v="5"/>
    <x v="5"/>
    <s v="EU"/>
    <x v="0"/>
    <x v="5"/>
    <x v="0"/>
    <x v="103"/>
    <n v="146"/>
    <n v="801"/>
    <d v="2017-01-01T00:00:00"/>
    <d v="2021-12-21T00:00:00"/>
    <m/>
    <m/>
    <m/>
    <m/>
    <m/>
    <m/>
    <m/>
    <m/>
    <m/>
    <x v="0"/>
    <m/>
    <m/>
    <m/>
    <m/>
    <m/>
    <m/>
    <m/>
    <m/>
    <m/>
    <m/>
    <m/>
    <m/>
    <m/>
    <m/>
    <m/>
    <m/>
    <m/>
    <m/>
    <m/>
    <n v="0"/>
    <n v="0"/>
    <n v="0"/>
    <n v="0"/>
    <n v="0"/>
    <n v="0"/>
    <n v="0"/>
    <n v="1"/>
    <n v="801"/>
    <n v="3"/>
    <n v="3"/>
    <n v="0"/>
    <n v="0"/>
    <n v="0"/>
    <n v="134"/>
    <n v="134"/>
    <n v="1"/>
    <n v="0"/>
    <n v="0"/>
    <n v="0"/>
    <n v="0"/>
    <n v="1"/>
    <n v="0"/>
    <n v="0"/>
    <n v="0"/>
    <n v="0"/>
    <x v="0"/>
    <s v="Village"/>
    <x v="0"/>
    <n v="0"/>
    <n v="0"/>
    <n v="0"/>
    <n v="197017"/>
    <x v="0"/>
    <m/>
  </r>
  <r>
    <x v="1"/>
    <x v="5"/>
    <x v="5"/>
    <s v="EU"/>
    <x v="0"/>
    <x v="5"/>
    <x v="0"/>
    <x v="104"/>
    <n v="31"/>
    <n v="156"/>
    <d v="2017-01-01T00:00:00"/>
    <d v="2021-12-21T00:00:00"/>
    <m/>
    <m/>
    <m/>
    <m/>
    <m/>
    <m/>
    <m/>
    <m/>
    <m/>
    <x v="0"/>
    <m/>
    <m/>
    <m/>
    <m/>
    <m/>
    <m/>
    <m/>
    <m/>
    <m/>
    <m/>
    <m/>
    <m/>
    <m/>
    <m/>
    <m/>
    <m/>
    <m/>
    <m/>
    <m/>
    <n v="0"/>
    <n v="0"/>
    <n v="0"/>
    <n v="0"/>
    <n v="0"/>
    <n v="0"/>
    <n v="0"/>
    <n v="1"/>
    <n v="156"/>
    <n v="1"/>
    <n v="1"/>
    <n v="0"/>
    <n v="0"/>
    <n v="0"/>
    <n v="26"/>
    <n v="26"/>
    <n v="1"/>
    <n v="0"/>
    <n v="0"/>
    <n v="0"/>
    <n v="0"/>
    <n v="1"/>
    <n v="0"/>
    <n v="0"/>
    <n v="0"/>
    <n v="0"/>
    <x v="0"/>
    <s v="Village"/>
    <x v="0"/>
    <n v="0"/>
    <n v="0"/>
    <n v="0"/>
    <n v="197022"/>
    <x v="0"/>
    <m/>
  </r>
  <r>
    <x v="1"/>
    <x v="5"/>
    <x v="5"/>
    <s v="EU"/>
    <x v="0"/>
    <x v="5"/>
    <x v="0"/>
    <x v="105"/>
    <n v="96"/>
    <n v="329"/>
    <d v="2017-01-01T00:00:00"/>
    <d v="2021-12-21T00:00:00"/>
    <m/>
    <m/>
    <m/>
    <m/>
    <m/>
    <m/>
    <m/>
    <m/>
    <m/>
    <x v="0"/>
    <m/>
    <m/>
    <m/>
    <m/>
    <m/>
    <m/>
    <m/>
    <m/>
    <m/>
    <m/>
    <m/>
    <m/>
    <m/>
    <m/>
    <m/>
    <m/>
    <m/>
    <m/>
    <m/>
    <n v="0"/>
    <n v="0"/>
    <n v="0"/>
    <n v="0"/>
    <n v="0"/>
    <n v="0"/>
    <n v="0"/>
    <n v="1"/>
    <n v="329"/>
    <n v="1"/>
    <n v="1"/>
    <n v="0"/>
    <n v="0"/>
    <n v="0"/>
    <n v="55"/>
    <n v="55"/>
    <n v="1"/>
    <n v="0"/>
    <n v="0"/>
    <n v="0"/>
    <n v="0"/>
    <n v="1"/>
    <n v="0"/>
    <n v="0"/>
    <n v="0"/>
    <n v="0"/>
    <x v="0"/>
    <s v="Village"/>
    <x v="0"/>
    <n v="0"/>
    <n v="0"/>
    <n v="0"/>
    <n v="197020"/>
    <x v="0"/>
    <m/>
  </r>
  <r>
    <x v="1"/>
    <x v="5"/>
    <x v="5"/>
    <s v="EU"/>
    <x v="0"/>
    <x v="5"/>
    <x v="0"/>
    <x v="106"/>
    <n v="37"/>
    <n v="119"/>
    <d v="2017-01-01T00:00:00"/>
    <d v="2021-12-21T00:00:00"/>
    <m/>
    <m/>
    <m/>
    <m/>
    <m/>
    <m/>
    <m/>
    <m/>
    <m/>
    <x v="0"/>
    <m/>
    <m/>
    <m/>
    <m/>
    <m/>
    <m/>
    <m/>
    <m/>
    <m/>
    <m/>
    <m/>
    <m/>
    <m/>
    <m/>
    <m/>
    <m/>
    <m/>
    <m/>
    <m/>
    <n v="0"/>
    <n v="0"/>
    <n v="0"/>
    <n v="0"/>
    <n v="0"/>
    <n v="0"/>
    <n v="0"/>
    <n v="1"/>
    <n v="119"/>
    <n v="1"/>
    <n v="1"/>
    <n v="0"/>
    <n v="0"/>
    <n v="0"/>
    <n v="20"/>
    <n v="20"/>
    <n v="1"/>
    <n v="0"/>
    <n v="0"/>
    <n v="0"/>
    <n v="0"/>
    <n v="1"/>
    <n v="0"/>
    <n v="0"/>
    <n v="0"/>
    <n v="0"/>
    <x v="0"/>
    <s v="Village"/>
    <x v="0"/>
    <n v="0"/>
    <n v="0"/>
    <n v="0"/>
    <n v="197027"/>
    <x v="0"/>
    <m/>
  </r>
  <r>
    <x v="1"/>
    <x v="5"/>
    <x v="5"/>
    <s v="EU"/>
    <x v="0"/>
    <x v="5"/>
    <x v="0"/>
    <x v="107"/>
    <n v="167"/>
    <n v="1027"/>
    <d v="2017-01-01T00:00:00"/>
    <d v="2021-12-21T00:00:00"/>
    <m/>
    <m/>
    <m/>
    <m/>
    <m/>
    <m/>
    <m/>
    <m/>
    <m/>
    <x v="0"/>
    <m/>
    <m/>
    <m/>
    <m/>
    <m/>
    <m/>
    <m/>
    <m/>
    <m/>
    <m/>
    <m/>
    <m/>
    <m/>
    <m/>
    <m/>
    <m/>
    <m/>
    <m/>
    <m/>
    <n v="0"/>
    <n v="0"/>
    <n v="0"/>
    <n v="0"/>
    <n v="0"/>
    <n v="0"/>
    <n v="0"/>
    <n v="1"/>
    <n v="1027"/>
    <n v="4"/>
    <n v="4"/>
    <n v="0"/>
    <n v="0"/>
    <n v="0"/>
    <n v="171"/>
    <n v="171"/>
    <n v="1"/>
    <n v="0"/>
    <n v="0"/>
    <n v="0"/>
    <n v="0"/>
    <n v="1"/>
    <n v="0"/>
    <n v="0"/>
    <n v="0"/>
    <n v="0"/>
    <x v="0"/>
    <s v="Village"/>
    <x v="0"/>
    <n v="0"/>
    <n v="0"/>
    <n v="0"/>
    <n v="197028"/>
    <x v="0"/>
    <m/>
  </r>
  <r>
    <x v="1"/>
    <x v="5"/>
    <x v="5"/>
    <s v="EU"/>
    <x v="0"/>
    <x v="5"/>
    <x v="0"/>
    <x v="108"/>
    <n v="90"/>
    <n v="414"/>
    <d v="2017-01-01T00:00:00"/>
    <d v="2021-12-21T00:00:00"/>
    <m/>
    <m/>
    <m/>
    <m/>
    <m/>
    <m/>
    <m/>
    <m/>
    <m/>
    <x v="0"/>
    <m/>
    <m/>
    <m/>
    <m/>
    <m/>
    <m/>
    <m/>
    <m/>
    <m/>
    <m/>
    <m/>
    <m/>
    <m/>
    <m/>
    <m/>
    <m/>
    <m/>
    <m/>
    <m/>
    <n v="0"/>
    <n v="0"/>
    <n v="0"/>
    <n v="0"/>
    <n v="0"/>
    <n v="0"/>
    <n v="0"/>
    <n v="1"/>
    <n v="414"/>
    <n v="2"/>
    <n v="2"/>
    <n v="0"/>
    <n v="0"/>
    <n v="0"/>
    <n v="69"/>
    <n v="69"/>
    <n v="1"/>
    <n v="0"/>
    <n v="0"/>
    <n v="0"/>
    <n v="0"/>
    <n v="1"/>
    <n v="0"/>
    <n v="0"/>
    <n v="0"/>
    <n v="0"/>
    <x v="0"/>
    <s v="Village"/>
    <x v="0"/>
    <n v="0"/>
    <n v="0"/>
    <n v="0"/>
    <n v="197034"/>
    <x v="0"/>
    <m/>
  </r>
  <r>
    <x v="1"/>
    <x v="5"/>
    <x v="5"/>
    <s v="EU"/>
    <x v="0"/>
    <x v="5"/>
    <x v="0"/>
    <x v="109"/>
    <n v="78"/>
    <n v="308"/>
    <d v="2017-01-01T00:00:00"/>
    <d v="2021-12-21T00:00:00"/>
    <m/>
    <m/>
    <m/>
    <m/>
    <m/>
    <m/>
    <m/>
    <m/>
    <m/>
    <x v="0"/>
    <m/>
    <m/>
    <m/>
    <m/>
    <m/>
    <m/>
    <m/>
    <m/>
    <m/>
    <m/>
    <m/>
    <m/>
    <m/>
    <m/>
    <m/>
    <m/>
    <m/>
    <m/>
    <m/>
    <n v="0"/>
    <n v="0"/>
    <n v="0"/>
    <n v="0"/>
    <n v="0"/>
    <n v="0"/>
    <n v="0"/>
    <n v="1"/>
    <n v="308"/>
    <n v="1"/>
    <n v="1"/>
    <n v="0"/>
    <n v="0"/>
    <n v="0"/>
    <n v="51"/>
    <n v="51"/>
    <n v="1"/>
    <n v="0"/>
    <n v="0"/>
    <n v="0"/>
    <n v="0"/>
    <n v="1"/>
    <n v="0"/>
    <n v="0"/>
    <n v="0"/>
    <n v="0"/>
    <x v="0"/>
    <s v="Village"/>
    <x v="0"/>
    <n v="0"/>
    <n v="0"/>
    <n v="0"/>
    <n v="197036"/>
    <x v="0"/>
    <m/>
  </r>
  <r>
    <x v="1"/>
    <x v="5"/>
    <x v="5"/>
    <s v="EU"/>
    <x v="0"/>
    <x v="5"/>
    <x v="0"/>
    <x v="110"/>
    <n v="85"/>
    <n v="413"/>
    <d v="2017-01-01T00:00:00"/>
    <d v="2021-12-21T00:00:00"/>
    <m/>
    <m/>
    <m/>
    <m/>
    <m/>
    <m/>
    <m/>
    <m/>
    <m/>
    <x v="0"/>
    <m/>
    <m/>
    <m/>
    <m/>
    <m/>
    <m/>
    <m/>
    <m/>
    <m/>
    <m/>
    <m/>
    <m/>
    <m/>
    <m/>
    <m/>
    <m/>
    <m/>
    <m/>
    <m/>
    <n v="0"/>
    <n v="0"/>
    <n v="0"/>
    <n v="0"/>
    <n v="0"/>
    <n v="0"/>
    <n v="0"/>
    <n v="1"/>
    <n v="413"/>
    <n v="2"/>
    <n v="2"/>
    <n v="0"/>
    <n v="0"/>
    <n v="0"/>
    <n v="69"/>
    <n v="69"/>
    <n v="1"/>
    <n v="0"/>
    <n v="0"/>
    <n v="0"/>
    <n v="0"/>
    <n v="1"/>
    <n v="0"/>
    <n v="0"/>
    <n v="0"/>
    <n v="0"/>
    <x v="0"/>
    <s v="Village"/>
    <x v="0"/>
    <n v="0"/>
    <n v="0"/>
    <n v="0"/>
    <n v="197033"/>
    <x v="0"/>
    <m/>
  </r>
  <r>
    <x v="1"/>
    <x v="5"/>
    <x v="5"/>
    <s v="EU"/>
    <x v="0"/>
    <x v="5"/>
    <x v="0"/>
    <x v="111"/>
    <n v="353"/>
    <n v="2111"/>
    <d v="2017-01-01T00:00:00"/>
    <d v="2021-12-21T00:00:00"/>
    <m/>
    <m/>
    <m/>
    <m/>
    <m/>
    <m/>
    <m/>
    <m/>
    <m/>
    <x v="0"/>
    <m/>
    <m/>
    <m/>
    <m/>
    <m/>
    <m/>
    <m/>
    <m/>
    <m/>
    <m/>
    <m/>
    <m/>
    <m/>
    <m/>
    <m/>
    <m/>
    <m/>
    <m/>
    <m/>
    <n v="0"/>
    <n v="0"/>
    <n v="0"/>
    <n v="0"/>
    <n v="0"/>
    <n v="0"/>
    <n v="0"/>
    <n v="1"/>
    <n v="2111"/>
    <n v="8"/>
    <n v="8"/>
    <n v="0"/>
    <n v="0"/>
    <n v="0"/>
    <n v="352"/>
    <n v="352"/>
    <n v="1"/>
    <n v="0"/>
    <n v="0"/>
    <n v="0"/>
    <n v="0"/>
    <n v="1"/>
    <n v="0"/>
    <n v="0"/>
    <n v="0"/>
    <n v="0"/>
    <x v="0"/>
    <s v="Village"/>
    <x v="0"/>
    <n v="0"/>
    <n v="0"/>
    <n v="0"/>
    <n v="197040"/>
    <x v="0"/>
    <m/>
  </r>
  <r>
    <x v="1"/>
    <x v="5"/>
    <x v="5"/>
    <s v="EU"/>
    <x v="0"/>
    <x v="5"/>
    <x v="0"/>
    <x v="112"/>
    <n v="295"/>
    <n v="1698"/>
    <d v="2017-01-01T00:00:00"/>
    <d v="2021-12-21T00:00:00"/>
    <m/>
    <m/>
    <m/>
    <m/>
    <m/>
    <m/>
    <m/>
    <m/>
    <m/>
    <x v="0"/>
    <m/>
    <m/>
    <m/>
    <m/>
    <m/>
    <m/>
    <m/>
    <m/>
    <m/>
    <m/>
    <m/>
    <m/>
    <m/>
    <m/>
    <m/>
    <m/>
    <m/>
    <m/>
    <m/>
    <n v="0"/>
    <n v="0"/>
    <n v="0"/>
    <n v="0"/>
    <n v="0"/>
    <n v="0"/>
    <n v="0"/>
    <n v="1"/>
    <n v="1698"/>
    <n v="7"/>
    <n v="7"/>
    <n v="0"/>
    <n v="0"/>
    <n v="0"/>
    <n v="283"/>
    <n v="283"/>
    <n v="1"/>
    <n v="0"/>
    <n v="0"/>
    <n v="0"/>
    <n v="0"/>
    <n v="1"/>
    <n v="0"/>
    <n v="0"/>
    <n v="0"/>
    <n v="0"/>
    <x v="0"/>
    <s v="Village"/>
    <x v="0"/>
    <n v="0"/>
    <n v="0"/>
    <n v="0"/>
    <n v="197039"/>
    <x v="0"/>
    <m/>
  </r>
  <r>
    <x v="1"/>
    <x v="5"/>
    <x v="5"/>
    <s v="EU"/>
    <x v="0"/>
    <x v="5"/>
    <x v="0"/>
    <x v="113"/>
    <n v="140"/>
    <n v="985"/>
    <d v="2017-01-01T00:00:00"/>
    <d v="2021-12-21T00:00:00"/>
    <m/>
    <m/>
    <m/>
    <m/>
    <m/>
    <m/>
    <m/>
    <m/>
    <m/>
    <x v="0"/>
    <m/>
    <m/>
    <m/>
    <m/>
    <m/>
    <m/>
    <m/>
    <m/>
    <m/>
    <m/>
    <m/>
    <m/>
    <m/>
    <m/>
    <m/>
    <m/>
    <m/>
    <m/>
    <m/>
    <n v="0"/>
    <n v="0"/>
    <n v="0"/>
    <n v="0"/>
    <n v="0"/>
    <n v="0"/>
    <n v="0"/>
    <n v="1"/>
    <n v="985"/>
    <n v="4"/>
    <n v="4"/>
    <n v="0"/>
    <n v="0"/>
    <n v="0"/>
    <n v="164"/>
    <n v="164"/>
    <n v="1"/>
    <n v="0"/>
    <n v="0"/>
    <n v="0"/>
    <n v="0"/>
    <n v="1"/>
    <n v="0"/>
    <n v="0"/>
    <n v="0"/>
    <n v="0"/>
    <x v="0"/>
    <s v="Village"/>
    <x v="0"/>
    <n v="0"/>
    <n v="0"/>
    <n v="0"/>
    <n v="197041"/>
    <x v="0"/>
    <m/>
  </r>
  <r>
    <x v="1"/>
    <x v="5"/>
    <x v="5"/>
    <s v="EU"/>
    <x v="0"/>
    <x v="5"/>
    <x v="0"/>
    <x v="114"/>
    <n v="157"/>
    <n v="735"/>
    <d v="2017-01-01T00:00:00"/>
    <d v="2021-12-21T00:00:00"/>
    <m/>
    <m/>
    <m/>
    <m/>
    <m/>
    <m/>
    <m/>
    <m/>
    <m/>
    <x v="0"/>
    <m/>
    <m/>
    <m/>
    <m/>
    <m/>
    <m/>
    <m/>
    <m/>
    <m/>
    <m/>
    <m/>
    <m/>
    <m/>
    <m/>
    <m/>
    <m/>
    <m/>
    <m/>
    <m/>
    <n v="0"/>
    <n v="0"/>
    <n v="0"/>
    <n v="0"/>
    <n v="0"/>
    <n v="0"/>
    <n v="0"/>
    <n v="1"/>
    <n v="735"/>
    <n v="3"/>
    <n v="3"/>
    <n v="0"/>
    <n v="0"/>
    <n v="0"/>
    <n v="123"/>
    <n v="123"/>
    <n v="1"/>
    <n v="0"/>
    <n v="0"/>
    <n v="0"/>
    <n v="0"/>
    <n v="1"/>
    <n v="0"/>
    <n v="0"/>
    <n v="0"/>
    <n v="0"/>
    <x v="0"/>
    <s v="Village"/>
    <x v="0"/>
    <n v="0"/>
    <n v="0"/>
    <n v="0"/>
    <n v="197042"/>
    <x v="0"/>
    <m/>
  </r>
  <r>
    <x v="1"/>
    <x v="5"/>
    <x v="5"/>
    <s v="EU"/>
    <x v="0"/>
    <x v="5"/>
    <x v="0"/>
    <x v="115"/>
    <n v="35"/>
    <n v="142"/>
    <d v="2017-01-01T00:00:00"/>
    <d v="2021-12-21T00:00:00"/>
    <m/>
    <m/>
    <m/>
    <m/>
    <m/>
    <m/>
    <m/>
    <m/>
    <m/>
    <x v="0"/>
    <m/>
    <m/>
    <m/>
    <m/>
    <m/>
    <m/>
    <m/>
    <m/>
    <m/>
    <m/>
    <m/>
    <m/>
    <m/>
    <m/>
    <m/>
    <m/>
    <m/>
    <m/>
    <m/>
    <n v="0"/>
    <n v="0"/>
    <n v="0"/>
    <n v="0"/>
    <n v="0"/>
    <n v="0"/>
    <n v="0"/>
    <n v="1"/>
    <n v="142"/>
    <n v="1"/>
    <n v="1"/>
    <n v="0"/>
    <n v="0"/>
    <n v="0"/>
    <n v="24"/>
    <n v="24"/>
    <n v="1"/>
    <n v="0"/>
    <n v="0"/>
    <n v="0"/>
    <n v="0"/>
    <n v="1"/>
    <n v="0"/>
    <n v="0"/>
    <n v="0"/>
    <n v="0"/>
    <x v="0"/>
    <s v="Village"/>
    <x v="0"/>
    <n v="0"/>
    <n v="0"/>
    <n v="0"/>
    <n v="197043"/>
    <x v="0"/>
    <m/>
  </r>
  <r>
    <x v="1"/>
    <x v="5"/>
    <x v="5"/>
    <s v="EU"/>
    <x v="0"/>
    <x v="5"/>
    <x v="0"/>
    <x v="116"/>
    <n v="148"/>
    <n v="630"/>
    <d v="2017-01-01T00:00:00"/>
    <d v="2021-12-21T00:00:00"/>
    <m/>
    <m/>
    <m/>
    <m/>
    <m/>
    <m/>
    <m/>
    <m/>
    <m/>
    <x v="0"/>
    <m/>
    <m/>
    <m/>
    <m/>
    <m/>
    <m/>
    <m/>
    <m/>
    <m/>
    <m/>
    <m/>
    <m/>
    <m/>
    <m/>
    <m/>
    <m/>
    <m/>
    <m/>
    <m/>
    <n v="0"/>
    <n v="0"/>
    <n v="0"/>
    <n v="0"/>
    <n v="0"/>
    <n v="0"/>
    <n v="0"/>
    <n v="1"/>
    <n v="630"/>
    <n v="3"/>
    <n v="3"/>
    <n v="0"/>
    <n v="0"/>
    <n v="0"/>
    <n v="105"/>
    <n v="105"/>
    <n v="1"/>
    <n v="0"/>
    <n v="0"/>
    <n v="0"/>
    <n v="0"/>
    <n v="1"/>
    <n v="0"/>
    <n v="0"/>
    <n v="0"/>
    <n v="0"/>
    <x v="0"/>
    <s v="Village"/>
    <x v="0"/>
    <n v="0"/>
    <n v="0"/>
    <n v="0"/>
    <n v="197089"/>
    <x v="0"/>
    <m/>
  </r>
  <r>
    <x v="1"/>
    <x v="5"/>
    <x v="5"/>
    <s v="EU"/>
    <x v="0"/>
    <x v="5"/>
    <x v="0"/>
    <x v="117"/>
    <n v="135"/>
    <n v="593"/>
    <d v="2017-01-01T00:00:00"/>
    <d v="2021-12-21T00:00:00"/>
    <m/>
    <m/>
    <m/>
    <m/>
    <m/>
    <m/>
    <m/>
    <m/>
    <m/>
    <x v="0"/>
    <m/>
    <m/>
    <m/>
    <m/>
    <m/>
    <m/>
    <m/>
    <m/>
    <m/>
    <m/>
    <m/>
    <m/>
    <m/>
    <m/>
    <m/>
    <m/>
    <m/>
    <m/>
    <m/>
    <n v="0"/>
    <n v="0"/>
    <n v="0"/>
    <n v="0"/>
    <n v="0"/>
    <n v="0"/>
    <n v="0"/>
    <n v="1"/>
    <n v="593"/>
    <n v="2"/>
    <n v="2"/>
    <n v="0"/>
    <n v="0"/>
    <n v="0"/>
    <n v="99"/>
    <n v="99"/>
    <n v="1"/>
    <n v="0"/>
    <n v="0"/>
    <n v="0"/>
    <n v="0"/>
    <n v="1"/>
    <n v="0"/>
    <n v="0"/>
    <n v="0"/>
    <n v="0"/>
    <x v="0"/>
    <s v="Village"/>
    <x v="0"/>
    <n v="0"/>
    <n v="0"/>
    <n v="0"/>
    <n v="197090"/>
    <x v="0"/>
    <m/>
  </r>
  <r>
    <x v="1"/>
    <x v="5"/>
    <x v="5"/>
    <s v="EU"/>
    <x v="0"/>
    <x v="5"/>
    <x v="0"/>
    <x v="118"/>
    <n v="139"/>
    <n v="585"/>
    <d v="2017-01-01T00:00:00"/>
    <d v="2021-12-21T00:00:00"/>
    <m/>
    <m/>
    <m/>
    <m/>
    <m/>
    <m/>
    <m/>
    <m/>
    <m/>
    <x v="0"/>
    <m/>
    <m/>
    <m/>
    <m/>
    <m/>
    <m/>
    <m/>
    <m/>
    <m/>
    <m/>
    <m/>
    <m/>
    <m/>
    <m/>
    <m/>
    <m/>
    <m/>
    <m/>
    <m/>
    <n v="0"/>
    <n v="0"/>
    <n v="0"/>
    <n v="0"/>
    <n v="0"/>
    <n v="0"/>
    <n v="0"/>
    <n v="1"/>
    <n v="585"/>
    <n v="2"/>
    <n v="2"/>
    <n v="0"/>
    <n v="0"/>
    <n v="0"/>
    <n v="98"/>
    <n v="98"/>
    <n v="1"/>
    <n v="0"/>
    <n v="0"/>
    <n v="0"/>
    <n v="0"/>
    <n v="1"/>
    <n v="0"/>
    <n v="0"/>
    <n v="0"/>
    <n v="0"/>
    <x v="0"/>
    <s v="Village"/>
    <x v="0"/>
    <n v="0"/>
    <n v="0"/>
    <n v="0"/>
    <n v="197149"/>
    <x v="0"/>
    <m/>
  </r>
  <r>
    <x v="1"/>
    <x v="5"/>
    <x v="5"/>
    <s v="EU"/>
    <x v="0"/>
    <x v="5"/>
    <x v="0"/>
    <x v="119"/>
    <n v="408"/>
    <n v="2009"/>
    <d v="2017-01-01T00:00:00"/>
    <d v="2021-12-21T00:00:00"/>
    <m/>
    <m/>
    <m/>
    <m/>
    <m/>
    <m/>
    <m/>
    <m/>
    <m/>
    <x v="0"/>
    <m/>
    <m/>
    <m/>
    <m/>
    <m/>
    <m/>
    <m/>
    <m/>
    <m/>
    <m/>
    <m/>
    <m/>
    <m/>
    <m/>
    <m/>
    <m/>
    <m/>
    <m/>
    <m/>
    <n v="0"/>
    <n v="0"/>
    <n v="0"/>
    <n v="0"/>
    <n v="0"/>
    <n v="0"/>
    <n v="0"/>
    <n v="1"/>
    <n v="2009"/>
    <n v="8"/>
    <n v="8"/>
    <n v="0"/>
    <n v="0"/>
    <n v="0"/>
    <n v="335"/>
    <n v="335"/>
    <n v="1"/>
    <n v="0"/>
    <n v="0"/>
    <n v="0"/>
    <n v="0"/>
    <n v="1"/>
    <n v="0"/>
    <n v="0"/>
    <n v="0"/>
    <n v="0"/>
    <x v="0"/>
    <s v="Village"/>
    <x v="2"/>
    <s v="Muslim"/>
    <n v="20.480898"/>
    <n v="93.299485000000004"/>
    <s v="MMR012CMP006"/>
    <x v="0"/>
    <m/>
  </r>
  <r>
    <x v="1"/>
    <x v="5"/>
    <x v="5"/>
    <s v="EU"/>
    <x v="0"/>
    <x v="5"/>
    <x v="0"/>
    <x v="120"/>
    <n v="47"/>
    <n v="190"/>
    <d v="2017-01-01T00:00:00"/>
    <d v="2021-12-21T00:00:00"/>
    <m/>
    <m/>
    <m/>
    <m/>
    <m/>
    <m/>
    <m/>
    <m/>
    <m/>
    <x v="0"/>
    <m/>
    <m/>
    <m/>
    <m/>
    <m/>
    <m/>
    <m/>
    <m/>
    <m/>
    <m/>
    <m/>
    <m/>
    <m/>
    <m/>
    <m/>
    <m/>
    <m/>
    <m/>
    <m/>
    <n v="0"/>
    <n v="0"/>
    <n v="0"/>
    <n v="0"/>
    <n v="0"/>
    <n v="0"/>
    <n v="0"/>
    <n v="1"/>
    <n v="190"/>
    <n v="1"/>
    <n v="1"/>
    <n v="0"/>
    <n v="0"/>
    <n v="0"/>
    <n v="32"/>
    <n v="32"/>
    <n v="1"/>
    <n v="0"/>
    <n v="0"/>
    <n v="0"/>
    <n v="0"/>
    <n v="1"/>
    <n v="0"/>
    <n v="0"/>
    <n v="0"/>
    <n v="0"/>
    <x v="0"/>
    <s v="Village"/>
    <x v="0"/>
    <n v="0"/>
    <n v="0"/>
    <n v="0"/>
    <n v="0"/>
    <x v="0"/>
    <m/>
  </r>
  <r>
    <x v="1"/>
    <x v="5"/>
    <x v="5"/>
    <s v="EU"/>
    <x v="0"/>
    <x v="5"/>
    <x v="0"/>
    <x v="121"/>
    <n v="150"/>
    <n v="532"/>
    <d v="2017-01-01T00:00:00"/>
    <d v="2021-12-21T00:00:00"/>
    <m/>
    <m/>
    <m/>
    <m/>
    <m/>
    <m/>
    <m/>
    <m/>
    <m/>
    <x v="0"/>
    <m/>
    <m/>
    <m/>
    <m/>
    <m/>
    <m/>
    <m/>
    <m/>
    <m/>
    <m/>
    <m/>
    <m/>
    <m/>
    <m/>
    <m/>
    <m/>
    <m/>
    <m/>
    <m/>
    <n v="0"/>
    <n v="0"/>
    <n v="0"/>
    <n v="0"/>
    <n v="0"/>
    <n v="0"/>
    <n v="0"/>
    <n v="1"/>
    <n v="532"/>
    <n v="2"/>
    <n v="2"/>
    <n v="0"/>
    <n v="0"/>
    <n v="0"/>
    <n v="89"/>
    <n v="89"/>
    <n v="1"/>
    <n v="0"/>
    <n v="0"/>
    <n v="0"/>
    <n v="0"/>
    <n v="1"/>
    <n v="0"/>
    <n v="0"/>
    <n v="0"/>
    <n v="0"/>
    <x v="0"/>
    <s v="Village"/>
    <x v="0"/>
    <n v="0"/>
    <n v="0"/>
    <n v="0"/>
    <n v="197092"/>
    <x v="0"/>
    <m/>
  </r>
  <r>
    <x v="1"/>
    <x v="5"/>
    <x v="5"/>
    <s v="EU"/>
    <x v="0"/>
    <x v="5"/>
    <x v="0"/>
    <x v="122"/>
    <n v="142"/>
    <n v="542"/>
    <d v="2017-01-01T00:00:00"/>
    <d v="2021-12-21T00:00:00"/>
    <m/>
    <m/>
    <m/>
    <m/>
    <m/>
    <m/>
    <m/>
    <m/>
    <m/>
    <x v="0"/>
    <m/>
    <m/>
    <m/>
    <m/>
    <m/>
    <m/>
    <m/>
    <m/>
    <m/>
    <m/>
    <m/>
    <m/>
    <m/>
    <m/>
    <m/>
    <m/>
    <m/>
    <m/>
    <m/>
    <n v="0"/>
    <n v="0"/>
    <n v="0"/>
    <n v="0"/>
    <n v="0"/>
    <n v="0"/>
    <n v="0"/>
    <n v="1"/>
    <n v="542"/>
    <n v="2"/>
    <n v="2"/>
    <n v="0"/>
    <n v="0"/>
    <n v="0"/>
    <n v="90"/>
    <n v="90"/>
    <n v="1"/>
    <n v="0"/>
    <n v="0"/>
    <n v="0"/>
    <n v="0"/>
    <n v="1"/>
    <n v="0"/>
    <n v="0"/>
    <n v="0"/>
    <n v="0"/>
    <x v="0"/>
    <s v="Village"/>
    <x v="0"/>
    <n v="0"/>
    <n v="0"/>
    <n v="0"/>
    <n v="197100"/>
    <x v="0"/>
    <m/>
  </r>
  <r>
    <x v="1"/>
    <x v="5"/>
    <x v="5"/>
    <s v="EU"/>
    <x v="0"/>
    <x v="5"/>
    <x v="0"/>
    <x v="123"/>
    <n v="290"/>
    <n v="1314"/>
    <d v="2017-01-01T00:00:00"/>
    <d v="2021-12-21T00:00:00"/>
    <m/>
    <m/>
    <m/>
    <m/>
    <m/>
    <m/>
    <m/>
    <m/>
    <m/>
    <x v="0"/>
    <m/>
    <m/>
    <m/>
    <m/>
    <m/>
    <m/>
    <m/>
    <m/>
    <m/>
    <m/>
    <m/>
    <m/>
    <m/>
    <m/>
    <m/>
    <m/>
    <m/>
    <m/>
    <m/>
    <n v="0"/>
    <n v="0"/>
    <n v="0"/>
    <n v="0"/>
    <n v="0"/>
    <n v="0"/>
    <n v="0"/>
    <n v="1"/>
    <n v="1314"/>
    <n v="5"/>
    <n v="5"/>
    <n v="0"/>
    <n v="0"/>
    <n v="0"/>
    <n v="219"/>
    <n v="219"/>
    <n v="1"/>
    <n v="0"/>
    <n v="0"/>
    <n v="0"/>
    <n v="0"/>
    <n v="1"/>
    <n v="0"/>
    <n v="0"/>
    <n v="0"/>
    <n v="0"/>
    <x v="0"/>
    <s v="Village"/>
    <x v="0"/>
    <n v="0"/>
    <n v="0"/>
    <n v="0"/>
    <n v="197099"/>
    <x v="0"/>
    <m/>
  </r>
  <r>
    <x v="1"/>
    <x v="5"/>
    <x v="5"/>
    <s v="EU"/>
    <x v="0"/>
    <x v="5"/>
    <x v="0"/>
    <x v="124"/>
    <n v="215"/>
    <n v="1125"/>
    <d v="2017-01-01T00:00:00"/>
    <d v="2021-12-21T00:00:00"/>
    <m/>
    <m/>
    <m/>
    <m/>
    <m/>
    <m/>
    <m/>
    <m/>
    <m/>
    <x v="0"/>
    <m/>
    <m/>
    <m/>
    <m/>
    <m/>
    <m/>
    <m/>
    <m/>
    <m/>
    <m/>
    <m/>
    <m/>
    <m/>
    <m/>
    <m/>
    <m/>
    <m/>
    <m/>
    <m/>
    <n v="0"/>
    <n v="0"/>
    <n v="0"/>
    <n v="0"/>
    <n v="0"/>
    <n v="0"/>
    <n v="0"/>
    <n v="1"/>
    <n v="1125"/>
    <n v="5"/>
    <n v="5"/>
    <n v="0"/>
    <n v="0"/>
    <n v="0"/>
    <n v="188"/>
    <n v="188"/>
    <n v="1"/>
    <n v="0"/>
    <n v="0"/>
    <n v="0"/>
    <n v="0"/>
    <n v="1"/>
    <n v="0"/>
    <n v="0"/>
    <n v="0"/>
    <n v="0"/>
    <x v="0"/>
    <s v="Village"/>
    <x v="0"/>
    <n v="0"/>
    <n v="0"/>
    <n v="0"/>
    <n v="197102"/>
    <x v="0"/>
    <m/>
  </r>
  <r>
    <x v="1"/>
    <x v="5"/>
    <x v="5"/>
    <s v="EU"/>
    <x v="0"/>
    <x v="5"/>
    <x v="0"/>
    <x v="125"/>
    <n v="181"/>
    <n v="940"/>
    <d v="2017-01-01T00:00:00"/>
    <d v="2021-12-21T00:00:00"/>
    <m/>
    <m/>
    <m/>
    <m/>
    <m/>
    <m/>
    <m/>
    <m/>
    <m/>
    <x v="0"/>
    <m/>
    <m/>
    <m/>
    <m/>
    <m/>
    <m/>
    <m/>
    <m/>
    <m/>
    <m/>
    <m/>
    <m/>
    <m/>
    <m/>
    <m/>
    <m/>
    <m/>
    <m/>
    <m/>
    <n v="0"/>
    <n v="0"/>
    <n v="0"/>
    <n v="0"/>
    <n v="0"/>
    <n v="0"/>
    <n v="0"/>
    <n v="1"/>
    <n v="940"/>
    <n v="4"/>
    <n v="4"/>
    <n v="0"/>
    <n v="0"/>
    <n v="0"/>
    <n v="157"/>
    <n v="157"/>
    <n v="1"/>
    <n v="0"/>
    <n v="0"/>
    <n v="0"/>
    <n v="0"/>
    <n v="1"/>
    <n v="0"/>
    <n v="0"/>
    <n v="0"/>
    <n v="0"/>
    <x v="0"/>
    <s v="Village"/>
    <x v="0"/>
    <n v="0"/>
    <n v="0"/>
    <n v="0"/>
    <n v="220651"/>
    <x v="0"/>
    <m/>
  </r>
  <r>
    <x v="1"/>
    <x v="5"/>
    <x v="5"/>
    <s v="EU"/>
    <x v="0"/>
    <x v="5"/>
    <x v="0"/>
    <x v="126"/>
    <n v="170"/>
    <n v="743"/>
    <d v="2017-01-01T00:00:00"/>
    <d v="2021-12-21T00:00:00"/>
    <m/>
    <m/>
    <m/>
    <m/>
    <m/>
    <m/>
    <m/>
    <m/>
    <m/>
    <x v="0"/>
    <m/>
    <m/>
    <m/>
    <m/>
    <m/>
    <m/>
    <m/>
    <m/>
    <m/>
    <m/>
    <m/>
    <m/>
    <m/>
    <m/>
    <m/>
    <m/>
    <m/>
    <m/>
    <m/>
    <n v="0"/>
    <n v="0"/>
    <n v="0"/>
    <n v="0"/>
    <n v="0"/>
    <n v="0"/>
    <n v="0"/>
    <n v="1"/>
    <n v="743"/>
    <n v="3"/>
    <n v="3"/>
    <n v="0"/>
    <n v="0"/>
    <n v="0"/>
    <n v="124"/>
    <n v="124"/>
    <n v="1"/>
    <n v="0"/>
    <n v="0"/>
    <n v="0"/>
    <n v="0"/>
    <n v="1"/>
    <n v="0"/>
    <n v="0"/>
    <n v="0"/>
    <n v="0"/>
    <x v="0"/>
    <s v="Village"/>
    <x v="0"/>
    <n v="0"/>
    <n v="0"/>
    <n v="0"/>
    <n v="197103"/>
    <x v="0"/>
    <m/>
  </r>
  <r>
    <x v="1"/>
    <x v="5"/>
    <x v="5"/>
    <s v="EU"/>
    <x v="0"/>
    <x v="5"/>
    <x v="0"/>
    <x v="127"/>
    <n v="121"/>
    <n v="421"/>
    <d v="2017-01-01T00:00:00"/>
    <d v="2021-12-21T00:00:00"/>
    <m/>
    <m/>
    <m/>
    <m/>
    <m/>
    <m/>
    <m/>
    <m/>
    <m/>
    <x v="0"/>
    <m/>
    <m/>
    <m/>
    <m/>
    <m/>
    <m/>
    <m/>
    <m/>
    <m/>
    <m/>
    <m/>
    <m/>
    <m/>
    <m/>
    <m/>
    <m/>
    <m/>
    <m/>
    <m/>
    <n v="0"/>
    <n v="0"/>
    <n v="0"/>
    <n v="0"/>
    <n v="0"/>
    <n v="0"/>
    <n v="0"/>
    <n v="1"/>
    <n v="421"/>
    <n v="2"/>
    <n v="2"/>
    <n v="0"/>
    <n v="0"/>
    <n v="0"/>
    <n v="70"/>
    <n v="70"/>
    <n v="1"/>
    <n v="0"/>
    <n v="0"/>
    <n v="0"/>
    <n v="0"/>
    <n v="1"/>
    <n v="0"/>
    <n v="0"/>
    <n v="0"/>
    <n v="0"/>
    <x v="0"/>
    <s v="Village"/>
    <x v="0"/>
    <s v="Mixed"/>
    <n v="20.394809720000001"/>
    <n v="93.251609799999997"/>
    <n v="196994"/>
    <x v="0"/>
    <m/>
  </r>
  <r>
    <x v="1"/>
    <x v="5"/>
    <x v="5"/>
    <s v="EU"/>
    <x v="0"/>
    <x v="5"/>
    <x v="0"/>
    <x v="128"/>
    <n v="203"/>
    <n v="1118"/>
    <d v="2017-01-01T00:00:00"/>
    <d v="2021-12-21T00:00:00"/>
    <m/>
    <m/>
    <m/>
    <m/>
    <m/>
    <m/>
    <m/>
    <m/>
    <m/>
    <x v="0"/>
    <m/>
    <m/>
    <m/>
    <m/>
    <m/>
    <m/>
    <m/>
    <m/>
    <m/>
    <m/>
    <m/>
    <m/>
    <m/>
    <m/>
    <m/>
    <m/>
    <m/>
    <m/>
    <m/>
    <n v="0"/>
    <n v="0"/>
    <n v="0"/>
    <n v="0"/>
    <n v="0"/>
    <n v="0"/>
    <n v="0"/>
    <n v="1"/>
    <n v="1118"/>
    <n v="4"/>
    <n v="4"/>
    <n v="0"/>
    <n v="0"/>
    <n v="0"/>
    <n v="186"/>
    <n v="186"/>
    <n v="1"/>
    <n v="0"/>
    <n v="0"/>
    <n v="0"/>
    <n v="0"/>
    <n v="1"/>
    <n v="0"/>
    <n v="0"/>
    <n v="0"/>
    <n v="0"/>
    <x v="0"/>
    <s v="Village"/>
    <x v="0"/>
    <n v="0"/>
    <n v="0"/>
    <n v="0"/>
    <n v="196997"/>
    <x v="0"/>
    <m/>
  </r>
  <r>
    <x v="1"/>
    <x v="5"/>
    <x v="5"/>
    <s v="EU"/>
    <x v="0"/>
    <x v="5"/>
    <x v="0"/>
    <x v="129"/>
    <n v="31"/>
    <n v="170"/>
    <d v="2017-01-01T00:00:00"/>
    <d v="2021-12-21T00:00:00"/>
    <m/>
    <m/>
    <m/>
    <m/>
    <m/>
    <m/>
    <m/>
    <m/>
    <m/>
    <x v="0"/>
    <m/>
    <m/>
    <m/>
    <m/>
    <m/>
    <m/>
    <m/>
    <m/>
    <m/>
    <m/>
    <m/>
    <m/>
    <m/>
    <m/>
    <m/>
    <m/>
    <m/>
    <m/>
    <m/>
    <n v="0"/>
    <n v="0"/>
    <n v="0"/>
    <n v="0"/>
    <n v="0"/>
    <n v="0"/>
    <n v="0"/>
    <n v="1"/>
    <n v="170"/>
    <n v="1"/>
    <n v="1"/>
    <n v="0"/>
    <n v="0"/>
    <n v="0"/>
    <n v="28"/>
    <n v="28"/>
    <n v="1"/>
    <n v="0"/>
    <n v="0"/>
    <n v="0"/>
    <n v="0"/>
    <n v="1"/>
    <n v="0"/>
    <n v="0"/>
    <n v="0"/>
    <n v="0"/>
    <x v="0"/>
    <s v="Village"/>
    <x v="0"/>
    <s v="Rakhine"/>
    <n v="20.396680830000001"/>
    <n v="93.252868649999996"/>
    <n v="196998"/>
    <x v="0"/>
    <m/>
  </r>
  <r>
    <x v="1"/>
    <x v="5"/>
    <x v="5"/>
    <s v="BMZ"/>
    <x v="0"/>
    <x v="5"/>
    <x v="0"/>
    <x v="130"/>
    <n v="180"/>
    <n v="964"/>
    <d v="2017-01-01T00:00:00"/>
    <d v="2021-12-21T00:00:00"/>
    <m/>
    <m/>
    <m/>
    <m/>
    <m/>
    <m/>
    <m/>
    <m/>
    <m/>
    <x v="0"/>
    <m/>
    <m/>
    <m/>
    <m/>
    <m/>
    <m/>
    <m/>
    <m/>
    <m/>
    <m/>
    <m/>
    <m/>
    <m/>
    <m/>
    <m/>
    <m/>
    <m/>
    <m/>
    <m/>
    <n v="0"/>
    <n v="0"/>
    <n v="0"/>
    <n v="0"/>
    <n v="0"/>
    <n v="0"/>
    <n v="0"/>
    <n v="1"/>
    <n v="964"/>
    <n v="4"/>
    <n v="4"/>
    <n v="0"/>
    <n v="0"/>
    <n v="0"/>
    <n v="161"/>
    <n v="161"/>
    <n v="1"/>
    <n v="0"/>
    <n v="0"/>
    <n v="0"/>
    <n v="0"/>
    <n v="1"/>
    <n v="0"/>
    <n v="0"/>
    <n v="0"/>
    <n v="0"/>
    <x v="0"/>
    <s v="Village"/>
    <x v="0"/>
    <n v="0"/>
    <n v="0"/>
    <n v="0"/>
    <n v="197114"/>
    <x v="0"/>
    <m/>
  </r>
  <r>
    <x v="1"/>
    <x v="5"/>
    <x v="5"/>
    <s v="BMZ"/>
    <x v="0"/>
    <x v="5"/>
    <x v="0"/>
    <x v="131"/>
    <n v="130"/>
    <n v="398"/>
    <d v="2017-01-01T00:00:00"/>
    <d v="2021-12-21T00:00:00"/>
    <m/>
    <m/>
    <m/>
    <m/>
    <m/>
    <m/>
    <m/>
    <m/>
    <m/>
    <x v="0"/>
    <m/>
    <m/>
    <m/>
    <m/>
    <m/>
    <m/>
    <m/>
    <m/>
    <m/>
    <m/>
    <m/>
    <m/>
    <m/>
    <m/>
    <m/>
    <m/>
    <m/>
    <m/>
    <m/>
    <n v="0"/>
    <n v="0"/>
    <n v="0"/>
    <n v="0"/>
    <n v="0"/>
    <n v="0"/>
    <n v="0"/>
    <n v="1"/>
    <n v="398"/>
    <n v="2"/>
    <n v="2"/>
    <n v="0"/>
    <n v="0"/>
    <n v="0"/>
    <n v="66"/>
    <n v="66"/>
    <n v="1"/>
    <n v="0"/>
    <n v="0"/>
    <n v="0"/>
    <n v="0"/>
    <n v="1"/>
    <n v="0"/>
    <n v="0"/>
    <n v="0"/>
    <n v="0"/>
    <x v="0"/>
    <s v="Village"/>
    <x v="0"/>
    <n v="0"/>
    <n v="0"/>
    <n v="0"/>
    <n v="197111"/>
    <x v="0"/>
    <m/>
  </r>
  <r>
    <x v="1"/>
    <x v="5"/>
    <x v="5"/>
    <s v="BMZ"/>
    <x v="0"/>
    <x v="5"/>
    <x v="0"/>
    <x v="132"/>
    <n v="191"/>
    <n v="713"/>
    <d v="2017-01-01T00:00:00"/>
    <d v="2021-12-21T00:00:00"/>
    <m/>
    <m/>
    <m/>
    <m/>
    <m/>
    <m/>
    <m/>
    <m/>
    <m/>
    <x v="0"/>
    <m/>
    <m/>
    <m/>
    <m/>
    <m/>
    <m/>
    <m/>
    <m/>
    <m/>
    <m/>
    <m/>
    <m/>
    <m/>
    <m/>
    <m/>
    <m/>
    <m/>
    <m/>
    <m/>
    <n v="0"/>
    <n v="0"/>
    <n v="0"/>
    <n v="0"/>
    <n v="0"/>
    <n v="0"/>
    <n v="0"/>
    <n v="1"/>
    <n v="713"/>
    <n v="3"/>
    <n v="3"/>
    <n v="0"/>
    <n v="0"/>
    <n v="0"/>
    <n v="119"/>
    <n v="119"/>
    <n v="1"/>
    <n v="0"/>
    <n v="0"/>
    <n v="0"/>
    <n v="0"/>
    <n v="1"/>
    <n v="0"/>
    <n v="0"/>
    <n v="0"/>
    <n v="0"/>
    <x v="0"/>
    <s v="Village"/>
    <x v="0"/>
    <n v="0"/>
    <n v="0"/>
    <n v="0"/>
    <n v="197112"/>
    <x v="0"/>
    <m/>
  </r>
  <r>
    <x v="1"/>
    <x v="5"/>
    <x v="5"/>
    <s v="BMZ"/>
    <x v="0"/>
    <x v="5"/>
    <x v="0"/>
    <x v="133"/>
    <n v="27"/>
    <n v="53"/>
    <d v="2017-01-01T00:00:00"/>
    <d v="2021-12-21T00:00:00"/>
    <m/>
    <m/>
    <m/>
    <m/>
    <m/>
    <m/>
    <m/>
    <m/>
    <m/>
    <x v="0"/>
    <m/>
    <m/>
    <m/>
    <m/>
    <m/>
    <m/>
    <m/>
    <m/>
    <m/>
    <m/>
    <m/>
    <m/>
    <m/>
    <m/>
    <m/>
    <m/>
    <m/>
    <m/>
    <m/>
    <n v="0"/>
    <n v="0"/>
    <n v="0"/>
    <n v="0"/>
    <n v="0"/>
    <n v="0"/>
    <n v="0"/>
    <n v="1"/>
    <n v="53"/>
    <n v="1"/>
    <n v="1"/>
    <n v="0"/>
    <n v="0"/>
    <n v="0"/>
    <n v="9"/>
    <n v="9"/>
    <n v="1"/>
    <n v="0"/>
    <n v="0"/>
    <n v="0"/>
    <n v="0"/>
    <n v="1"/>
    <n v="0"/>
    <n v="0"/>
    <n v="0"/>
    <n v="0"/>
    <x v="0"/>
    <s v="Village"/>
    <x v="0"/>
    <n v="0"/>
    <n v="0"/>
    <n v="0"/>
    <n v="220653"/>
    <x v="0"/>
    <m/>
  </r>
  <r>
    <x v="1"/>
    <x v="5"/>
    <x v="5"/>
    <s v="BMZ"/>
    <x v="0"/>
    <x v="5"/>
    <x v="0"/>
    <x v="134"/>
    <n v="63"/>
    <n v="249"/>
    <d v="2017-01-01T00:00:00"/>
    <d v="2021-12-21T00:00:00"/>
    <m/>
    <m/>
    <m/>
    <m/>
    <m/>
    <m/>
    <m/>
    <m/>
    <m/>
    <x v="0"/>
    <m/>
    <m/>
    <m/>
    <m/>
    <m/>
    <m/>
    <m/>
    <m/>
    <m/>
    <m/>
    <m/>
    <m/>
    <m/>
    <m/>
    <m/>
    <m/>
    <m/>
    <m/>
    <m/>
    <n v="0"/>
    <n v="0"/>
    <n v="0"/>
    <n v="0"/>
    <n v="0"/>
    <n v="0"/>
    <n v="0"/>
    <n v="1"/>
    <n v="249"/>
    <n v="1"/>
    <n v="1"/>
    <n v="0"/>
    <n v="0"/>
    <n v="0"/>
    <n v="42"/>
    <n v="42"/>
    <n v="1"/>
    <n v="0"/>
    <n v="0"/>
    <n v="0"/>
    <n v="0"/>
    <n v="1"/>
    <n v="0"/>
    <n v="0"/>
    <n v="0"/>
    <n v="0"/>
    <x v="0"/>
    <s v="Village"/>
    <x v="0"/>
    <n v="0"/>
    <n v="0"/>
    <n v="0"/>
    <n v="197110"/>
    <x v="0"/>
    <m/>
  </r>
  <r>
    <x v="1"/>
    <x v="7"/>
    <x v="7"/>
    <s v="DFID/HARP"/>
    <x v="0"/>
    <x v="4"/>
    <x v="0"/>
    <x v="135"/>
    <n v="249"/>
    <n v="1362"/>
    <d v="2017-10-01T00:00:00"/>
    <d v="2020-09-30T00:00:00"/>
    <m/>
    <s v=" -   "/>
    <m/>
    <m/>
    <m/>
    <m/>
    <m/>
    <m/>
    <m/>
    <x v="0"/>
    <m/>
    <m/>
    <m/>
    <m/>
    <m/>
    <m/>
    <m/>
    <m/>
    <m/>
    <m/>
    <m/>
    <m/>
    <m/>
    <m/>
    <m/>
    <m/>
    <m/>
    <m/>
    <m/>
    <n v="0"/>
    <n v="0"/>
    <n v="0"/>
    <n v="0"/>
    <n v="0"/>
    <n v="0"/>
    <n v="0"/>
    <n v="1"/>
    <n v="1362"/>
    <n v="5"/>
    <n v="5"/>
    <n v="0"/>
    <n v="0"/>
    <n v="0"/>
    <n v="227"/>
    <n v="227"/>
    <n v="1"/>
    <n v="0"/>
    <n v="0"/>
    <n v="0"/>
    <n v="0"/>
    <n v="1"/>
    <n v="0"/>
    <n v="0"/>
    <n v="0"/>
    <n v="0"/>
    <x v="0"/>
    <s v="Village"/>
    <x v="1"/>
    <s v="Rakhine"/>
    <n v="20.151471999999998"/>
    <n v="92.887277999999995"/>
    <s v="MMR012CMP111"/>
    <x v="0"/>
    <m/>
  </r>
  <r>
    <x v="1"/>
    <x v="6"/>
    <x v="6"/>
    <s v="DFID/HARP"/>
    <x v="0"/>
    <x v="4"/>
    <x v="0"/>
    <x v="136"/>
    <n v="420"/>
    <n v="2179"/>
    <d v="2017-10-01T00:00:00"/>
    <d v="2020-09-30T00:00:00"/>
    <m/>
    <s v=" -   "/>
    <m/>
    <n v="0"/>
    <m/>
    <m/>
    <m/>
    <m/>
    <m/>
    <x v="0"/>
    <m/>
    <m/>
    <m/>
    <m/>
    <m/>
    <m/>
    <m/>
    <m/>
    <m/>
    <m/>
    <m/>
    <m/>
    <m/>
    <m/>
    <m/>
    <m/>
    <m/>
    <m/>
    <m/>
    <n v="0"/>
    <n v="0"/>
    <n v="0"/>
    <n v="0"/>
    <n v="0"/>
    <n v="0"/>
    <n v="0"/>
    <n v="1"/>
    <n v="2179"/>
    <n v="9"/>
    <n v="9"/>
    <n v="0"/>
    <n v="0"/>
    <n v="0"/>
    <n v="363"/>
    <n v="363"/>
    <n v="1"/>
    <n v="0"/>
    <n v="0"/>
    <n v="0"/>
    <n v="0"/>
    <n v="1"/>
    <n v="0"/>
    <n v="0"/>
    <n v="0"/>
    <n v="0"/>
    <x v="0"/>
    <s v="Village"/>
    <x v="1"/>
    <s v="Rakhine"/>
    <n v="20.151471999999998"/>
    <n v="92.887277999999995"/>
    <s v="MMR012CMP112"/>
    <x v="0"/>
    <m/>
  </r>
  <r>
    <x v="1"/>
    <x v="14"/>
    <x v="13"/>
    <s v="DFID/HARP.eu"/>
    <x v="0"/>
    <x v="4"/>
    <x v="0"/>
    <x v="79"/>
    <n v="92"/>
    <n v="695"/>
    <s v="10/1/2017,1-1-17"/>
    <s v="9/30/2020,12-21-21"/>
    <m/>
    <s v=" -   "/>
    <m/>
    <n v="7"/>
    <m/>
    <m/>
    <m/>
    <m/>
    <m/>
    <x v="0"/>
    <m/>
    <m/>
    <m/>
    <m/>
    <m/>
    <m/>
    <n v="0"/>
    <n v="693"/>
    <m/>
    <m/>
    <n v="68"/>
    <n v="124"/>
    <m/>
    <m/>
    <m/>
    <m/>
    <m/>
    <m/>
    <m/>
    <n v="1"/>
    <n v="695"/>
    <n v="0"/>
    <n v="0"/>
    <n v="1"/>
    <n v="695"/>
    <n v="2.78"/>
    <n v="0"/>
    <n v="0"/>
    <n v="0.2200000000000002"/>
    <n v="3"/>
    <n v="0"/>
    <n v="0"/>
    <n v="0"/>
    <n v="116"/>
    <n v="116"/>
    <n v="1"/>
    <n v="695"/>
    <n v="0"/>
    <n v="695"/>
    <n v="1"/>
    <n v="0"/>
    <n v="1"/>
    <n v="0"/>
    <n v="0"/>
    <n v="0"/>
    <x v="0"/>
    <s v="Village"/>
    <x v="0"/>
    <s v="Muslim"/>
    <n v="20.201499999999999"/>
    <n v="92.796599999999998"/>
    <n v="196154"/>
    <x v="0"/>
    <m/>
  </r>
  <r>
    <x v="1"/>
    <x v="6"/>
    <x v="6"/>
    <s v="DFID/HARP"/>
    <x v="0"/>
    <x v="4"/>
    <x v="0"/>
    <x v="137"/>
    <n v="235"/>
    <n v="1390"/>
    <d v="2017-10-01T00:00:00"/>
    <d v="2020-09-30T00:00:00"/>
    <m/>
    <s v=" -   "/>
    <m/>
    <n v="8"/>
    <m/>
    <m/>
    <m/>
    <m/>
    <m/>
    <x v="0"/>
    <m/>
    <m/>
    <m/>
    <m/>
    <m/>
    <m/>
    <n v="0"/>
    <n v="486"/>
    <n v="0"/>
    <n v="252"/>
    <m/>
    <m/>
    <m/>
    <m/>
    <m/>
    <m/>
    <m/>
    <m/>
    <m/>
    <n v="1"/>
    <n v="1390"/>
    <n v="0"/>
    <n v="0"/>
    <n v="1"/>
    <n v="1390"/>
    <n v="5.56"/>
    <n v="0"/>
    <n v="0"/>
    <n v="0.44000000000000039"/>
    <n v="6"/>
    <n v="0"/>
    <n v="0"/>
    <n v="0"/>
    <n v="232"/>
    <n v="232"/>
    <n v="1"/>
    <n v="738"/>
    <n v="0"/>
    <n v="738"/>
    <n v="0.53093525179856116"/>
    <n v="0.46906474820143884"/>
    <n v="0.53093525179856116"/>
    <n v="0"/>
    <n v="0"/>
    <n v="0"/>
    <x v="0"/>
    <s v="Village"/>
    <x v="0"/>
    <s v="Muslim"/>
    <n v="20.19171906"/>
    <n v="92.808166499999999"/>
    <n v="196155"/>
    <x v="0"/>
    <m/>
  </r>
  <r>
    <x v="1"/>
    <x v="6"/>
    <x v="6"/>
    <s v="DFID/HARP"/>
    <x v="0"/>
    <x v="4"/>
    <x v="0"/>
    <x v="138"/>
    <n v="72"/>
    <n v="442"/>
    <d v="2017-10-01T00:00:00"/>
    <d v="2020-09-30T00:00:00"/>
    <m/>
    <s v=" -   "/>
    <m/>
    <n v="0"/>
    <m/>
    <m/>
    <m/>
    <m/>
    <m/>
    <x v="0"/>
    <m/>
    <m/>
    <m/>
    <m/>
    <m/>
    <m/>
    <n v="49"/>
    <n v="117"/>
    <n v="57"/>
    <n v="257"/>
    <m/>
    <m/>
    <m/>
    <m/>
    <m/>
    <m/>
    <m/>
    <m/>
    <m/>
    <n v="0"/>
    <n v="0"/>
    <n v="0"/>
    <n v="0"/>
    <n v="0"/>
    <n v="0"/>
    <n v="0"/>
    <n v="1"/>
    <n v="442"/>
    <n v="2"/>
    <n v="2"/>
    <n v="0"/>
    <n v="0"/>
    <n v="0"/>
    <n v="74"/>
    <n v="74"/>
    <n v="1"/>
    <n v="442"/>
    <n v="0"/>
    <n v="442"/>
    <n v="1"/>
    <n v="0"/>
    <n v="1"/>
    <n v="0"/>
    <n v="0"/>
    <n v="0"/>
    <x v="0"/>
    <s v="Village"/>
    <x v="1"/>
    <s v="Maramargyi"/>
    <n v="20.148584"/>
    <n v="92.880319999999998"/>
    <s v="MMR012CMP056"/>
    <x v="0"/>
    <m/>
  </r>
  <r>
    <x v="1"/>
    <x v="6"/>
    <x v="6"/>
    <s v="DFID/HARP"/>
    <x v="0"/>
    <x v="4"/>
    <x v="0"/>
    <x v="139"/>
    <n v="151"/>
    <n v="625"/>
    <d v="2017-10-01T00:00:00"/>
    <d v="2020-09-30T00:00:00"/>
    <m/>
    <s v=" -   "/>
    <m/>
    <n v="6"/>
    <m/>
    <m/>
    <m/>
    <m/>
    <m/>
    <x v="0"/>
    <m/>
    <m/>
    <m/>
    <m/>
    <m/>
    <m/>
    <n v="184"/>
    <n v="383"/>
    <n v="5"/>
    <n v="93"/>
    <m/>
    <m/>
    <m/>
    <m/>
    <m/>
    <m/>
    <m/>
    <m/>
    <m/>
    <n v="1"/>
    <n v="625"/>
    <n v="0"/>
    <n v="0"/>
    <n v="1"/>
    <n v="625"/>
    <n v="2.5"/>
    <n v="0"/>
    <n v="0"/>
    <n v="0.5"/>
    <n v="3"/>
    <n v="0"/>
    <n v="0"/>
    <n v="0"/>
    <n v="104"/>
    <n v="104"/>
    <n v="1"/>
    <n v="625"/>
    <n v="0"/>
    <n v="625"/>
    <n v="1"/>
    <n v="0"/>
    <n v="1"/>
    <n v="0"/>
    <n v="0"/>
    <n v="0"/>
    <x v="0"/>
    <s v="Village"/>
    <x v="1"/>
    <s v="Rakhine"/>
    <n v="20.155805999999998"/>
    <n v="92.879138999999995"/>
    <s v="MMR012CMP093"/>
    <x v="0"/>
    <m/>
  </r>
  <r>
    <x v="1"/>
    <x v="7"/>
    <x v="7"/>
    <s v="DFID/HARP"/>
    <x v="0"/>
    <x v="4"/>
    <x v="0"/>
    <x v="140"/>
    <n v="155"/>
    <n v="745"/>
    <d v="2017-10-01T00:00:00"/>
    <d v="2020-09-30T00:00:00"/>
    <m/>
    <s v=" -   "/>
    <m/>
    <n v="10"/>
    <m/>
    <m/>
    <n v="1"/>
    <m/>
    <m/>
    <x v="0"/>
    <n v="5"/>
    <n v="4"/>
    <m/>
    <m/>
    <m/>
    <m/>
    <n v="25"/>
    <n v="34"/>
    <n v="14"/>
    <n v="20"/>
    <m/>
    <m/>
    <m/>
    <m/>
    <m/>
    <m/>
    <m/>
    <m/>
    <m/>
    <n v="1"/>
    <n v="745"/>
    <n v="0"/>
    <n v="0"/>
    <n v="1"/>
    <n v="745"/>
    <n v="2.98"/>
    <n v="0"/>
    <n v="0"/>
    <n v="2.0000000000000018E-2"/>
    <n v="3"/>
    <n v="0.33557046979865773"/>
    <n v="250"/>
    <n v="250"/>
    <n v="124"/>
    <n v="124"/>
    <n v="0.66442953020134232"/>
    <n v="93"/>
    <n v="0"/>
    <n v="93"/>
    <n v="0.12483221476510067"/>
    <n v="0.87516778523489935"/>
    <n v="0.12483221476510067"/>
    <n v="0"/>
    <n v="0"/>
    <n v="0"/>
    <x v="0"/>
    <s v="Village"/>
    <x v="0"/>
    <s v="Rakhine"/>
    <n v="20.16259956"/>
    <n v="92.834457400000005"/>
    <n v="196210"/>
    <x v="0"/>
    <m/>
  </r>
  <r>
    <x v="1"/>
    <x v="7"/>
    <x v="7"/>
    <s v="DFID/HARP"/>
    <x v="0"/>
    <x v="4"/>
    <x v="0"/>
    <x v="141"/>
    <n v="758"/>
    <n v="5579"/>
    <d v="2017-10-01T00:00:00"/>
    <d v="2020-09-30T00:00:00"/>
    <m/>
    <s v=" -   "/>
    <m/>
    <n v="16"/>
    <m/>
    <m/>
    <m/>
    <m/>
    <m/>
    <x v="0"/>
    <m/>
    <n v="1"/>
    <m/>
    <m/>
    <m/>
    <m/>
    <n v="52"/>
    <n v="104"/>
    <n v="100"/>
    <n v="93"/>
    <m/>
    <m/>
    <m/>
    <m/>
    <n v="763"/>
    <n v="1178"/>
    <m/>
    <n v="1"/>
    <n v="0.76"/>
    <n v="1"/>
    <n v="5579"/>
    <n v="0"/>
    <n v="0"/>
    <n v="1"/>
    <n v="5579"/>
    <n v="22.315999999999999"/>
    <n v="0"/>
    <n v="0"/>
    <n v="0"/>
    <n v="22"/>
    <n v="0"/>
    <n v="0"/>
    <n v="0"/>
    <n v="930"/>
    <n v="930"/>
    <n v="1"/>
    <n v="349"/>
    <n v="0"/>
    <n v="5579"/>
    <n v="1"/>
    <n v="0"/>
    <n v="6.2556013622512993E-2"/>
    <n v="5579"/>
    <n v="1178"/>
    <n v="5579"/>
    <x v="0"/>
    <s v="Village"/>
    <x v="0"/>
    <s v="Muslim"/>
    <n v="20.15736008"/>
    <n v="92.838653559999997"/>
    <n v="196211"/>
    <x v="0"/>
    <m/>
  </r>
  <r>
    <x v="1"/>
    <x v="7"/>
    <x v="7"/>
    <s v="DFID/HARP"/>
    <x v="0"/>
    <x v="4"/>
    <x v="0"/>
    <x v="142"/>
    <n v="427"/>
    <n v="2427"/>
    <d v="2017-10-01T00:00:00"/>
    <d v="2020-09-30T00:00:00"/>
    <m/>
    <s v=" -   "/>
    <m/>
    <n v="17"/>
    <m/>
    <m/>
    <n v="1"/>
    <m/>
    <m/>
    <x v="0"/>
    <n v="4"/>
    <m/>
    <m/>
    <m/>
    <m/>
    <m/>
    <n v="23"/>
    <n v="54"/>
    <n v="537"/>
    <n v="515"/>
    <m/>
    <m/>
    <m/>
    <m/>
    <n v="427"/>
    <n v="756"/>
    <m/>
    <n v="0.81"/>
    <n v="0.62"/>
    <n v="1"/>
    <n v="2427"/>
    <n v="0"/>
    <n v="0"/>
    <n v="1"/>
    <n v="2427"/>
    <n v="9.7080000000000002"/>
    <n v="0"/>
    <n v="0"/>
    <n v="0.29199999999999982"/>
    <n v="10"/>
    <n v="8.2406262875978575E-2"/>
    <n v="200"/>
    <n v="200"/>
    <n v="405"/>
    <n v="405"/>
    <n v="0.91759373712402148"/>
    <n v="1129"/>
    <n v="0"/>
    <n v="2427"/>
    <n v="1"/>
    <n v="0"/>
    <n v="0.46518335393489907"/>
    <n v="2427"/>
    <n v="756"/>
    <n v="2427"/>
    <x v="0"/>
    <s v="Village"/>
    <x v="0"/>
    <s v="Muslim"/>
    <n v="20.147863431600001"/>
    <n v="92.846768572000002"/>
    <n v="196209"/>
    <x v="0"/>
    <m/>
  </r>
  <r>
    <x v="1"/>
    <x v="5"/>
    <x v="5"/>
    <s v="BMZ"/>
    <x v="0"/>
    <x v="4"/>
    <x v="0"/>
    <x v="143"/>
    <n v="452"/>
    <n v="1901"/>
    <d v="2017-01-01T00:00:00"/>
    <d v="2021-12-21T00:00:00"/>
    <m/>
    <m/>
    <m/>
    <m/>
    <m/>
    <m/>
    <m/>
    <m/>
    <m/>
    <x v="0"/>
    <m/>
    <m/>
    <m/>
    <m/>
    <m/>
    <m/>
    <m/>
    <m/>
    <m/>
    <m/>
    <m/>
    <m/>
    <m/>
    <m/>
    <m/>
    <m/>
    <m/>
    <m/>
    <m/>
    <n v="0"/>
    <n v="0"/>
    <n v="0"/>
    <n v="0"/>
    <n v="0"/>
    <n v="0"/>
    <n v="0"/>
    <n v="1"/>
    <n v="1901"/>
    <n v="8"/>
    <n v="8"/>
    <n v="0"/>
    <n v="0"/>
    <n v="0"/>
    <n v="317"/>
    <n v="317"/>
    <n v="1"/>
    <n v="0"/>
    <n v="0"/>
    <n v="0"/>
    <n v="0"/>
    <n v="1"/>
    <n v="0"/>
    <n v="0"/>
    <n v="0"/>
    <n v="0"/>
    <x v="0"/>
    <s v="Village"/>
    <x v="0"/>
    <n v="0"/>
    <n v="20.760820389999999"/>
    <n v="92.960083010000005"/>
    <n v="196893"/>
    <x v="0"/>
    <m/>
  </r>
  <r>
    <x v="1"/>
    <x v="6"/>
    <x v="6"/>
    <s v="DFID/HARP"/>
    <x v="0"/>
    <x v="4"/>
    <x v="0"/>
    <x v="144"/>
    <n v="17"/>
    <n v="74"/>
    <d v="2017-10-01T00:00:00"/>
    <d v="2020-09-30T00:00:00"/>
    <m/>
    <s v=" -   "/>
    <m/>
    <n v="70"/>
    <m/>
    <m/>
    <m/>
    <m/>
    <m/>
    <x v="0"/>
    <m/>
    <m/>
    <m/>
    <m/>
    <m/>
    <m/>
    <n v="48"/>
    <n v="352"/>
    <m/>
    <n v="198"/>
    <n v="616"/>
    <n v="740"/>
    <m/>
    <m/>
    <n v="299"/>
    <n v="738"/>
    <m/>
    <n v="1"/>
    <n v="0.36"/>
    <n v="1"/>
    <n v="74"/>
    <n v="0"/>
    <n v="0"/>
    <n v="1"/>
    <n v="74"/>
    <n v="0.29599999999999999"/>
    <n v="0"/>
    <n v="0"/>
    <n v="0.70399999999999996"/>
    <n v="1"/>
    <n v="0"/>
    <n v="0"/>
    <n v="0"/>
    <n v="12"/>
    <n v="12"/>
    <n v="1"/>
    <n v="74"/>
    <n v="0"/>
    <n v="738"/>
    <n v="1"/>
    <n v="0"/>
    <n v="1"/>
    <n v="74"/>
    <n v="738"/>
    <n v="738"/>
    <x v="0"/>
    <s v="Village"/>
    <x v="0"/>
    <s v="Muslim"/>
    <n v="20.193460460000001"/>
    <n v="92.867782590000004"/>
    <n v="196147"/>
    <x v="0"/>
    <m/>
  </r>
  <r>
    <x v="1"/>
    <x v="8"/>
    <x v="8"/>
    <s v="UNICEF"/>
    <x v="0"/>
    <x v="6"/>
    <x v="0"/>
    <x v="145"/>
    <n v="40"/>
    <n v="217"/>
    <d v="2019-03-06T00:00:00"/>
    <d v="2020-03-06T00:00:00"/>
    <n v="91"/>
    <m/>
    <m/>
    <m/>
    <m/>
    <n v="8"/>
    <n v="2"/>
    <m/>
    <n v="40"/>
    <x v="1"/>
    <n v="2"/>
    <m/>
    <m/>
    <n v="1"/>
    <m/>
    <m/>
    <n v="31"/>
    <n v="180"/>
    <n v="102"/>
    <n v="84"/>
    <n v="65"/>
    <n v="55"/>
    <n v="40"/>
    <n v="1"/>
    <n v="40"/>
    <n v="80"/>
    <m/>
    <n v="1"/>
    <n v="1"/>
    <n v="1"/>
    <n v="217"/>
    <n v="3.6866359447004608E-2"/>
    <n v="8"/>
    <n v="1"/>
    <n v="217"/>
    <n v="0.86799999999999999"/>
    <n v="0"/>
    <n v="0"/>
    <n v="0.13200000000000001"/>
    <n v="1"/>
    <n v="1"/>
    <n v="217"/>
    <n v="100"/>
    <n v="36"/>
    <n v="0"/>
    <n v="0"/>
    <n v="217"/>
    <n v="217"/>
    <n v="217"/>
    <n v="1"/>
    <n v="0"/>
    <n v="1"/>
    <n v="217"/>
    <n v="80"/>
    <n v="217"/>
    <x v="1"/>
    <s v="Village"/>
    <x v="1"/>
    <s v="Rakhine"/>
    <n v="20.041981"/>
    <n v="93.373951000000005"/>
    <s v="MMR012CMP013"/>
    <x v="0"/>
    <m/>
  </r>
  <r>
    <x v="1"/>
    <x v="9"/>
    <x v="9"/>
    <s v="ECHO, OFDA, MHF"/>
    <x v="0"/>
    <x v="0"/>
    <x v="0"/>
    <x v="146"/>
    <n v="400"/>
    <n v="2050"/>
    <s v="28/02/2018 and 28/02/2019, 01/07/2018, 01/10/2018"/>
    <s v="28/02/2019 and 28/02/2020, 30/06/2019, 30/09/2019"/>
    <m/>
    <s v=" -   "/>
    <m/>
    <m/>
    <m/>
    <m/>
    <m/>
    <m/>
    <m/>
    <x v="0"/>
    <m/>
    <m/>
    <m/>
    <m/>
    <m/>
    <m/>
    <m/>
    <m/>
    <m/>
    <m/>
    <m/>
    <m/>
    <m/>
    <m/>
    <m/>
    <m/>
    <m/>
    <m/>
    <m/>
    <n v="0"/>
    <n v="0"/>
    <n v="0"/>
    <n v="0"/>
    <n v="0"/>
    <n v="0"/>
    <n v="0"/>
    <n v="1"/>
    <n v="2050"/>
    <n v="8"/>
    <n v="8"/>
    <n v="0"/>
    <n v="0"/>
    <n v="0"/>
    <n v="342"/>
    <n v="342"/>
    <n v="1"/>
    <n v="0"/>
    <n v="0"/>
    <n v="0"/>
    <n v="0"/>
    <n v="1"/>
    <n v="0"/>
    <n v="0"/>
    <n v="0"/>
    <n v="0"/>
    <x v="0"/>
    <s v="Village"/>
    <x v="0"/>
    <s v="Muslim"/>
    <n v="20.099340439999999"/>
    <n v="92.989143369999994"/>
    <n v="197558"/>
    <x v="0"/>
    <m/>
  </r>
  <r>
    <x v="1"/>
    <x v="0"/>
    <x v="0"/>
    <s v="BMZ"/>
    <x v="0"/>
    <x v="0"/>
    <x v="0"/>
    <x v="147"/>
    <n v="142"/>
    <n v="582"/>
    <d v="2018-09-16T00:00:00"/>
    <d v="2019-12-31T00:00:00"/>
    <n v="503"/>
    <m/>
    <m/>
    <m/>
    <m/>
    <m/>
    <m/>
    <m/>
    <m/>
    <x v="0"/>
    <m/>
    <m/>
    <m/>
    <m/>
    <m/>
    <m/>
    <m/>
    <m/>
    <m/>
    <m/>
    <m/>
    <m/>
    <m/>
    <m/>
    <m/>
    <m/>
    <m/>
    <m/>
    <m/>
    <n v="0"/>
    <n v="0"/>
    <n v="0"/>
    <n v="0"/>
    <n v="0"/>
    <n v="0"/>
    <n v="0"/>
    <n v="1"/>
    <n v="582"/>
    <n v="2"/>
    <n v="2"/>
    <n v="0"/>
    <n v="0"/>
    <n v="0"/>
    <n v="97"/>
    <n v="97"/>
    <n v="1"/>
    <n v="0"/>
    <n v="0"/>
    <n v="0"/>
    <n v="0"/>
    <n v="1"/>
    <n v="0"/>
    <n v="0"/>
    <n v="0"/>
    <n v="0"/>
    <x v="1"/>
    <s v="Village"/>
    <x v="0"/>
    <n v="0"/>
    <n v="20.068620681762699"/>
    <n v="92.934440612792997"/>
    <n v="197574"/>
    <x v="0"/>
    <m/>
  </r>
  <r>
    <x v="1"/>
    <x v="10"/>
    <x v="10"/>
    <s v="GIZ"/>
    <x v="0"/>
    <x v="7"/>
    <x v="0"/>
    <x v="148"/>
    <n v="93"/>
    <n v="415"/>
    <d v="2019-08-01T00:00:00"/>
    <d v="2020-07-31T00:00:00"/>
    <n v="54"/>
    <n v="31"/>
    <n v="2"/>
    <m/>
    <n v="1"/>
    <m/>
    <m/>
    <m/>
    <n v="45"/>
    <x v="2"/>
    <n v="1"/>
    <n v="3"/>
    <m/>
    <m/>
    <m/>
    <m/>
    <n v="4"/>
    <n v="16"/>
    <m/>
    <m/>
    <m/>
    <m/>
    <m/>
    <m/>
    <m/>
    <m/>
    <m/>
    <m/>
    <m/>
    <n v="1"/>
    <n v="415"/>
    <n v="1"/>
    <n v="415"/>
    <n v="1"/>
    <n v="415"/>
    <n v="1.66"/>
    <n v="0"/>
    <n v="0"/>
    <n v="0.34000000000000008"/>
    <n v="2"/>
    <n v="0.77108433734939763"/>
    <n v="320"/>
    <n v="50"/>
    <n v="69"/>
    <n v="24"/>
    <n v="0.22891566265060237"/>
    <n v="20"/>
    <n v="0"/>
    <n v="20"/>
    <n v="4.8192771084337352E-2"/>
    <n v="0.95180722891566261"/>
    <n v="4.8192771084337352E-2"/>
    <n v="0"/>
    <n v="0"/>
    <n v="0"/>
    <x v="1"/>
    <s v="Village"/>
    <x v="0"/>
    <s v="Mro"/>
    <n v="20.855012890000001"/>
    <n v="92.91"/>
    <n v="196824"/>
    <x v="0"/>
    <m/>
  </r>
  <r>
    <x v="1"/>
    <x v="10"/>
    <x v="10"/>
    <s v="MHF"/>
    <x v="0"/>
    <x v="7"/>
    <x v="0"/>
    <x v="150"/>
    <n v="128"/>
    <n v="757"/>
    <d v="2018-10-01T00:00:00"/>
    <d v="2019-09-30T00:00:00"/>
    <n v="113"/>
    <n v="31"/>
    <m/>
    <m/>
    <n v="3"/>
    <m/>
    <m/>
    <m/>
    <n v="7"/>
    <x v="2"/>
    <n v="2"/>
    <n v="20"/>
    <m/>
    <m/>
    <m/>
    <m/>
    <m/>
    <m/>
    <m/>
    <m/>
    <m/>
    <m/>
    <m/>
    <m/>
    <m/>
    <m/>
    <m/>
    <m/>
    <m/>
    <n v="0"/>
    <n v="0"/>
    <n v="1"/>
    <n v="757"/>
    <n v="1"/>
    <n v="757"/>
    <n v="3.028"/>
    <n v="0"/>
    <n v="0"/>
    <n v="0"/>
    <n v="3"/>
    <n v="0.18758256274768825"/>
    <n v="142"/>
    <n v="100"/>
    <n v="126"/>
    <n v="119"/>
    <n v="0.81241743725231175"/>
    <n v="0"/>
    <n v="0"/>
    <n v="0"/>
    <n v="0"/>
    <n v="1"/>
    <n v="0"/>
    <n v="0"/>
    <n v="0"/>
    <n v="0"/>
    <x v="1"/>
    <s v="Village"/>
    <x v="0"/>
    <n v="0"/>
    <n v="20.727590559999999"/>
    <n v="92.969352720000003"/>
    <n v="196816"/>
    <x v="0"/>
    <m/>
  </r>
  <r>
    <x v="1"/>
    <x v="10"/>
    <x v="10"/>
    <s v="MHF"/>
    <x v="0"/>
    <x v="7"/>
    <x v="0"/>
    <x v="151"/>
    <n v="120"/>
    <n v="714"/>
    <d v="2018-10-01T00:00:00"/>
    <d v="2019-09-30T00:00:00"/>
    <n v="150"/>
    <n v="31"/>
    <m/>
    <m/>
    <n v="1"/>
    <m/>
    <m/>
    <m/>
    <n v="11"/>
    <x v="2"/>
    <n v="2"/>
    <n v="15"/>
    <m/>
    <m/>
    <m/>
    <m/>
    <m/>
    <m/>
    <m/>
    <m/>
    <m/>
    <m/>
    <m/>
    <m/>
    <m/>
    <m/>
    <m/>
    <m/>
    <m/>
    <n v="0"/>
    <n v="0"/>
    <n v="1"/>
    <n v="714"/>
    <n v="1"/>
    <n v="714"/>
    <n v="2.8559999999999999"/>
    <n v="0"/>
    <n v="0"/>
    <n v="0.14400000000000013"/>
    <n v="3"/>
    <n v="0.23249299719887956"/>
    <n v="166"/>
    <n v="100"/>
    <n v="119"/>
    <n v="108"/>
    <n v="0.76750700280112039"/>
    <n v="0"/>
    <n v="0"/>
    <n v="0"/>
    <n v="0"/>
    <n v="1"/>
    <n v="0"/>
    <n v="0"/>
    <n v="0"/>
    <n v="0"/>
    <x v="1"/>
    <s v="Village"/>
    <x v="0"/>
    <n v="0"/>
    <n v="20.896429059999999"/>
    <n v="92.940193179999994"/>
    <n v="196804"/>
    <x v="0"/>
    <m/>
  </r>
  <r>
    <x v="1"/>
    <x v="10"/>
    <x v="10"/>
    <s v="MHF"/>
    <x v="0"/>
    <x v="7"/>
    <x v="0"/>
    <x v="152"/>
    <n v="116"/>
    <n v="603"/>
    <d v="2018-10-01T00:00:00"/>
    <d v="2019-09-30T00:00:00"/>
    <n v="125"/>
    <n v="31"/>
    <m/>
    <m/>
    <n v="1"/>
    <m/>
    <m/>
    <m/>
    <n v="94"/>
    <x v="2"/>
    <n v="2"/>
    <n v="6"/>
    <m/>
    <m/>
    <m/>
    <m/>
    <m/>
    <m/>
    <m/>
    <m/>
    <m/>
    <m/>
    <m/>
    <m/>
    <m/>
    <m/>
    <m/>
    <m/>
    <m/>
    <n v="0"/>
    <n v="0"/>
    <n v="1"/>
    <n v="603"/>
    <n v="1"/>
    <n v="603"/>
    <n v="2.4119999999999999"/>
    <n v="0"/>
    <n v="0"/>
    <n v="0"/>
    <n v="2"/>
    <n v="1"/>
    <n v="603"/>
    <n v="100"/>
    <n v="101"/>
    <n v="7"/>
    <n v="0"/>
    <n v="0"/>
    <n v="0"/>
    <n v="0"/>
    <n v="0"/>
    <n v="1"/>
    <n v="0"/>
    <n v="0"/>
    <n v="0"/>
    <n v="0"/>
    <x v="1"/>
    <s v="Village"/>
    <x v="0"/>
    <n v="0"/>
    <n v="20.889249800000002"/>
    <n v="92.939201350000005"/>
    <n v="0"/>
    <x v="0"/>
    <m/>
  </r>
  <r>
    <x v="1"/>
    <x v="10"/>
    <x v="10"/>
    <s v="MHF"/>
    <x v="0"/>
    <x v="7"/>
    <x v="0"/>
    <x v="153"/>
    <n v="173"/>
    <n v="1094"/>
    <d v="2018-10-01T00:00:00"/>
    <d v="2019-09-30T00:00:00"/>
    <n v="250"/>
    <n v="31"/>
    <m/>
    <m/>
    <n v="1"/>
    <m/>
    <m/>
    <m/>
    <n v="56"/>
    <x v="1"/>
    <n v="1"/>
    <n v="10"/>
    <m/>
    <m/>
    <m/>
    <m/>
    <m/>
    <m/>
    <m/>
    <m/>
    <m/>
    <m/>
    <m/>
    <m/>
    <m/>
    <m/>
    <m/>
    <m/>
    <m/>
    <n v="0"/>
    <n v="0"/>
    <n v="1"/>
    <n v="1094"/>
    <n v="1"/>
    <n v="1094"/>
    <n v="4.3760000000000003"/>
    <n v="0"/>
    <n v="0"/>
    <n v="0"/>
    <n v="4"/>
    <n v="0.35283363802559414"/>
    <n v="386"/>
    <n v="50"/>
    <n v="182"/>
    <n v="126"/>
    <n v="0.64716636197440591"/>
    <n v="0"/>
    <n v="0"/>
    <n v="0"/>
    <n v="0"/>
    <n v="1"/>
    <n v="0"/>
    <n v="0"/>
    <n v="0"/>
    <n v="0"/>
    <x v="1"/>
    <s v="Village"/>
    <x v="2"/>
    <s v="Muslim"/>
    <n v="20.727589999999999"/>
    <n v="92.969350000000006"/>
    <s v="MMR012CMP028"/>
    <x v="0"/>
    <m/>
  </r>
  <r>
    <x v="1"/>
    <x v="10"/>
    <x v="10"/>
    <s v="MHF"/>
    <x v="0"/>
    <x v="7"/>
    <x v="0"/>
    <x v="155"/>
    <n v="82"/>
    <n v="396"/>
    <d v="2018-10-01T00:00:00"/>
    <d v="2019-09-30T00:00:00"/>
    <n v="60"/>
    <n v="31"/>
    <m/>
    <m/>
    <m/>
    <n v="1"/>
    <m/>
    <m/>
    <n v="4"/>
    <x v="2"/>
    <n v="2"/>
    <n v="4"/>
    <m/>
    <m/>
    <m/>
    <m/>
    <m/>
    <n v="25"/>
    <m/>
    <m/>
    <m/>
    <m/>
    <m/>
    <m/>
    <m/>
    <m/>
    <m/>
    <m/>
    <m/>
    <n v="0"/>
    <n v="0"/>
    <n v="2.5252525252525255E-3"/>
    <n v="1"/>
    <n v="2.5252525252525255E-3"/>
    <n v="1"/>
    <n v="4.0000000000000001E-3"/>
    <n v="0.99747474747474751"/>
    <n v="395"/>
    <n v="1.996"/>
    <n v="2"/>
    <n v="0.31313131313131315"/>
    <n v="124"/>
    <n v="100"/>
    <n v="66"/>
    <n v="62"/>
    <n v="0.68686868686868685"/>
    <n v="25"/>
    <n v="0"/>
    <n v="25"/>
    <n v="6.3131313131313135E-2"/>
    <n v="0.93686868686868685"/>
    <n v="6.3131313131313135E-2"/>
    <n v="0"/>
    <n v="0"/>
    <n v="0"/>
    <x v="1"/>
    <s v="Village"/>
    <x v="0"/>
    <n v="0"/>
    <n v="20.932960510000001"/>
    <n v="92.930267330000007"/>
    <n v="196755"/>
    <x v="0"/>
    <m/>
  </r>
  <r>
    <x v="1"/>
    <x v="10"/>
    <x v="10"/>
    <s v="MHF"/>
    <x v="0"/>
    <x v="7"/>
    <x v="0"/>
    <x v="156"/>
    <n v="71"/>
    <n v="287"/>
    <d v="2018-10-01T00:00:00"/>
    <d v="2019-09-30T00:00:00"/>
    <n v="53"/>
    <n v="31"/>
    <m/>
    <m/>
    <n v="1"/>
    <m/>
    <m/>
    <m/>
    <n v="54"/>
    <x v="2"/>
    <n v="1"/>
    <n v="6"/>
    <m/>
    <m/>
    <m/>
    <m/>
    <m/>
    <n v="27"/>
    <m/>
    <m/>
    <m/>
    <m/>
    <m/>
    <m/>
    <m/>
    <m/>
    <m/>
    <m/>
    <m/>
    <n v="0"/>
    <n v="0"/>
    <n v="1"/>
    <n v="287"/>
    <n v="1"/>
    <n v="287"/>
    <n v="1.1479999999999999"/>
    <n v="0"/>
    <n v="0"/>
    <n v="0"/>
    <n v="1"/>
    <n v="1"/>
    <n v="287"/>
    <n v="50"/>
    <n v="48"/>
    <n v="0"/>
    <n v="0"/>
    <n v="27"/>
    <n v="0"/>
    <n v="27"/>
    <n v="9.4076655052264813E-2"/>
    <n v="0.90592334494773519"/>
    <n v="9.4076655052264813E-2"/>
    <n v="0"/>
    <n v="0"/>
    <n v="0"/>
    <x v="1"/>
    <s v="Village"/>
    <x v="0"/>
    <n v="0"/>
    <n v="0"/>
    <n v="0"/>
    <n v="220647"/>
    <x v="0"/>
    <m/>
  </r>
  <r>
    <x v="1"/>
    <x v="10"/>
    <x v="10"/>
    <s v="MHF"/>
    <x v="0"/>
    <x v="7"/>
    <x v="0"/>
    <x v="157"/>
    <n v="286"/>
    <n v="1436"/>
    <d v="2018-10-01T00:00:00"/>
    <d v="2019-09-30T00:00:00"/>
    <n v="260"/>
    <n v="31"/>
    <m/>
    <m/>
    <n v="2"/>
    <m/>
    <m/>
    <m/>
    <n v="59"/>
    <x v="2"/>
    <n v="2"/>
    <n v="10"/>
    <m/>
    <m/>
    <m/>
    <m/>
    <m/>
    <n v="25"/>
    <m/>
    <m/>
    <m/>
    <m/>
    <m/>
    <m/>
    <m/>
    <m/>
    <m/>
    <m/>
    <m/>
    <n v="0"/>
    <n v="0"/>
    <n v="1"/>
    <n v="1436"/>
    <n v="1"/>
    <n v="1436"/>
    <n v="5.7439999999999998"/>
    <n v="0"/>
    <n v="0"/>
    <n v="0.25600000000000023"/>
    <n v="6"/>
    <n v="0.31615598885793872"/>
    <n v="454"/>
    <n v="100"/>
    <n v="239"/>
    <n v="180"/>
    <n v="0.68384401114206128"/>
    <n v="25"/>
    <n v="0"/>
    <n v="25"/>
    <n v="1.7409470752089137E-2"/>
    <n v="0.9825905292479109"/>
    <n v="1.7409470752089137E-2"/>
    <n v="0"/>
    <n v="0"/>
    <n v="0"/>
    <x v="1"/>
    <s v="Village"/>
    <x v="0"/>
    <n v="0"/>
    <n v="20.785549159999999"/>
    <n v="92.971076969999999"/>
    <n v="196889"/>
    <x v="0"/>
    <m/>
  </r>
  <r>
    <x v="1"/>
    <x v="11"/>
    <x v="11"/>
    <m/>
    <x v="0"/>
    <x v="7"/>
    <x v="0"/>
    <x v="158"/>
    <n v="92"/>
    <n v="559"/>
    <m/>
    <m/>
    <m/>
    <m/>
    <m/>
    <m/>
    <m/>
    <m/>
    <m/>
    <m/>
    <m/>
    <x v="0"/>
    <m/>
    <m/>
    <m/>
    <m/>
    <m/>
    <m/>
    <m/>
    <m/>
    <m/>
    <m/>
    <m/>
    <m/>
    <m/>
    <m/>
    <m/>
    <m/>
    <m/>
    <m/>
    <m/>
    <n v="0"/>
    <n v="0"/>
    <n v="0"/>
    <n v="0"/>
    <n v="0"/>
    <n v="0"/>
    <n v="0"/>
    <n v="1"/>
    <n v="559"/>
    <n v="2"/>
    <n v="2"/>
    <n v="0"/>
    <n v="0"/>
    <n v="0"/>
    <n v="93"/>
    <n v="93"/>
    <n v="1"/>
    <n v="0"/>
    <n v="0"/>
    <n v="0"/>
    <n v="0"/>
    <n v="1"/>
    <n v="0"/>
    <n v="0"/>
    <n v="0"/>
    <n v="0"/>
    <x v="0"/>
    <s v="Village"/>
    <x v="2"/>
    <s v="Rakhine"/>
    <n v="20.720213000000001"/>
    <n v="92.961841000000007"/>
    <s v="MMR012CMP024"/>
    <x v="1"/>
    <m/>
  </r>
  <r>
    <x v="1"/>
    <x v="11"/>
    <x v="11"/>
    <m/>
    <x v="0"/>
    <x v="7"/>
    <x v="0"/>
    <x v="159"/>
    <n v="116"/>
    <n v="802"/>
    <m/>
    <m/>
    <m/>
    <m/>
    <m/>
    <m/>
    <m/>
    <m/>
    <m/>
    <m/>
    <m/>
    <x v="0"/>
    <m/>
    <m/>
    <m/>
    <m/>
    <m/>
    <m/>
    <m/>
    <m/>
    <m/>
    <m/>
    <m/>
    <m/>
    <m/>
    <m/>
    <m/>
    <m/>
    <m/>
    <m/>
    <m/>
    <n v="0"/>
    <n v="0"/>
    <n v="0"/>
    <n v="0"/>
    <n v="0"/>
    <n v="0"/>
    <n v="0"/>
    <n v="1"/>
    <n v="802"/>
    <n v="3"/>
    <n v="3"/>
    <n v="0"/>
    <n v="0"/>
    <n v="0"/>
    <n v="134"/>
    <n v="134"/>
    <n v="1"/>
    <n v="0"/>
    <n v="0"/>
    <n v="0"/>
    <n v="0"/>
    <n v="1"/>
    <n v="0"/>
    <n v="0"/>
    <n v="0"/>
    <n v="0"/>
    <x v="0"/>
    <s v="Village"/>
    <x v="2"/>
    <s v="Muslim"/>
    <n v="20.713259999999998"/>
    <n v="93.014089999999996"/>
    <s v="MMR012CMP027"/>
    <x v="1"/>
    <m/>
  </r>
  <r>
    <x v="1"/>
    <x v="11"/>
    <x v="11"/>
    <m/>
    <x v="0"/>
    <x v="7"/>
    <x v="0"/>
    <x v="160"/>
    <n v="97"/>
    <n v="557"/>
    <m/>
    <m/>
    <m/>
    <m/>
    <m/>
    <m/>
    <m/>
    <m/>
    <m/>
    <m/>
    <m/>
    <x v="0"/>
    <m/>
    <m/>
    <m/>
    <m/>
    <m/>
    <m/>
    <m/>
    <m/>
    <m/>
    <m/>
    <m/>
    <m/>
    <m/>
    <m/>
    <m/>
    <m/>
    <m/>
    <m/>
    <m/>
    <n v="0"/>
    <n v="0"/>
    <n v="0"/>
    <n v="0"/>
    <n v="0"/>
    <n v="0"/>
    <n v="0"/>
    <n v="1"/>
    <n v="557"/>
    <n v="2"/>
    <n v="2"/>
    <n v="0"/>
    <n v="0"/>
    <n v="0"/>
    <n v="93"/>
    <n v="93"/>
    <n v="1"/>
    <n v="0"/>
    <n v="0"/>
    <n v="0"/>
    <n v="0"/>
    <n v="1"/>
    <n v="0"/>
    <n v="0"/>
    <n v="0"/>
    <n v="0"/>
    <x v="0"/>
    <s v="Village"/>
    <x v="1"/>
    <s v="Muslim"/>
    <n v="20.886997999999998"/>
    <n v="93.006497999999993"/>
    <s v="MMR012CMP030"/>
    <x v="1"/>
    <m/>
  </r>
  <r>
    <x v="1"/>
    <x v="11"/>
    <x v="11"/>
    <m/>
    <x v="0"/>
    <x v="7"/>
    <x v="0"/>
    <x v="161"/>
    <n v="18"/>
    <n v="157"/>
    <m/>
    <m/>
    <m/>
    <m/>
    <m/>
    <m/>
    <m/>
    <m/>
    <m/>
    <m/>
    <m/>
    <x v="0"/>
    <m/>
    <m/>
    <m/>
    <m/>
    <m/>
    <m/>
    <m/>
    <m/>
    <m/>
    <m/>
    <m/>
    <m/>
    <m/>
    <m/>
    <m/>
    <m/>
    <m/>
    <m/>
    <m/>
    <n v="0"/>
    <n v="0"/>
    <n v="0"/>
    <n v="0"/>
    <n v="0"/>
    <n v="0"/>
    <n v="0"/>
    <n v="1"/>
    <n v="157"/>
    <n v="1"/>
    <n v="1"/>
    <n v="0"/>
    <n v="0"/>
    <n v="0"/>
    <n v="26"/>
    <n v="26"/>
    <n v="1"/>
    <n v="0"/>
    <n v="0"/>
    <n v="0"/>
    <n v="0"/>
    <n v="1"/>
    <n v="0"/>
    <n v="0"/>
    <n v="0"/>
    <n v="0"/>
    <x v="0"/>
    <s v="Village"/>
    <x v="2"/>
    <s v="Muslim"/>
    <n v="20.805734000000001"/>
    <n v="92.982675999999998"/>
    <s v="MMR012CMP020"/>
    <x v="1"/>
    <m/>
  </r>
  <r>
    <x v="1"/>
    <x v="11"/>
    <x v="11"/>
    <m/>
    <x v="0"/>
    <x v="7"/>
    <x v="0"/>
    <x v="162"/>
    <n v="144"/>
    <n v="1006"/>
    <m/>
    <m/>
    <m/>
    <m/>
    <m/>
    <m/>
    <m/>
    <m/>
    <m/>
    <m/>
    <m/>
    <x v="0"/>
    <m/>
    <m/>
    <m/>
    <m/>
    <m/>
    <m/>
    <m/>
    <m/>
    <m/>
    <m/>
    <m/>
    <m/>
    <m/>
    <m/>
    <m/>
    <m/>
    <m/>
    <m/>
    <m/>
    <n v="0"/>
    <n v="0"/>
    <n v="0"/>
    <n v="0"/>
    <n v="0"/>
    <n v="0"/>
    <n v="0"/>
    <n v="1"/>
    <n v="1006"/>
    <n v="4"/>
    <n v="4"/>
    <n v="0"/>
    <n v="0"/>
    <n v="0"/>
    <n v="168"/>
    <n v="168"/>
    <n v="1"/>
    <n v="0"/>
    <n v="0"/>
    <n v="0"/>
    <n v="0"/>
    <n v="1"/>
    <n v="0"/>
    <n v="0"/>
    <n v="0"/>
    <n v="0"/>
    <x v="0"/>
    <s v="Village"/>
    <x v="2"/>
    <s v="Muslim"/>
    <n v="20.78332"/>
    <n v="92.987399999999994"/>
    <s v="MMR012CMP029"/>
    <x v="1"/>
    <m/>
  </r>
  <r>
    <x v="1"/>
    <x v="12"/>
    <x v="12"/>
    <s v="German (AA/BMZ)"/>
    <x v="1"/>
    <x v="2"/>
    <x v="0"/>
    <x v="163"/>
    <n v="210"/>
    <n v="694"/>
    <d v="2020-10-30T00:00:00"/>
    <m/>
    <m/>
    <m/>
    <m/>
    <m/>
    <m/>
    <m/>
    <m/>
    <m/>
    <m/>
    <x v="0"/>
    <m/>
    <m/>
    <m/>
    <m/>
    <m/>
    <m/>
    <m/>
    <m/>
    <m/>
    <m/>
    <m/>
    <m/>
    <m/>
    <m/>
    <m/>
    <m/>
    <m/>
    <m/>
    <m/>
    <n v="0"/>
    <n v="0"/>
    <n v="0"/>
    <n v="0"/>
    <n v="0"/>
    <n v="0"/>
    <n v="0"/>
    <n v="1"/>
    <n v="694"/>
    <n v="3"/>
    <n v="3"/>
    <n v="0"/>
    <n v="0"/>
    <n v="0"/>
    <n v="116"/>
    <n v="116"/>
    <n v="1"/>
    <n v="0"/>
    <n v="0"/>
    <n v="0"/>
    <n v="0"/>
    <n v="1"/>
    <n v="0"/>
    <n v="0"/>
    <n v="0"/>
    <n v="0"/>
    <x v="0"/>
    <s v="Village"/>
    <x v="0"/>
    <s v="Muslim"/>
    <n v="21.012830730000001"/>
    <n v="92.338958739999995"/>
    <n v="197878"/>
    <x v="0"/>
    <m/>
  </r>
  <r>
    <x v="1"/>
    <x v="12"/>
    <x v="12"/>
    <s v="German (AA/BMZ)"/>
    <x v="1"/>
    <x v="2"/>
    <x v="0"/>
    <x v="164"/>
    <n v="87"/>
    <n v="412"/>
    <d v="2020-10-30T00:00:00"/>
    <m/>
    <m/>
    <m/>
    <m/>
    <m/>
    <m/>
    <m/>
    <m/>
    <m/>
    <m/>
    <x v="0"/>
    <m/>
    <m/>
    <m/>
    <m/>
    <m/>
    <m/>
    <m/>
    <m/>
    <m/>
    <m/>
    <m/>
    <m/>
    <m/>
    <m/>
    <m/>
    <m/>
    <m/>
    <m/>
    <m/>
    <n v="0"/>
    <n v="0"/>
    <n v="0"/>
    <n v="0"/>
    <n v="0"/>
    <n v="0"/>
    <n v="0"/>
    <n v="1"/>
    <n v="412"/>
    <n v="2"/>
    <n v="2"/>
    <n v="0"/>
    <n v="0"/>
    <n v="0"/>
    <n v="69"/>
    <n v="69"/>
    <n v="1"/>
    <n v="0"/>
    <n v="0"/>
    <n v="0"/>
    <n v="0"/>
    <n v="1"/>
    <n v="0"/>
    <n v="0"/>
    <n v="0"/>
    <n v="0"/>
    <x v="0"/>
    <s v="Village"/>
    <x v="0"/>
    <s v="Rakhine"/>
    <n v="21.218200679999999"/>
    <n v="92.323173519999997"/>
    <n v="197830"/>
    <x v="0"/>
    <m/>
  </r>
  <r>
    <x v="1"/>
    <x v="12"/>
    <x v="12"/>
    <s v="German (AA/BMZ)"/>
    <x v="1"/>
    <x v="2"/>
    <x v="0"/>
    <x v="165"/>
    <n v="34"/>
    <n v="163"/>
    <d v="2020-10-30T00:00:00"/>
    <m/>
    <m/>
    <m/>
    <m/>
    <m/>
    <m/>
    <m/>
    <m/>
    <m/>
    <m/>
    <x v="0"/>
    <m/>
    <m/>
    <m/>
    <m/>
    <m/>
    <m/>
    <m/>
    <m/>
    <m/>
    <m/>
    <m/>
    <m/>
    <m/>
    <m/>
    <m/>
    <m/>
    <m/>
    <m/>
    <m/>
    <n v="0"/>
    <n v="0"/>
    <n v="0"/>
    <n v="0"/>
    <n v="0"/>
    <n v="0"/>
    <n v="0"/>
    <n v="1"/>
    <n v="163"/>
    <n v="1"/>
    <n v="1"/>
    <n v="0"/>
    <n v="0"/>
    <n v="0"/>
    <n v="27"/>
    <n v="27"/>
    <n v="1"/>
    <n v="0"/>
    <n v="0"/>
    <n v="0"/>
    <n v="0"/>
    <n v="1"/>
    <n v="0"/>
    <n v="0"/>
    <n v="0"/>
    <n v="0"/>
    <x v="0"/>
    <s v="Village"/>
    <x v="0"/>
    <s v="Rakhine"/>
    <n v="21.153581620000001"/>
    <n v="92.250885010000005"/>
    <n v="220747"/>
    <x v="0"/>
    <m/>
  </r>
  <r>
    <x v="1"/>
    <x v="12"/>
    <x v="12"/>
    <s v="German (AA/BMZ)"/>
    <x v="1"/>
    <x v="2"/>
    <x v="0"/>
    <x v="166"/>
    <n v="144"/>
    <n v="742"/>
    <d v="2020-10-30T00:00:00"/>
    <m/>
    <m/>
    <m/>
    <m/>
    <m/>
    <m/>
    <m/>
    <m/>
    <m/>
    <m/>
    <x v="0"/>
    <m/>
    <m/>
    <m/>
    <m/>
    <m/>
    <m/>
    <m/>
    <m/>
    <m/>
    <m/>
    <m/>
    <m/>
    <m/>
    <m/>
    <m/>
    <m/>
    <m/>
    <m/>
    <m/>
    <n v="0"/>
    <n v="0"/>
    <n v="0"/>
    <n v="0"/>
    <n v="0"/>
    <n v="0"/>
    <n v="0"/>
    <n v="1"/>
    <n v="742"/>
    <n v="3"/>
    <n v="3"/>
    <n v="0"/>
    <n v="0"/>
    <n v="0"/>
    <n v="124"/>
    <n v="124"/>
    <n v="1"/>
    <n v="0"/>
    <n v="0"/>
    <n v="0"/>
    <n v="0"/>
    <n v="1"/>
    <n v="0"/>
    <n v="0"/>
    <n v="0"/>
    <n v="0"/>
    <x v="0"/>
    <s v="Village"/>
    <x v="0"/>
    <s v="Rakhine"/>
    <n v="21.177719119999999"/>
    <n v="92.239547729999998"/>
    <n v="198101"/>
    <x v="0"/>
    <m/>
  </r>
  <r>
    <x v="1"/>
    <x v="11"/>
    <x v="11"/>
    <m/>
    <x v="0"/>
    <x v="5"/>
    <x v="0"/>
    <x v="167"/>
    <n v="280"/>
    <n v="1423"/>
    <m/>
    <m/>
    <m/>
    <m/>
    <m/>
    <m/>
    <m/>
    <m/>
    <m/>
    <m/>
    <m/>
    <x v="0"/>
    <m/>
    <m/>
    <m/>
    <m/>
    <m/>
    <m/>
    <m/>
    <m/>
    <m/>
    <m/>
    <m/>
    <m/>
    <m/>
    <m/>
    <m/>
    <m/>
    <m/>
    <m/>
    <m/>
    <n v="0"/>
    <n v="0"/>
    <n v="0"/>
    <n v="0"/>
    <n v="0"/>
    <n v="0"/>
    <n v="0"/>
    <n v="1"/>
    <n v="1423"/>
    <n v="6"/>
    <n v="6"/>
    <n v="0"/>
    <n v="0"/>
    <n v="0"/>
    <n v="237"/>
    <n v="237"/>
    <n v="1"/>
    <n v="0"/>
    <n v="0"/>
    <n v="0"/>
    <n v="0"/>
    <n v="1"/>
    <n v="0"/>
    <n v="0"/>
    <n v="0"/>
    <n v="0"/>
    <x v="0"/>
    <s v="Village"/>
    <x v="2"/>
    <s v="Muslim"/>
    <n v="20.392137999999999"/>
    <n v="93.257272"/>
    <s v="MMR012CMP002"/>
    <x v="1"/>
    <m/>
  </r>
  <r>
    <x v="1"/>
    <x v="11"/>
    <x v="11"/>
    <m/>
    <x v="1"/>
    <x v="8"/>
    <x v="0"/>
    <x v="168"/>
    <n v="425"/>
    <n v="2552"/>
    <m/>
    <m/>
    <m/>
    <m/>
    <m/>
    <m/>
    <m/>
    <m/>
    <m/>
    <m/>
    <m/>
    <x v="0"/>
    <m/>
    <m/>
    <m/>
    <m/>
    <m/>
    <m/>
    <m/>
    <m/>
    <m/>
    <m/>
    <m/>
    <m/>
    <m/>
    <m/>
    <m/>
    <m/>
    <m/>
    <m/>
    <m/>
    <n v="0"/>
    <n v="0"/>
    <n v="0"/>
    <n v="0"/>
    <n v="0"/>
    <n v="0"/>
    <n v="0"/>
    <n v="1"/>
    <n v="2552"/>
    <n v="10"/>
    <n v="10"/>
    <n v="0"/>
    <n v="0"/>
    <n v="0"/>
    <n v="425"/>
    <n v="425"/>
    <n v="1"/>
    <n v="0"/>
    <n v="0"/>
    <n v="0"/>
    <n v="0"/>
    <n v="1"/>
    <n v="0"/>
    <n v="0"/>
    <n v="0"/>
    <n v="0"/>
    <x v="0"/>
    <s v="Village"/>
    <x v="2"/>
    <s v="Muslim"/>
    <n v="20.399269"/>
    <n v="92.781294000000003"/>
    <s v="MMR012CMP032"/>
    <x v="1"/>
    <m/>
  </r>
  <r>
    <x v="1"/>
    <x v="11"/>
    <x v="11"/>
    <m/>
    <x v="1"/>
    <x v="8"/>
    <x v="0"/>
    <x v="169"/>
    <n v="292"/>
    <n v="1751"/>
    <m/>
    <m/>
    <m/>
    <m/>
    <m/>
    <m/>
    <m/>
    <m/>
    <m/>
    <m/>
    <m/>
    <x v="0"/>
    <m/>
    <m/>
    <m/>
    <m/>
    <m/>
    <m/>
    <m/>
    <m/>
    <m/>
    <m/>
    <m/>
    <m/>
    <m/>
    <m/>
    <m/>
    <m/>
    <m/>
    <m/>
    <m/>
    <n v="0"/>
    <n v="0"/>
    <n v="0"/>
    <n v="0"/>
    <n v="0"/>
    <n v="0"/>
    <n v="0"/>
    <n v="1"/>
    <n v="1751"/>
    <n v="7"/>
    <n v="7"/>
    <n v="0"/>
    <n v="0"/>
    <n v="0"/>
    <n v="292"/>
    <n v="292"/>
    <n v="1"/>
    <n v="0"/>
    <n v="0"/>
    <n v="0"/>
    <n v="0"/>
    <n v="1"/>
    <n v="0"/>
    <n v="0"/>
    <n v="0"/>
    <n v="0"/>
    <x v="0"/>
    <s v="Village"/>
    <x v="2"/>
    <s v="Muslim"/>
    <n v="20.335864000000001"/>
    <n v="92.785706000000005"/>
    <s v="MMR012CMP031"/>
    <x v="1"/>
    <m/>
  </r>
  <r>
    <x v="1"/>
    <x v="10"/>
    <x v="10"/>
    <s v="MHF"/>
    <x v="0"/>
    <x v="7"/>
    <x v="0"/>
    <x v="215"/>
    <n v="26"/>
    <n v="89"/>
    <d v="2019-08-01T00:00:00"/>
    <d v="2019-09-30T00:00:00"/>
    <n v="17"/>
    <n v="31"/>
    <m/>
    <m/>
    <n v="1"/>
    <m/>
    <m/>
    <m/>
    <n v="10"/>
    <x v="2"/>
    <n v="2"/>
    <n v="5"/>
    <m/>
    <m/>
    <m/>
    <m/>
    <m/>
    <m/>
    <m/>
    <m/>
    <m/>
    <m/>
    <m/>
    <m/>
    <m/>
    <m/>
    <m/>
    <m/>
    <m/>
    <n v="0"/>
    <n v="0"/>
    <n v="1"/>
    <n v="89"/>
    <n v="1"/>
    <n v="89"/>
    <n v="0.35599999999999998"/>
    <n v="0"/>
    <n v="0"/>
    <n v="0.64400000000000002"/>
    <n v="1"/>
    <n v="1"/>
    <n v="89"/>
    <n v="100"/>
    <n v="15"/>
    <n v="5"/>
    <n v="0"/>
    <n v="0"/>
    <n v="0"/>
    <n v="0"/>
    <n v="0"/>
    <n v="1"/>
    <n v="0"/>
    <n v="0"/>
    <n v="0"/>
    <n v="0"/>
    <x v="1"/>
    <s v="Village"/>
    <x v="0"/>
    <n v="0"/>
    <n v="0"/>
    <n v="0"/>
    <n v="0"/>
    <x v="0"/>
    <m/>
  </r>
  <r>
    <x v="1"/>
    <x v="10"/>
    <x v="10"/>
    <s v="MHF"/>
    <x v="0"/>
    <x v="7"/>
    <x v="0"/>
    <x v="216"/>
    <n v="148"/>
    <n v="759"/>
    <d v="2019-08-01T00:00:00"/>
    <d v="2019-09-30T00:00:00"/>
    <n v="84"/>
    <n v="31"/>
    <m/>
    <m/>
    <n v="2"/>
    <m/>
    <m/>
    <m/>
    <n v="40"/>
    <x v="2"/>
    <n v="2"/>
    <n v="4"/>
    <m/>
    <m/>
    <m/>
    <m/>
    <m/>
    <m/>
    <m/>
    <m/>
    <m/>
    <m/>
    <m/>
    <m/>
    <m/>
    <m/>
    <m/>
    <m/>
    <m/>
    <n v="0"/>
    <n v="0"/>
    <n v="1"/>
    <n v="759"/>
    <n v="1"/>
    <n v="759"/>
    <n v="3.036"/>
    <n v="0"/>
    <n v="0"/>
    <n v="0"/>
    <n v="3"/>
    <n v="0.44795783926218707"/>
    <n v="340"/>
    <n v="100"/>
    <n v="127"/>
    <n v="87"/>
    <n v="0.55204216073781298"/>
    <n v="0"/>
    <n v="0"/>
    <n v="0"/>
    <n v="0"/>
    <n v="1"/>
    <n v="0"/>
    <n v="0"/>
    <n v="0"/>
    <n v="0"/>
    <x v="1"/>
    <s v="Village"/>
    <x v="0"/>
    <n v="0"/>
    <n v="0"/>
    <n v="0"/>
    <n v="0"/>
    <x v="0"/>
    <m/>
  </r>
  <r>
    <x v="1"/>
    <x v="10"/>
    <x v="10"/>
    <s v="MHF"/>
    <x v="0"/>
    <x v="7"/>
    <x v="0"/>
    <x v="217"/>
    <n v="53"/>
    <n v="242"/>
    <d v="2019-08-01T00:00:00"/>
    <d v="2019-09-30T00:00:00"/>
    <n v="37"/>
    <n v="31"/>
    <m/>
    <m/>
    <n v="1"/>
    <m/>
    <m/>
    <m/>
    <n v="7"/>
    <x v="2"/>
    <n v="2"/>
    <n v="2"/>
    <m/>
    <m/>
    <m/>
    <m/>
    <m/>
    <m/>
    <m/>
    <m/>
    <m/>
    <m/>
    <m/>
    <m/>
    <m/>
    <m/>
    <m/>
    <m/>
    <m/>
    <n v="0"/>
    <n v="0"/>
    <n v="1"/>
    <n v="242"/>
    <n v="1"/>
    <n v="242"/>
    <n v="0.96799999999999997"/>
    <n v="0"/>
    <n v="0"/>
    <n v="3.2000000000000028E-2"/>
    <n v="1"/>
    <n v="0.58677685950413228"/>
    <n v="142"/>
    <n v="100"/>
    <n v="40"/>
    <n v="33"/>
    <n v="0.41322314049586772"/>
    <n v="0"/>
    <n v="0"/>
    <n v="0"/>
    <n v="0"/>
    <n v="1"/>
    <n v="0"/>
    <n v="0"/>
    <n v="0"/>
    <n v="0"/>
    <x v="1"/>
    <s v="Village"/>
    <x v="0"/>
    <n v="0"/>
    <n v="20.7489204406738"/>
    <n v="92.958816528320298"/>
    <n v="196894"/>
    <x v="0"/>
    <m/>
  </r>
  <r>
    <x v="1"/>
    <x v="10"/>
    <x v="10"/>
    <s v="GIZ"/>
    <x v="0"/>
    <x v="7"/>
    <x v="0"/>
    <x v="194"/>
    <n v="45"/>
    <n v="206"/>
    <d v="2019-08-01T00:00:00"/>
    <d v="2020-07-31T00:00:00"/>
    <n v="22"/>
    <n v="31"/>
    <m/>
    <m/>
    <n v="1"/>
    <m/>
    <m/>
    <m/>
    <n v="6"/>
    <x v="2"/>
    <n v="2"/>
    <n v="3"/>
    <m/>
    <m/>
    <m/>
    <m/>
    <n v="8"/>
    <n v="12"/>
    <m/>
    <m/>
    <m/>
    <m/>
    <m/>
    <m/>
    <m/>
    <m/>
    <m/>
    <m/>
    <m/>
    <n v="0"/>
    <n v="0"/>
    <n v="1"/>
    <n v="206"/>
    <n v="1"/>
    <n v="206"/>
    <n v="0.82399999999999995"/>
    <n v="0"/>
    <n v="0"/>
    <n v="0.17600000000000005"/>
    <n v="1"/>
    <n v="0.66019417475728159"/>
    <n v="136"/>
    <n v="100"/>
    <n v="34"/>
    <n v="28"/>
    <n v="0.33980582524271841"/>
    <n v="20"/>
    <n v="0"/>
    <n v="20"/>
    <n v="9.7087378640776698E-2"/>
    <n v="0.90291262135922334"/>
    <n v="9.7087378640776698E-2"/>
    <n v="0"/>
    <n v="0"/>
    <n v="0"/>
    <x v="1"/>
    <s v="Village"/>
    <x v="0"/>
    <s v="Rakhine"/>
    <n v="20.879186630248999"/>
    <n v="92.938163757324205"/>
    <n v="196821"/>
    <x v="0"/>
    <m/>
  </r>
  <r>
    <x v="1"/>
    <x v="10"/>
    <x v="10"/>
    <s v="MHF"/>
    <x v="0"/>
    <x v="7"/>
    <x v="0"/>
    <x v="218"/>
    <n v="100"/>
    <n v="419"/>
    <d v="2019-08-01T00:00:00"/>
    <d v="2019-09-30T00:00:00"/>
    <n v="70"/>
    <n v="31"/>
    <m/>
    <m/>
    <n v="1"/>
    <m/>
    <m/>
    <m/>
    <n v="97"/>
    <x v="2"/>
    <n v="2"/>
    <n v="7"/>
    <m/>
    <m/>
    <m/>
    <m/>
    <m/>
    <m/>
    <m/>
    <m/>
    <m/>
    <m/>
    <m/>
    <m/>
    <m/>
    <m/>
    <m/>
    <m/>
    <m/>
    <n v="0"/>
    <n v="0"/>
    <n v="1"/>
    <n v="419"/>
    <n v="1"/>
    <n v="419"/>
    <n v="1.6759999999999999"/>
    <n v="0"/>
    <n v="0"/>
    <n v="0.32400000000000007"/>
    <n v="2"/>
    <n v="1"/>
    <n v="419"/>
    <n v="100"/>
    <n v="70"/>
    <n v="0"/>
    <n v="0"/>
    <n v="0"/>
    <n v="0"/>
    <n v="0"/>
    <n v="0"/>
    <n v="1"/>
    <n v="0"/>
    <n v="0"/>
    <n v="0"/>
    <n v="0"/>
    <x v="1"/>
    <s v="Village"/>
    <x v="0"/>
    <n v="0"/>
    <n v="20.728960037231399"/>
    <n v="92.936019897460895"/>
    <n v="196949"/>
    <x v="0"/>
    <m/>
  </r>
  <r>
    <x v="1"/>
    <x v="10"/>
    <x v="10"/>
    <s v="MHF"/>
    <x v="0"/>
    <x v="7"/>
    <x v="0"/>
    <x v="219"/>
    <n v="205"/>
    <n v="793"/>
    <d v="2019-08-01T00:00:00"/>
    <d v="2019-09-30T00:00:00"/>
    <n v="100"/>
    <n v="31"/>
    <m/>
    <m/>
    <n v="2"/>
    <m/>
    <m/>
    <m/>
    <n v="156"/>
    <x v="2"/>
    <n v="2"/>
    <n v="5"/>
    <m/>
    <m/>
    <m/>
    <m/>
    <m/>
    <m/>
    <m/>
    <m/>
    <m/>
    <m/>
    <m/>
    <m/>
    <m/>
    <m/>
    <m/>
    <m/>
    <m/>
    <n v="0"/>
    <n v="0"/>
    <n v="1"/>
    <n v="793"/>
    <n v="1"/>
    <n v="793"/>
    <n v="3.1720000000000002"/>
    <n v="0"/>
    <n v="0"/>
    <n v="0"/>
    <n v="3"/>
    <n v="1"/>
    <n v="793"/>
    <n v="100"/>
    <n v="132"/>
    <n v="0"/>
    <n v="0"/>
    <n v="0"/>
    <n v="0"/>
    <n v="0"/>
    <n v="0"/>
    <n v="1"/>
    <n v="0"/>
    <n v="0"/>
    <n v="0"/>
    <n v="0"/>
    <x v="1"/>
    <s v="Village"/>
    <x v="0"/>
    <n v="0"/>
    <n v="0"/>
    <n v="0"/>
    <n v="196948"/>
    <x v="0"/>
    <m/>
  </r>
  <r>
    <x v="1"/>
    <x v="10"/>
    <x v="10"/>
    <s v="GIZ"/>
    <x v="0"/>
    <x v="7"/>
    <x v="0"/>
    <x v="197"/>
    <n v="170"/>
    <n v="825"/>
    <d v="2019-08-01T00:00:00"/>
    <d v="2020-07-31T00:00:00"/>
    <n v="246"/>
    <n v="31"/>
    <m/>
    <m/>
    <n v="2"/>
    <m/>
    <m/>
    <m/>
    <n v="59"/>
    <x v="2"/>
    <n v="2"/>
    <n v="5"/>
    <m/>
    <m/>
    <m/>
    <m/>
    <n v="2"/>
    <n v="18"/>
    <m/>
    <m/>
    <m/>
    <m/>
    <m/>
    <m/>
    <m/>
    <m/>
    <m/>
    <m/>
    <m/>
    <n v="0"/>
    <n v="0"/>
    <n v="1"/>
    <n v="825"/>
    <n v="1"/>
    <n v="825"/>
    <n v="3.3"/>
    <n v="0"/>
    <n v="0"/>
    <n v="0"/>
    <n v="3"/>
    <n v="0.55030303030303029"/>
    <n v="454"/>
    <n v="100"/>
    <n v="138"/>
    <n v="79"/>
    <n v="0.44969696969696971"/>
    <n v="20"/>
    <n v="0"/>
    <n v="20"/>
    <n v="2.4242424242424242E-2"/>
    <n v="0.97575757575757571"/>
    <n v="2.4242424242424242E-2"/>
    <n v="0"/>
    <n v="0"/>
    <n v="0"/>
    <x v="1"/>
    <s v="Village"/>
    <x v="0"/>
    <s v="Rakhine"/>
    <n v="20.894269940000001"/>
    <n v="92.920730590000005"/>
    <n v="196814"/>
    <x v="0"/>
    <m/>
  </r>
  <r>
    <x v="1"/>
    <x v="10"/>
    <x v="10"/>
    <s v="GIZ"/>
    <x v="0"/>
    <x v="7"/>
    <x v="0"/>
    <x v="198"/>
    <n v="144"/>
    <n v="792"/>
    <d v="2019-08-01T00:00:00"/>
    <d v="2020-07-31T00:00:00"/>
    <n v="88"/>
    <n v="31"/>
    <m/>
    <m/>
    <n v="1"/>
    <m/>
    <m/>
    <m/>
    <n v="35"/>
    <x v="2"/>
    <n v="2"/>
    <n v="4"/>
    <m/>
    <m/>
    <m/>
    <m/>
    <n v="6"/>
    <n v="14"/>
    <m/>
    <m/>
    <m/>
    <m/>
    <m/>
    <m/>
    <m/>
    <m/>
    <m/>
    <m/>
    <m/>
    <n v="0"/>
    <n v="0"/>
    <n v="1"/>
    <n v="792"/>
    <n v="1"/>
    <n v="792"/>
    <n v="3.1680000000000001"/>
    <n v="0"/>
    <n v="0"/>
    <n v="0"/>
    <n v="3"/>
    <n v="0.39141414141414144"/>
    <n v="310"/>
    <n v="100"/>
    <n v="132"/>
    <n v="97"/>
    <n v="0.60858585858585856"/>
    <n v="20"/>
    <n v="0"/>
    <n v="20"/>
    <n v="2.5252525252525252E-2"/>
    <n v="0.9747474747474747"/>
    <n v="2.5252525252525252E-2"/>
    <n v="0"/>
    <n v="0"/>
    <n v="0"/>
    <x v="1"/>
    <s v="Village"/>
    <x v="0"/>
    <s v="Dinet"/>
    <n v="0"/>
    <n v="0"/>
    <n v="196815"/>
    <x v="0"/>
    <m/>
  </r>
  <r>
    <x v="1"/>
    <x v="10"/>
    <x v="10"/>
    <s v="GIZ"/>
    <x v="0"/>
    <x v="7"/>
    <x v="0"/>
    <x v="199"/>
    <n v="50"/>
    <n v="207"/>
    <d v="2019-08-01T00:00:00"/>
    <d v="2020-07-31T00:00:00"/>
    <n v="46"/>
    <n v="31"/>
    <m/>
    <m/>
    <n v="2"/>
    <m/>
    <m/>
    <m/>
    <n v="11"/>
    <x v="2"/>
    <n v="2"/>
    <n v="4"/>
    <m/>
    <m/>
    <m/>
    <m/>
    <n v="4"/>
    <n v="16"/>
    <m/>
    <m/>
    <m/>
    <m/>
    <m/>
    <m/>
    <m/>
    <m/>
    <m/>
    <m/>
    <m/>
    <n v="0"/>
    <n v="0"/>
    <n v="1"/>
    <n v="207"/>
    <n v="1"/>
    <n v="207"/>
    <n v="0.82799999999999996"/>
    <n v="0"/>
    <n v="0"/>
    <n v="0.17200000000000004"/>
    <n v="1"/>
    <n v="0.80193236714975846"/>
    <n v="166"/>
    <n v="100"/>
    <n v="35"/>
    <n v="24"/>
    <n v="0.19806763285024154"/>
    <n v="20"/>
    <n v="0"/>
    <n v="20"/>
    <n v="9.6618357487922704E-2"/>
    <n v="0.90338164251207731"/>
    <n v="9.6618357487922704E-2"/>
    <n v="0"/>
    <n v="0"/>
    <n v="0"/>
    <x v="1"/>
    <s v="Village"/>
    <x v="0"/>
    <s v="Mro"/>
    <n v="20.895059589999999"/>
    <n v="92.90735626"/>
    <n v="196807"/>
    <x v="0"/>
    <m/>
  </r>
  <r>
    <x v="1"/>
    <x v="10"/>
    <x v="10"/>
    <s v="GIZ"/>
    <x v="0"/>
    <x v="7"/>
    <x v="0"/>
    <x v="200"/>
    <n v="90"/>
    <n v="375"/>
    <d v="2019-08-01T00:00:00"/>
    <d v="2020-07-31T00:00:00"/>
    <n v="62"/>
    <n v="31"/>
    <m/>
    <m/>
    <n v="2"/>
    <m/>
    <m/>
    <m/>
    <n v="1"/>
    <x v="2"/>
    <m/>
    <n v="1"/>
    <m/>
    <m/>
    <m/>
    <m/>
    <n v="4"/>
    <n v="16"/>
    <m/>
    <m/>
    <m/>
    <m/>
    <m/>
    <m/>
    <m/>
    <m/>
    <m/>
    <m/>
    <m/>
    <n v="0"/>
    <n v="0"/>
    <n v="1"/>
    <n v="375"/>
    <n v="1"/>
    <n v="375"/>
    <n v="1.5"/>
    <n v="0"/>
    <n v="0"/>
    <n v="0.5"/>
    <n v="2"/>
    <n v="1.6E-2"/>
    <n v="6"/>
    <n v="0"/>
    <n v="63"/>
    <n v="62"/>
    <n v="0.98399999999999999"/>
    <n v="20"/>
    <n v="0"/>
    <n v="20"/>
    <n v="5.3333333333333337E-2"/>
    <n v="0.94666666666666666"/>
    <n v="5.3333333333333337E-2"/>
    <n v="0"/>
    <n v="0"/>
    <n v="0"/>
    <x v="1"/>
    <s v="Village"/>
    <x v="0"/>
    <s v="Rakhine"/>
    <n v="20.803710939999998"/>
    <n v="92.946136469999999"/>
    <n v="196886"/>
    <x v="0"/>
    <m/>
  </r>
  <r>
    <x v="1"/>
    <x v="10"/>
    <x v="10"/>
    <s v="GIZ"/>
    <x v="0"/>
    <x v="7"/>
    <x v="0"/>
    <x v="201"/>
    <n v="173"/>
    <n v="867"/>
    <d v="2019-08-01T00:00:00"/>
    <d v="2020-07-31T00:00:00"/>
    <n v="106"/>
    <n v="31"/>
    <m/>
    <m/>
    <n v="2"/>
    <m/>
    <m/>
    <m/>
    <n v="72"/>
    <x v="2"/>
    <n v="2"/>
    <n v="11"/>
    <m/>
    <m/>
    <m/>
    <m/>
    <n v="2"/>
    <n v="18"/>
    <m/>
    <m/>
    <m/>
    <m/>
    <m/>
    <m/>
    <m/>
    <m/>
    <m/>
    <m/>
    <m/>
    <n v="0"/>
    <n v="0"/>
    <n v="1"/>
    <n v="867"/>
    <n v="1"/>
    <n v="867"/>
    <n v="3.468"/>
    <n v="0"/>
    <n v="0"/>
    <n v="0"/>
    <n v="3"/>
    <n v="0.61361014994232987"/>
    <n v="532"/>
    <n v="100"/>
    <n v="145"/>
    <n v="73"/>
    <n v="0.38638985005767013"/>
    <n v="20"/>
    <n v="0"/>
    <n v="20"/>
    <n v="2.306805074971165E-2"/>
    <n v="0.97693194925028837"/>
    <n v="2.306805074971165E-2"/>
    <n v="0"/>
    <n v="0"/>
    <n v="0"/>
    <x v="1"/>
    <s v="Village"/>
    <x v="0"/>
    <n v="0"/>
    <n v="20.80635071"/>
    <n v="92.948310849999999"/>
    <n v="196885"/>
    <x v="0"/>
    <m/>
  </r>
  <r>
    <x v="1"/>
    <x v="10"/>
    <x v="10"/>
    <s v="GIZ"/>
    <x v="0"/>
    <x v="7"/>
    <x v="0"/>
    <x v="202"/>
    <n v="98"/>
    <n v="418"/>
    <d v="2019-08-01T00:00:00"/>
    <d v="2020-07-31T00:00:00"/>
    <n v="56"/>
    <n v="31"/>
    <m/>
    <n v="1"/>
    <m/>
    <m/>
    <m/>
    <m/>
    <n v="70"/>
    <x v="2"/>
    <n v="2"/>
    <n v="3"/>
    <m/>
    <m/>
    <m/>
    <m/>
    <n v="4"/>
    <n v="16"/>
    <m/>
    <m/>
    <m/>
    <m/>
    <m/>
    <m/>
    <m/>
    <m/>
    <m/>
    <m/>
    <m/>
    <n v="1"/>
    <n v="418"/>
    <n v="0"/>
    <n v="0"/>
    <n v="1"/>
    <n v="418"/>
    <n v="1.6719999999999999"/>
    <n v="0"/>
    <n v="0"/>
    <n v="0.32800000000000007"/>
    <n v="2"/>
    <n v="1"/>
    <n v="418"/>
    <n v="100"/>
    <n v="70"/>
    <n v="0"/>
    <n v="0"/>
    <n v="20"/>
    <n v="0"/>
    <n v="20"/>
    <n v="4.784688995215311E-2"/>
    <n v="0.95215311004784686"/>
    <n v="4.784688995215311E-2"/>
    <n v="0"/>
    <n v="0"/>
    <n v="0"/>
    <x v="1"/>
    <s v="Village"/>
    <x v="0"/>
    <s v="Mro"/>
    <n v="20.831729889999998"/>
    <n v="92.919639590000003"/>
    <n v="196880"/>
    <x v="0"/>
    <m/>
  </r>
  <r>
    <x v="1"/>
    <x v="10"/>
    <x v="10"/>
    <s v="GIZ"/>
    <x v="0"/>
    <x v="7"/>
    <x v="0"/>
    <x v="204"/>
    <n v="131"/>
    <n v="631"/>
    <d v="2019-08-01T00:00:00"/>
    <d v="2020-07-31T00:00:00"/>
    <n v="257"/>
    <n v="31"/>
    <m/>
    <m/>
    <n v="2"/>
    <m/>
    <m/>
    <m/>
    <n v="33"/>
    <x v="2"/>
    <n v="2"/>
    <n v="7"/>
    <m/>
    <m/>
    <m/>
    <m/>
    <n v="2"/>
    <n v="18"/>
    <m/>
    <m/>
    <m/>
    <m/>
    <m/>
    <m/>
    <m/>
    <m/>
    <m/>
    <m/>
    <m/>
    <n v="0"/>
    <n v="0"/>
    <n v="1"/>
    <n v="631"/>
    <n v="1"/>
    <n v="631"/>
    <n v="2.524"/>
    <n v="0"/>
    <n v="0"/>
    <n v="0.47599999999999998"/>
    <n v="3"/>
    <n v="0.47226624405705231"/>
    <n v="298"/>
    <n v="100"/>
    <n v="105"/>
    <n v="72"/>
    <n v="0.52773375594294769"/>
    <n v="20"/>
    <n v="0"/>
    <n v="20"/>
    <n v="3.1695721077654518E-2"/>
    <n v="0.9683042789223455"/>
    <n v="3.1695721077654518E-2"/>
    <n v="0"/>
    <n v="0"/>
    <n v="0"/>
    <x v="1"/>
    <s v="Village"/>
    <x v="0"/>
    <s v="Mro"/>
    <n v="20.809240339999999"/>
    <n v="92.923919679999997"/>
    <n v="196881"/>
    <x v="0"/>
    <m/>
  </r>
  <r>
    <x v="1"/>
    <x v="10"/>
    <x v="10"/>
    <s v="GIZ"/>
    <x v="0"/>
    <x v="7"/>
    <x v="0"/>
    <x v="205"/>
    <n v="42"/>
    <n v="184"/>
    <d v="2019-08-01T00:00:00"/>
    <d v="2020-07-31T00:00:00"/>
    <n v="31"/>
    <n v="31"/>
    <m/>
    <m/>
    <n v="1"/>
    <m/>
    <m/>
    <m/>
    <n v="12"/>
    <x v="2"/>
    <m/>
    <n v="2"/>
    <m/>
    <m/>
    <m/>
    <m/>
    <n v="2"/>
    <n v="18"/>
    <m/>
    <m/>
    <m/>
    <m/>
    <m/>
    <m/>
    <m/>
    <m/>
    <m/>
    <m/>
    <m/>
    <n v="0"/>
    <n v="0"/>
    <n v="1"/>
    <n v="184"/>
    <n v="1"/>
    <n v="184"/>
    <n v="0.73599999999999999"/>
    <n v="0"/>
    <n v="0"/>
    <n v="0.26400000000000001"/>
    <n v="1"/>
    <n v="0.39130434782608697"/>
    <n v="72"/>
    <n v="0"/>
    <n v="31"/>
    <n v="19"/>
    <n v="0.60869565217391308"/>
    <n v="20"/>
    <n v="0"/>
    <n v="20"/>
    <n v="0.10869565217391304"/>
    <n v="0.89130434782608692"/>
    <n v="0.10869565217391304"/>
    <n v="0"/>
    <n v="0"/>
    <n v="0"/>
    <x v="1"/>
    <s v="Village"/>
    <x v="0"/>
    <s v="Mro"/>
    <n v="20.807970050000002"/>
    <n v="92.929046630000002"/>
    <n v="196882"/>
    <x v="0"/>
    <m/>
  </r>
  <r>
    <x v="1"/>
    <x v="10"/>
    <x v="10"/>
    <s v="GIZ"/>
    <x v="0"/>
    <x v="7"/>
    <x v="0"/>
    <x v="206"/>
    <n v="73"/>
    <n v="343"/>
    <d v="2019-08-01T00:00:00"/>
    <d v="2020-07-31T00:00:00"/>
    <n v="56"/>
    <n v="31"/>
    <m/>
    <m/>
    <m/>
    <m/>
    <n v="1"/>
    <m/>
    <n v="33"/>
    <x v="2"/>
    <n v="3"/>
    <n v="6"/>
    <m/>
    <m/>
    <m/>
    <m/>
    <n v="4"/>
    <n v="16"/>
    <m/>
    <m/>
    <m/>
    <m/>
    <m/>
    <m/>
    <m/>
    <m/>
    <m/>
    <m/>
    <m/>
    <n v="0.7288629737609329"/>
    <n v="249.99999999999997"/>
    <n v="0"/>
    <n v="0"/>
    <n v="0.7288629737609329"/>
    <n v="249.99999999999997"/>
    <n v="0.99999999999999989"/>
    <n v="0.2711370262390671"/>
    <n v="93.000000000000014"/>
    <n v="1.1102230246251565E-16"/>
    <n v="1"/>
    <n v="1"/>
    <n v="343"/>
    <n v="150"/>
    <n v="57"/>
    <n v="24"/>
    <n v="0"/>
    <n v="20"/>
    <n v="0"/>
    <n v="20"/>
    <n v="5.8309037900874633E-2"/>
    <n v="0.94169096209912539"/>
    <n v="5.8309037900874633E-2"/>
    <n v="0"/>
    <n v="0"/>
    <n v="0"/>
    <x v="1"/>
    <s v="Village"/>
    <x v="0"/>
    <s v="Mro"/>
    <n v="20.803529739999998"/>
    <n v="92.929466250000004"/>
    <n v="196883"/>
    <x v="0"/>
    <m/>
  </r>
  <r>
    <x v="1"/>
    <x v="10"/>
    <x v="10"/>
    <s v="GIZ"/>
    <x v="0"/>
    <x v="7"/>
    <x v="0"/>
    <x v="207"/>
    <n v="73"/>
    <n v="397"/>
    <d v="2019-08-01T00:00:00"/>
    <d v="2020-07-31T00:00:00"/>
    <n v="74"/>
    <n v="31"/>
    <n v="1"/>
    <m/>
    <n v="1"/>
    <m/>
    <n v="1"/>
    <m/>
    <n v="42"/>
    <x v="2"/>
    <n v="2"/>
    <n v="2"/>
    <m/>
    <m/>
    <m/>
    <m/>
    <m/>
    <n v="20"/>
    <m/>
    <m/>
    <m/>
    <m/>
    <m/>
    <m/>
    <m/>
    <m/>
    <m/>
    <m/>
    <m/>
    <n v="1"/>
    <n v="397"/>
    <n v="1"/>
    <n v="397"/>
    <n v="1"/>
    <n v="397"/>
    <n v="1.5880000000000001"/>
    <n v="0"/>
    <n v="0"/>
    <n v="0.41199999999999992"/>
    <n v="2"/>
    <n v="0.88664987405541562"/>
    <n v="352"/>
    <n v="100"/>
    <n v="66"/>
    <n v="24"/>
    <n v="0.11335012594458438"/>
    <n v="20"/>
    <n v="0"/>
    <n v="20"/>
    <n v="5.0377833753148617E-2"/>
    <n v="0.94962216624685136"/>
    <n v="5.0377833753148617E-2"/>
    <n v="0"/>
    <n v="0"/>
    <n v="0"/>
    <x v="1"/>
    <s v="Village"/>
    <x v="0"/>
    <s v="Mro"/>
    <n v="20.851089479999999"/>
    <n v="92.916893009999995"/>
    <n v="196825"/>
    <x v="0"/>
    <m/>
  </r>
  <r>
    <x v="1"/>
    <x v="10"/>
    <x v="10"/>
    <s v="GIZ"/>
    <x v="0"/>
    <x v="7"/>
    <x v="0"/>
    <x v="208"/>
    <n v="138"/>
    <n v="609"/>
    <d v="2019-08-01T00:00:00"/>
    <d v="2020-07-31T00:00:00"/>
    <n v="103"/>
    <n v="31"/>
    <m/>
    <m/>
    <n v="2"/>
    <m/>
    <m/>
    <m/>
    <n v="89"/>
    <x v="2"/>
    <n v="2"/>
    <n v="13"/>
    <m/>
    <m/>
    <m/>
    <m/>
    <m/>
    <n v="20"/>
    <m/>
    <m/>
    <m/>
    <m/>
    <m/>
    <m/>
    <m/>
    <m/>
    <m/>
    <m/>
    <m/>
    <n v="0"/>
    <n v="0"/>
    <n v="1"/>
    <n v="609"/>
    <n v="1"/>
    <n v="609"/>
    <n v="2.4359999999999999"/>
    <n v="0"/>
    <n v="0"/>
    <n v="0"/>
    <n v="2"/>
    <n v="1"/>
    <n v="609"/>
    <n v="100"/>
    <n v="102"/>
    <n v="13"/>
    <n v="0"/>
    <n v="20"/>
    <n v="0"/>
    <n v="20"/>
    <n v="3.2840722495894911E-2"/>
    <n v="0.96715927750410513"/>
    <n v="3.2840722495894911E-2"/>
    <n v="0"/>
    <n v="0"/>
    <n v="0"/>
    <x v="1"/>
    <s v="Village"/>
    <x v="0"/>
    <s v="Rakhine"/>
    <n v="20.67705917"/>
    <n v="92.953247070000003"/>
    <n v="196929"/>
    <x v="0"/>
    <m/>
  </r>
  <r>
    <x v="1"/>
    <x v="10"/>
    <x v="10"/>
    <s v="GIZ"/>
    <x v="0"/>
    <x v="7"/>
    <x v="0"/>
    <x v="209"/>
    <n v="76"/>
    <n v="394"/>
    <d v="2019-08-01T00:00:00"/>
    <d v="2020-07-31T00:00:00"/>
    <n v="40"/>
    <n v="31"/>
    <m/>
    <m/>
    <n v="2"/>
    <m/>
    <m/>
    <m/>
    <n v="62"/>
    <x v="2"/>
    <m/>
    <n v="5"/>
    <m/>
    <m/>
    <m/>
    <m/>
    <m/>
    <n v="20"/>
    <m/>
    <m/>
    <m/>
    <m/>
    <m/>
    <m/>
    <m/>
    <m/>
    <m/>
    <m/>
    <m/>
    <n v="0"/>
    <n v="0"/>
    <n v="1"/>
    <n v="394"/>
    <n v="1"/>
    <n v="394"/>
    <n v="1.5760000000000001"/>
    <n v="0"/>
    <n v="0"/>
    <n v="0.42399999999999993"/>
    <n v="2"/>
    <n v="0.9441624365482234"/>
    <n v="372"/>
    <n v="0"/>
    <n v="66"/>
    <n v="4"/>
    <n v="5.5837563451776595E-2"/>
    <n v="20"/>
    <n v="0"/>
    <n v="20"/>
    <n v="5.0761421319796954E-2"/>
    <n v="0.949238578680203"/>
    <n v="5.0761421319796954E-2"/>
    <n v="0"/>
    <n v="0"/>
    <n v="0"/>
    <x v="1"/>
    <s v="Village"/>
    <x v="0"/>
    <s v="Rakhine, Mro, Khami"/>
    <n v="20.681715010000001"/>
    <n v="92.94140625"/>
    <n v="196930"/>
    <x v="0"/>
    <m/>
  </r>
  <r>
    <x v="1"/>
    <x v="10"/>
    <x v="10"/>
    <s v="GIZ"/>
    <x v="0"/>
    <x v="7"/>
    <x v="0"/>
    <x v="210"/>
    <n v="185"/>
    <n v="915"/>
    <d v="2019-08-01T00:00:00"/>
    <d v="2020-07-31T00:00:00"/>
    <n v="110"/>
    <n v="31"/>
    <m/>
    <m/>
    <n v="3"/>
    <m/>
    <m/>
    <m/>
    <n v="42"/>
    <x v="2"/>
    <n v="2"/>
    <n v="11"/>
    <m/>
    <m/>
    <m/>
    <m/>
    <n v="2"/>
    <n v="18"/>
    <m/>
    <m/>
    <m/>
    <m/>
    <m/>
    <m/>
    <m/>
    <m/>
    <m/>
    <m/>
    <m/>
    <n v="0"/>
    <n v="0"/>
    <n v="1"/>
    <n v="915"/>
    <n v="1"/>
    <n v="915"/>
    <n v="3.66"/>
    <n v="0"/>
    <n v="0"/>
    <n v="0.33999999999999986"/>
    <n v="4"/>
    <n v="0.3846994535519126"/>
    <n v="352"/>
    <n v="100"/>
    <n v="153"/>
    <n v="111"/>
    <n v="0.6153005464480874"/>
    <n v="20"/>
    <n v="0"/>
    <n v="20"/>
    <n v="2.185792349726776E-2"/>
    <n v="0.97814207650273222"/>
    <n v="2.185792349726776E-2"/>
    <n v="0"/>
    <n v="0"/>
    <n v="0"/>
    <x v="1"/>
    <s v="Village"/>
    <x v="0"/>
    <s v="Rakhine"/>
    <n v="20.786739350000001"/>
    <n v="92.944313050000005"/>
    <n v="196884"/>
    <x v="0"/>
    <m/>
  </r>
  <r>
    <x v="1"/>
    <x v="10"/>
    <x v="10"/>
    <s v="GIZ"/>
    <x v="0"/>
    <x v="7"/>
    <x v="0"/>
    <x v="212"/>
    <n v="122"/>
    <n v="486"/>
    <d v="2019-08-01T00:00:00"/>
    <d v="2020-07-31T00:00:00"/>
    <n v="460"/>
    <n v="31"/>
    <m/>
    <m/>
    <n v="3"/>
    <m/>
    <m/>
    <m/>
    <n v="32"/>
    <x v="2"/>
    <m/>
    <n v="5"/>
    <m/>
    <m/>
    <m/>
    <m/>
    <n v="2"/>
    <n v="18"/>
    <m/>
    <m/>
    <m/>
    <m/>
    <m/>
    <m/>
    <m/>
    <m/>
    <m/>
    <m/>
    <m/>
    <n v="0"/>
    <n v="0"/>
    <n v="1"/>
    <n v="486"/>
    <n v="1"/>
    <n v="486"/>
    <n v="1.944"/>
    <n v="0"/>
    <n v="0"/>
    <n v="5.600000000000005E-2"/>
    <n v="2"/>
    <n v="0.39506172839506171"/>
    <n v="192"/>
    <n v="0"/>
    <n v="81"/>
    <n v="49"/>
    <n v="0.60493827160493829"/>
    <n v="20"/>
    <n v="0"/>
    <n v="20"/>
    <n v="4.1152263374485597E-2"/>
    <n v="0.95884773662551437"/>
    <n v="4.1152263374485597E-2"/>
    <n v="0"/>
    <n v="0"/>
    <n v="0"/>
    <x v="1"/>
    <s v="Village"/>
    <x v="0"/>
    <s v="Mro"/>
    <n v="20.785770419999999"/>
    <n v="92.931426999999999"/>
    <n v="196887"/>
    <x v="0"/>
    <m/>
  </r>
  <r>
    <x v="1"/>
    <x v="15"/>
    <x v="14"/>
    <s v="Danish Committee for UNICEF,MHF"/>
    <x v="0"/>
    <x v="7"/>
    <x v="0"/>
    <x v="154"/>
    <n v="174"/>
    <n v="665"/>
    <s v="5/1/2017,10-1-2018"/>
    <s v="6/30/2019,9-30-19"/>
    <n v="354"/>
    <m/>
    <m/>
    <m/>
    <n v="3"/>
    <m/>
    <n v="1"/>
    <m/>
    <n v="7"/>
    <x v="1"/>
    <n v="4"/>
    <n v="6"/>
    <m/>
    <m/>
    <m/>
    <m/>
    <m/>
    <n v="30"/>
    <m/>
    <m/>
    <n v="100"/>
    <n v="99"/>
    <m/>
    <n v="1"/>
    <m/>
    <m/>
    <m/>
    <m/>
    <m/>
    <n v="0.37593984962406013"/>
    <n v="250"/>
    <n v="1"/>
    <n v="665"/>
    <n v="1"/>
    <n v="665"/>
    <n v="2.66"/>
    <n v="0"/>
    <n v="0"/>
    <n v="0.33999999999999986"/>
    <n v="3"/>
    <n v="0.36390977443609024"/>
    <n v="242"/>
    <n v="200"/>
    <n v="111"/>
    <n v="104"/>
    <n v="0.63609022556390982"/>
    <n v="229"/>
    <n v="0"/>
    <n v="229"/>
    <n v="0.34436090225563909"/>
    <n v="0.65563909774436091"/>
    <n v="0.34436090225563909"/>
    <n v="0"/>
    <n v="0"/>
    <n v="0"/>
    <x v="1"/>
    <s v="Village"/>
    <x v="0"/>
    <n v="0"/>
    <n v="20.883239750000001"/>
    <n v="92.936859130000002"/>
    <n v="196813"/>
    <x v="0"/>
    <m/>
  </r>
  <r>
    <x v="1"/>
    <x v="15"/>
    <x v="15"/>
    <s v="Danish Committee for UNICEF,GIZ"/>
    <x v="0"/>
    <x v="7"/>
    <x v="0"/>
    <x v="211"/>
    <n v="293"/>
    <n v="1503"/>
    <s v="5/1/2017,8-1-2018"/>
    <s v="6/30/2019,7-31-20"/>
    <n v="192"/>
    <n v="31"/>
    <m/>
    <m/>
    <n v="2"/>
    <m/>
    <n v="1"/>
    <m/>
    <n v="182"/>
    <x v="1"/>
    <n v="4"/>
    <n v="15"/>
    <m/>
    <m/>
    <m/>
    <m/>
    <n v="4"/>
    <n v="16"/>
    <m/>
    <m/>
    <n v="106"/>
    <n v="86"/>
    <m/>
    <n v="1"/>
    <m/>
    <m/>
    <m/>
    <m/>
    <m/>
    <n v="0.16633399866932802"/>
    <n v="250.00000000000003"/>
    <n v="1"/>
    <n v="1503"/>
    <n v="1"/>
    <n v="1503"/>
    <n v="6.0119999999999996"/>
    <n v="0"/>
    <n v="0"/>
    <n v="0"/>
    <n v="6"/>
    <n v="0.85961410512308711"/>
    <n v="1292"/>
    <n v="200"/>
    <n v="251"/>
    <n v="69"/>
    <n v="0.14038589487691289"/>
    <n v="212"/>
    <n v="0"/>
    <n v="212"/>
    <n v="0.14105123087159016"/>
    <n v="0.85894876912840989"/>
    <n v="0.14105123087159016"/>
    <n v="0"/>
    <n v="0"/>
    <n v="0"/>
    <x v="1"/>
    <s v="Village"/>
    <x v="0"/>
    <s v="Rakhine"/>
    <n v="20.71134949"/>
    <n v="92.980506899999995"/>
    <n v="196944"/>
    <x v="0"/>
    <m/>
  </r>
  <r>
    <x v="1"/>
    <x v="2"/>
    <x v="15"/>
    <s v="Danish Committee for UNICEF"/>
    <x v="0"/>
    <x v="7"/>
    <x v="0"/>
    <x v="220"/>
    <m/>
    <n v="302"/>
    <d v="2017-05-01T00:00:00"/>
    <d v="2019-06-30T00:00:00"/>
    <n v="302"/>
    <m/>
    <m/>
    <m/>
    <m/>
    <m/>
    <n v="1"/>
    <m/>
    <m/>
    <x v="1"/>
    <n v="5"/>
    <m/>
    <m/>
    <m/>
    <m/>
    <m/>
    <m/>
    <m/>
    <m/>
    <m/>
    <n v="149"/>
    <n v="153"/>
    <m/>
    <n v="1"/>
    <m/>
    <m/>
    <m/>
    <m/>
    <m/>
    <n v="0.82781456953642385"/>
    <n v="250"/>
    <n v="0"/>
    <n v="0"/>
    <n v="0.82781456953642385"/>
    <n v="250"/>
    <n v="1"/>
    <n v="0.17218543046357615"/>
    <n v="52"/>
    <n v="0"/>
    <n v="1"/>
    <n v="0.82781456953642385"/>
    <n v="250"/>
    <n v="250"/>
    <n v="50"/>
    <n v="50"/>
    <n v="0.17218543046357615"/>
    <n v="302"/>
    <n v="0"/>
    <n v="302"/>
    <n v="1"/>
    <n v="0"/>
    <n v="1"/>
    <n v="0"/>
    <n v="0"/>
    <n v="0"/>
    <x v="1"/>
    <s v="Village"/>
    <x v="0"/>
    <n v="0"/>
    <n v="0"/>
    <n v="0"/>
    <n v="0"/>
    <x v="0"/>
    <m/>
  </r>
  <r>
    <x v="1"/>
    <x v="15"/>
    <x v="15"/>
    <s v="Danish Committee for UNICEF,MHF"/>
    <x v="0"/>
    <x v="7"/>
    <x v="0"/>
    <x v="143"/>
    <n v="156"/>
    <n v="813"/>
    <s v="5/1/2017,10-1-18"/>
    <s v="6/30/2019,9-30-19"/>
    <n v="123"/>
    <m/>
    <m/>
    <m/>
    <n v="2"/>
    <m/>
    <n v="1"/>
    <m/>
    <n v="40"/>
    <x v="1"/>
    <n v="3"/>
    <n v="16"/>
    <m/>
    <m/>
    <m/>
    <m/>
    <m/>
    <n v="30"/>
    <m/>
    <m/>
    <n v="67"/>
    <n v="56"/>
    <m/>
    <n v="1"/>
    <m/>
    <m/>
    <m/>
    <m/>
    <m/>
    <n v="0.30750307503075031"/>
    <n v="250"/>
    <n v="1"/>
    <n v="813"/>
    <n v="1"/>
    <n v="813"/>
    <n v="3.2519999999999998"/>
    <n v="0"/>
    <n v="0"/>
    <n v="0"/>
    <n v="3"/>
    <n v="0.47970479704797048"/>
    <n v="390"/>
    <n v="150"/>
    <n v="136"/>
    <n v="96"/>
    <n v="0.52029520295202958"/>
    <n v="153"/>
    <n v="0"/>
    <n v="153"/>
    <n v="0.18819188191881919"/>
    <n v="0.81180811808118081"/>
    <n v="0.18819188191881919"/>
    <n v="0"/>
    <n v="0"/>
    <n v="0"/>
    <x v="1"/>
    <s v="Village"/>
    <x v="0"/>
    <n v="0"/>
    <n v="20.760820389999999"/>
    <n v="92.960083010000005"/>
    <n v="196893"/>
    <x v="0"/>
    <m/>
  </r>
  <r>
    <x v="1"/>
    <x v="2"/>
    <x v="15"/>
    <s v="Danish Committee for UNICEF"/>
    <x v="0"/>
    <x v="7"/>
    <x v="0"/>
    <x v="221"/>
    <m/>
    <n v="302"/>
    <d v="2017-05-01T00:00:00"/>
    <d v="2019-06-30T00:00:00"/>
    <n v="302"/>
    <m/>
    <m/>
    <m/>
    <m/>
    <m/>
    <n v="1"/>
    <m/>
    <m/>
    <x v="1"/>
    <n v="4"/>
    <m/>
    <m/>
    <m/>
    <m/>
    <m/>
    <m/>
    <m/>
    <m/>
    <m/>
    <n v="150"/>
    <n v="152"/>
    <m/>
    <n v="1"/>
    <m/>
    <m/>
    <m/>
    <m/>
    <m/>
    <n v="0.82781456953642385"/>
    <n v="250"/>
    <n v="0"/>
    <n v="0"/>
    <n v="0.82781456953642385"/>
    <n v="250"/>
    <n v="1"/>
    <n v="0.17218543046357615"/>
    <n v="52"/>
    <n v="0"/>
    <n v="1"/>
    <n v="0.66225165562913912"/>
    <n v="200.00000000000003"/>
    <n v="200"/>
    <n v="50"/>
    <n v="50"/>
    <n v="0.33774834437086088"/>
    <n v="302"/>
    <n v="0"/>
    <n v="302"/>
    <n v="1"/>
    <n v="0"/>
    <n v="1"/>
    <n v="0"/>
    <n v="0"/>
    <n v="0"/>
    <x v="1"/>
    <s v="Village"/>
    <x v="0"/>
    <n v="0"/>
    <n v="0"/>
    <n v="0"/>
    <n v="0"/>
    <x v="0"/>
    <m/>
  </r>
  <r>
    <x v="1"/>
    <x v="2"/>
    <x v="15"/>
    <s v="Danish Committee for UNICEF"/>
    <x v="0"/>
    <x v="7"/>
    <x v="0"/>
    <x v="222"/>
    <m/>
    <n v="382"/>
    <d v="2017-05-01T00:00:00"/>
    <d v="2019-06-30T00:00:00"/>
    <n v="382"/>
    <m/>
    <m/>
    <m/>
    <m/>
    <m/>
    <n v="1"/>
    <m/>
    <m/>
    <x v="1"/>
    <n v="5"/>
    <m/>
    <m/>
    <m/>
    <m/>
    <m/>
    <m/>
    <m/>
    <m/>
    <m/>
    <n v="190"/>
    <n v="192"/>
    <m/>
    <n v="1"/>
    <m/>
    <m/>
    <m/>
    <m/>
    <m/>
    <n v="0.65445026178010468"/>
    <n v="250"/>
    <n v="0"/>
    <n v="0"/>
    <n v="0.65445026178010468"/>
    <n v="250"/>
    <n v="1"/>
    <n v="0.34554973821989532"/>
    <n v="132"/>
    <n v="1"/>
    <n v="2"/>
    <n v="0.65445026178010468"/>
    <n v="250"/>
    <n v="250"/>
    <n v="64"/>
    <n v="64"/>
    <n v="0.34554973821989532"/>
    <n v="382"/>
    <n v="0"/>
    <n v="382"/>
    <n v="1"/>
    <n v="0"/>
    <n v="1"/>
    <n v="0"/>
    <n v="0"/>
    <n v="0"/>
    <x v="1"/>
    <s v="Village"/>
    <x v="2"/>
    <s v="Muslim"/>
    <n v="20.896740000000001"/>
    <n v="93.014349999999993"/>
    <s v="MMR012CMP025"/>
    <x v="0"/>
    <m/>
  </r>
  <r>
    <x v="1"/>
    <x v="2"/>
    <x v="15"/>
    <s v="Danish Committee for UNICEF"/>
    <x v="0"/>
    <x v="7"/>
    <x v="0"/>
    <x v="223"/>
    <m/>
    <n v="120"/>
    <d v="2017-05-01T00:00:00"/>
    <d v="2019-06-30T00:00:00"/>
    <n v="120"/>
    <m/>
    <m/>
    <m/>
    <m/>
    <m/>
    <n v="1"/>
    <m/>
    <m/>
    <x v="1"/>
    <n v="2"/>
    <m/>
    <m/>
    <m/>
    <m/>
    <m/>
    <m/>
    <m/>
    <m/>
    <m/>
    <n v="70"/>
    <n v="50"/>
    <m/>
    <n v="1"/>
    <m/>
    <m/>
    <m/>
    <m/>
    <m/>
    <n v="1"/>
    <n v="120"/>
    <n v="0"/>
    <n v="0"/>
    <n v="1"/>
    <n v="120"/>
    <n v="0.48"/>
    <n v="0"/>
    <n v="0"/>
    <n v="0.52"/>
    <n v="1"/>
    <n v="0.83333333333333337"/>
    <n v="100"/>
    <n v="100"/>
    <n v="20"/>
    <n v="20"/>
    <n v="0.16666666666666663"/>
    <n v="120"/>
    <n v="0"/>
    <n v="120"/>
    <n v="1"/>
    <n v="0"/>
    <n v="1"/>
    <n v="0"/>
    <n v="0"/>
    <n v="0"/>
    <x v="1"/>
    <s v="Village"/>
    <x v="0"/>
    <n v="0"/>
    <n v="20.7181205749512"/>
    <n v="92.965950012207003"/>
    <n v="196947"/>
    <x v="0"/>
    <m/>
  </r>
  <r>
    <x v="1"/>
    <x v="2"/>
    <x v="15"/>
    <s v="Danish Committee for UNICEF"/>
    <x v="0"/>
    <x v="4"/>
    <x v="0"/>
    <x v="224"/>
    <m/>
    <n v="112"/>
    <d v="2017-05-01T00:00:00"/>
    <d v="2019-06-30T00:00:00"/>
    <n v="112"/>
    <m/>
    <m/>
    <m/>
    <m/>
    <m/>
    <n v="1"/>
    <m/>
    <m/>
    <x v="2"/>
    <n v="0"/>
    <m/>
    <m/>
    <m/>
    <m/>
    <m/>
    <m/>
    <m/>
    <m/>
    <m/>
    <n v="55"/>
    <n v="57"/>
    <m/>
    <n v="1"/>
    <m/>
    <m/>
    <m/>
    <m/>
    <m/>
    <n v="1"/>
    <n v="112"/>
    <n v="0"/>
    <n v="0"/>
    <n v="1"/>
    <n v="112"/>
    <n v="0.44800000000000001"/>
    <n v="0"/>
    <n v="0"/>
    <n v="0.55200000000000005"/>
    <n v="1"/>
    <n v="0"/>
    <n v="0"/>
    <n v="0"/>
    <n v="19"/>
    <n v="19"/>
    <n v="1"/>
    <n v="112"/>
    <n v="0"/>
    <n v="112"/>
    <n v="1"/>
    <n v="0"/>
    <n v="1"/>
    <n v="0"/>
    <n v="0"/>
    <n v="0"/>
    <x v="1"/>
    <s v="Village"/>
    <x v="0"/>
    <n v="0"/>
    <n v="20.219699859619102"/>
    <n v="92.851379394531307"/>
    <n v="196153"/>
    <x v="0"/>
    <m/>
  </r>
  <r>
    <x v="1"/>
    <x v="2"/>
    <x v="15"/>
    <s v="Danish Committee for UNICEF"/>
    <x v="0"/>
    <x v="4"/>
    <x v="0"/>
    <x v="225"/>
    <m/>
    <n v="120"/>
    <d v="2017-05-01T00:00:00"/>
    <d v="2019-06-30T00:00:00"/>
    <n v="120"/>
    <m/>
    <m/>
    <m/>
    <m/>
    <m/>
    <n v="1"/>
    <m/>
    <m/>
    <x v="2"/>
    <n v="0"/>
    <m/>
    <m/>
    <m/>
    <m/>
    <m/>
    <m/>
    <m/>
    <m/>
    <m/>
    <n v="68"/>
    <n v="52"/>
    <m/>
    <n v="1"/>
    <m/>
    <m/>
    <m/>
    <m/>
    <m/>
    <n v="1"/>
    <n v="120"/>
    <n v="0"/>
    <n v="0"/>
    <n v="1"/>
    <n v="120"/>
    <n v="0.48"/>
    <n v="0"/>
    <n v="0"/>
    <n v="0.52"/>
    <n v="1"/>
    <n v="0"/>
    <n v="0"/>
    <n v="0"/>
    <n v="20"/>
    <n v="20"/>
    <n v="1"/>
    <n v="120"/>
    <n v="0"/>
    <n v="120"/>
    <n v="1"/>
    <n v="0"/>
    <n v="1"/>
    <n v="0"/>
    <n v="0"/>
    <n v="0"/>
    <x v="1"/>
    <s v="Village"/>
    <x v="0"/>
    <n v="0"/>
    <n v="0"/>
    <n v="0"/>
    <s v="MMR012001701508"/>
    <x v="0"/>
    <m/>
  </r>
  <r>
    <x v="1"/>
    <x v="2"/>
    <x v="15"/>
    <s v="Danish Committee for UNICEF"/>
    <x v="0"/>
    <x v="4"/>
    <x v="0"/>
    <x v="226"/>
    <m/>
    <n v="110"/>
    <d v="2017-05-01T00:00:00"/>
    <d v="2019-06-30T00:00:00"/>
    <n v="110"/>
    <m/>
    <m/>
    <m/>
    <m/>
    <m/>
    <n v="1"/>
    <m/>
    <m/>
    <x v="1"/>
    <n v="2"/>
    <m/>
    <m/>
    <m/>
    <m/>
    <m/>
    <m/>
    <m/>
    <m/>
    <m/>
    <n v="69"/>
    <n v="41"/>
    <m/>
    <n v="1"/>
    <m/>
    <m/>
    <m/>
    <m/>
    <m/>
    <n v="1"/>
    <n v="110"/>
    <n v="0"/>
    <n v="0"/>
    <n v="1"/>
    <n v="110"/>
    <n v="0.44"/>
    <n v="0"/>
    <n v="0"/>
    <n v="0.56000000000000005"/>
    <n v="1"/>
    <n v="0.90909090909090906"/>
    <n v="100"/>
    <n v="100"/>
    <n v="18"/>
    <n v="18"/>
    <n v="9.0909090909090939E-2"/>
    <n v="110"/>
    <n v="0"/>
    <n v="110"/>
    <n v="1"/>
    <n v="0"/>
    <n v="1"/>
    <n v="0"/>
    <n v="0"/>
    <n v="0"/>
    <x v="1"/>
    <s v="Village"/>
    <x v="0"/>
    <n v="0"/>
    <n v="0"/>
    <n v="0"/>
    <s v="MMR012001701522"/>
    <x v="0"/>
    <m/>
  </r>
  <r>
    <x v="1"/>
    <x v="2"/>
    <x v="15"/>
    <s v="Danish Committee for UNICEF"/>
    <x v="0"/>
    <x v="4"/>
    <x v="0"/>
    <x v="227"/>
    <m/>
    <n v="199"/>
    <d v="2017-05-01T00:00:00"/>
    <d v="2019-06-30T00:00:00"/>
    <n v="199"/>
    <m/>
    <m/>
    <m/>
    <m/>
    <m/>
    <n v="1"/>
    <m/>
    <m/>
    <x v="1"/>
    <n v="4"/>
    <m/>
    <m/>
    <m/>
    <m/>
    <m/>
    <m/>
    <m/>
    <m/>
    <m/>
    <n v="113"/>
    <n v="86"/>
    <m/>
    <n v="1"/>
    <m/>
    <m/>
    <m/>
    <m/>
    <m/>
    <n v="1"/>
    <n v="199"/>
    <n v="0"/>
    <n v="0"/>
    <n v="1"/>
    <n v="199"/>
    <n v="0.79600000000000004"/>
    <n v="0"/>
    <n v="0"/>
    <n v="0.20399999999999996"/>
    <n v="1"/>
    <n v="1"/>
    <n v="199"/>
    <n v="200"/>
    <n v="33"/>
    <n v="33"/>
    <n v="0"/>
    <n v="199"/>
    <n v="0"/>
    <n v="199"/>
    <n v="1"/>
    <n v="0"/>
    <n v="1"/>
    <n v="0"/>
    <n v="0"/>
    <n v="0"/>
    <x v="1"/>
    <s v="Village"/>
    <x v="0"/>
    <n v="0"/>
    <n v="0"/>
    <n v="0"/>
    <s v="MMR012001701530"/>
    <x v="0"/>
    <m/>
  </r>
  <r>
    <x v="1"/>
    <x v="2"/>
    <x v="15"/>
    <s v="Danish Committee for UNICEF"/>
    <x v="0"/>
    <x v="4"/>
    <x v="0"/>
    <x v="228"/>
    <m/>
    <n v="249"/>
    <d v="2017-05-01T00:00:00"/>
    <d v="2019-06-30T00:00:00"/>
    <n v="249"/>
    <m/>
    <m/>
    <m/>
    <m/>
    <m/>
    <n v="1"/>
    <m/>
    <m/>
    <x v="2"/>
    <n v="0"/>
    <m/>
    <m/>
    <m/>
    <m/>
    <m/>
    <m/>
    <m/>
    <m/>
    <m/>
    <n v="121"/>
    <n v="128"/>
    <m/>
    <n v="1"/>
    <m/>
    <m/>
    <m/>
    <m/>
    <m/>
    <n v="1"/>
    <n v="249"/>
    <n v="0"/>
    <n v="0"/>
    <n v="1"/>
    <n v="249"/>
    <n v="0.996"/>
    <n v="0"/>
    <n v="0"/>
    <n v="4.0000000000000036E-3"/>
    <n v="1"/>
    <n v="0"/>
    <n v="0"/>
    <n v="0"/>
    <n v="42"/>
    <n v="42"/>
    <n v="1"/>
    <n v="249"/>
    <n v="0"/>
    <n v="249"/>
    <n v="1"/>
    <n v="0"/>
    <n v="1"/>
    <n v="0"/>
    <n v="0"/>
    <n v="0"/>
    <x v="1"/>
    <s v="Village"/>
    <x v="0"/>
    <n v="0"/>
    <n v="0"/>
    <n v="0"/>
    <n v="0"/>
    <x v="0"/>
    <m/>
  </r>
  <r>
    <x v="1"/>
    <x v="16"/>
    <x v="15"/>
    <s v="Danish Committee for UNICEF"/>
    <x v="0"/>
    <x v="4"/>
    <x v="0"/>
    <x v="93"/>
    <m/>
    <n v="86502"/>
    <d v="2017-05-01T00:00:00"/>
    <d v="2019-06-30T00:00:00"/>
    <n v="86502"/>
    <m/>
    <m/>
    <m/>
    <m/>
    <m/>
    <n v="3"/>
    <m/>
    <m/>
    <x v="1"/>
    <n v="4"/>
    <m/>
    <m/>
    <m/>
    <m/>
    <m/>
    <m/>
    <m/>
    <m/>
    <m/>
    <n v="412"/>
    <n v="238"/>
    <m/>
    <n v="1"/>
    <m/>
    <m/>
    <m/>
    <m/>
    <m/>
    <n v="8.6703197613928005E-3"/>
    <n v="750"/>
    <n v="0"/>
    <n v="0"/>
    <n v="8.6703197613928005E-3"/>
    <n v="750"/>
    <n v="3"/>
    <n v="0.99132968023860724"/>
    <n v="85752"/>
    <n v="343"/>
    <n v="346"/>
    <n v="2.3120852697047466E-3"/>
    <n v="200"/>
    <n v="200"/>
    <n v="14417"/>
    <n v="14417"/>
    <n v="0.99768791473029528"/>
    <n v="650"/>
    <n v="0"/>
    <n v="650"/>
    <n v="7.5142771265404272E-3"/>
    <n v="0.9924857228734596"/>
    <n v="7.5142771265404272E-3"/>
    <n v="0"/>
    <n v="0"/>
    <n v="0"/>
    <x v="1"/>
    <s v="Village"/>
    <x v="0"/>
    <s v="Muslim"/>
    <n v="20.197549819999999"/>
    <n v="92.785682679999994"/>
    <n v="196156"/>
    <x v="0"/>
    <m/>
  </r>
  <r>
    <x v="1"/>
    <x v="2"/>
    <x v="15"/>
    <s v="Danish Committee for UNICEF"/>
    <x v="0"/>
    <x v="4"/>
    <x v="0"/>
    <x v="229"/>
    <m/>
    <n v="102"/>
    <d v="2017-05-01T00:00:00"/>
    <d v="2019-06-30T00:00:00"/>
    <n v="102"/>
    <m/>
    <m/>
    <m/>
    <m/>
    <m/>
    <n v="0"/>
    <m/>
    <m/>
    <x v="1"/>
    <n v="2"/>
    <m/>
    <m/>
    <m/>
    <m/>
    <m/>
    <m/>
    <m/>
    <m/>
    <m/>
    <n v="65"/>
    <n v="37"/>
    <m/>
    <n v="1"/>
    <m/>
    <m/>
    <m/>
    <m/>
    <m/>
    <n v="0"/>
    <n v="0"/>
    <n v="0"/>
    <n v="0"/>
    <n v="0"/>
    <n v="0"/>
    <n v="0"/>
    <n v="1"/>
    <n v="102"/>
    <n v="1"/>
    <n v="1"/>
    <n v="0.98039215686274506"/>
    <n v="100"/>
    <n v="100"/>
    <n v="17"/>
    <n v="17"/>
    <n v="1.9607843137254943E-2"/>
    <n v="102"/>
    <n v="0"/>
    <n v="102"/>
    <n v="1"/>
    <n v="0"/>
    <n v="1"/>
    <n v="0"/>
    <n v="0"/>
    <n v="0"/>
    <x v="1"/>
    <s v="Village"/>
    <x v="0"/>
    <s v="Rakhine"/>
    <n v="20.286720280000001"/>
    <n v="92.882843019999996"/>
    <n v="196172"/>
    <x v="0"/>
    <m/>
  </r>
  <r>
    <x v="1"/>
    <x v="2"/>
    <x v="15"/>
    <s v="Danish Committee for UNICEF"/>
    <x v="0"/>
    <x v="4"/>
    <x v="0"/>
    <x v="230"/>
    <m/>
    <n v="134"/>
    <d v="2017-05-01T00:00:00"/>
    <d v="2019-06-30T00:00:00"/>
    <n v="134"/>
    <m/>
    <m/>
    <n v="1"/>
    <m/>
    <m/>
    <n v="2"/>
    <m/>
    <m/>
    <x v="1"/>
    <n v="3"/>
    <m/>
    <m/>
    <m/>
    <m/>
    <m/>
    <m/>
    <m/>
    <m/>
    <m/>
    <n v="82"/>
    <n v="52"/>
    <m/>
    <n v="1"/>
    <m/>
    <m/>
    <m/>
    <m/>
    <m/>
    <n v="1"/>
    <n v="134"/>
    <n v="0"/>
    <n v="0"/>
    <n v="1"/>
    <n v="134"/>
    <n v="0.53600000000000003"/>
    <n v="0"/>
    <n v="0"/>
    <n v="0.46399999999999997"/>
    <n v="1"/>
    <n v="1"/>
    <n v="134"/>
    <n v="150"/>
    <n v="22"/>
    <n v="22"/>
    <n v="0"/>
    <n v="134"/>
    <n v="0"/>
    <n v="134"/>
    <n v="1"/>
    <n v="0"/>
    <n v="1"/>
    <n v="0"/>
    <n v="0"/>
    <n v="0"/>
    <x v="1"/>
    <s v="Village"/>
    <x v="0"/>
    <n v="0"/>
    <n v="0"/>
    <n v="0"/>
    <s v="MMR012001701532"/>
    <x v="0"/>
    <m/>
  </r>
  <r>
    <x v="1"/>
    <x v="2"/>
    <x v="15"/>
    <s v="Danish Committee for UNICEF"/>
    <x v="0"/>
    <x v="9"/>
    <x v="0"/>
    <x v="231"/>
    <m/>
    <n v="151"/>
    <d v="2017-05-01T00:00:00"/>
    <d v="2019-06-30T00:00:00"/>
    <n v="151"/>
    <m/>
    <m/>
    <m/>
    <m/>
    <m/>
    <n v="1"/>
    <m/>
    <m/>
    <x v="1"/>
    <n v="2"/>
    <m/>
    <m/>
    <m/>
    <m/>
    <m/>
    <m/>
    <m/>
    <m/>
    <m/>
    <n v="85"/>
    <n v="66"/>
    <m/>
    <n v="1"/>
    <m/>
    <m/>
    <m/>
    <m/>
    <m/>
    <n v="1"/>
    <n v="151"/>
    <n v="0"/>
    <n v="0"/>
    <n v="1"/>
    <n v="151"/>
    <n v="0.60399999999999998"/>
    <n v="0"/>
    <n v="0"/>
    <n v="0.39600000000000002"/>
    <n v="1"/>
    <n v="0.66225165562913912"/>
    <n v="100.00000000000001"/>
    <n v="100"/>
    <n v="25"/>
    <n v="25"/>
    <n v="0.33774834437086088"/>
    <n v="151"/>
    <n v="0"/>
    <n v="151"/>
    <n v="1"/>
    <n v="0"/>
    <n v="1"/>
    <n v="0"/>
    <n v="0"/>
    <n v="0"/>
    <x v="1"/>
    <s v="Village"/>
    <x v="0"/>
    <n v="0"/>
    <n v="20.4424648284912"/>
    <n v="93.2396240234375"/>
    <n v="196533"/>
    <x v="0"/>
    <m/>
  </r>
  <r>
    <x v="1"/>
    <x v="2"/>
    <x v="15"/>
    <s v="Danish Committee for UNICEF"/>
    <x v="0"/>
    <x v="9"/>
    <x v="0"/>
    <x v="232"/>
    <m/>
    <n v="129"/>
    <d v="2017-05-01T00:00:00"/>
    <d v="2019-06-30T00:00:00"/>
    <n v="129"/>
    <m/>
    <m/>
    <m/>
    <m/>
    <m/>
    <n v="1"/>
    <m/>
    <m/>
    <x v="2"/>
    <n v="0"/>
    <m/>
    <m/>
    <m/>
    <m/>
    <m/>
    <m/>
    <m/>
    <m/>
    <m/>
    <n v="64"/>
    <n v="65"/>
    <m/>
    <n v="1"/>
    <m/>
    <m/>
    <m/>
    <m/>
    <m/>
    <n v="1"/>
    <n v="129"/>
    <n v="0"/>
    <n v="0"/>
    <n v="1"/>
    <n v="129"/>
    <n v="0.51600000000000001"/>
    <n v="0"/>
    <n v="0"/>
    <n v="0.48399999999999999"/>
    <n v="1"/>
    <n v="0"/>
    <n v="0"/>
    <n v="0"/>
    <n v="22"/>
    <n v="22"/>
    <n v="1"/>
    <n v="129"/>
    <n v="0"/>
    <n v="129"/>
    <n v="1"/>
    <n v="0"/>
    <n v="1"/>
    <n v="0"/>
    <n v="0"/>
    <n v="0"/>
    <x v="1"/>
    <s v="Village"/>
    <x v="0"/>
    <n v="0"/>
    <n v="20.5348205566406"/>
    <n v="93.253181457519503"/>
    <n v="196483"/>
    <x v="0"/>
    <m/>
  </r>
  <r>
    <x v="1"/>
    <x v="2"/>
    <x v="15"/>
    <s v="Danish Committee for UNICEF"/>
    <x v="0"/>
    <x v="9"/>
    <x v="0"/>
    <x v="233"/>
    <m/>
    <n v="203"/>
    <d v="2017-05-01T00:00:00"/>
    <d v="2019-06-30T00:00:00"/>
    <n v="203"/>
    <m/>
    <m/>
    <m/>
    <m/>
    <m/>
    <n v="1"/>
    <m/>
    <m/>
    <x v="1"/>
    <n v="2"/>
    <m/>
    <m/>
    <m/>
    <m/>
    <m/>
    <m/>
    <m/>
    <m/>
    <m/>
    <n v="109"/>
    <n v="94"/>
    <m/>
    <n v="1"/>
    <m/>
    <m/>
    <m/>
    <m/>
    <m/>
    <n v="1"/>
    <n v="203"/>
    <n v="0"/>
    <n v="0"/>
    <n v="1"/>
    <n v="203"/>
    <n v="0.81200000000000006"/>
    <n v="0"/>
    <n v="0"/>
    <n v="0.18799999999999994"/>
    <n v="1"/>
    <n v="0.49261083743842365"/>
    <n v="100"/>
    <n v="100"/>
    <n v="34"/>
    <n v="34"/>
    <n v="0.50738916256157629"/>
    <n v="203"/>
    <n v="0"/>
    <n v="203"/>
    <n v="1"/>
    <n v="0"/>
    <n v="1"/>
    <n v="0"/>
    <n v="0"/>
    <n v="0"/>
    <x v="1"/>
    <s v="Village"/>
    <x v="0"/>
    <n v="0"/>
    <n v="20.840990066528299"/>
    <n v="93.072242736816406"/>
    <n v="196657"/>
    <x v="0"/>
    <m/>
  </r>
  <r>
    <x v="1"/>
    <x v="2"/>
    <x v="15"/>
    <s v="Danish Committee for UNICEF"/>
    <x v="0"/>
    <x v="9"/>
    <x v="0"/>
    <x v="234"/>
    <m/>
    <n v="350"/>
    <d v="2017-05-01T00:00:00"/>
    <d v="2019-06-30T00:00:00"/>
    <n v="350"/>
    <m/>
    <m/>
    <m/>
    <m/>
    <m/>
    <n v="1"/>
    <m/>
    <m/>
    <x v="1"/>
    <n v="3"/>
    <m/>
    <m/>
    <m/>
    <m/>
    <m/>
    <m/>
    <m/>
    <m/>
    <m/>
    <n v="173"/>
    <n v="177"/>
    <m/>
    <n v="1"/>
    <m/>
    <m/>
    <m/>
    <m/>
    <m/>
    <n v="0.7142857142857143"/>
    <n v="250"/>
    <n v="0"/>
    <n v="0"/>
    <n v="0.7142857142857143"/>
    <n v="250"/>
    <n v="1"/>
    <n v="0.2857142857142857"/>
    <n v="100"/>
    <n v="0"/>
    <n v="1"/>
    <n v="0.42857142857142855"/>
    <n v="150"/>
    <n v="150"/>
    <n v="58"/>
    <n v="58"/>
    <n v="0.5714285714285714"/>
    <n v="350"/>
    <n v="0"/>
    <n v="350"/>
    <n v="1"/>
    <n v="0"/>
    <n v="1"/>
    <n v="0"/>
    <n v="0"/>
    <n v="0"/>
    <x v="1"/>
    <s v="Village"/>
    <x v="0"/>
    <n v="0"/>
    <n v="20.812870025634801"/>
    <n v="93.075592041015597"/>
    <n v="196649"/>
    <x v="0"/>
    <m/>
  </r>
  <r>
    <x v="1"/>
    <x v="2"/>
    <x v="15"/>
    <s v="Danish Committee for UNICEF"/>
    <x v="0"/>
    <x v="9"/>
    <x v="0"/>
    <x v="235"/>
    <m/>
    <n v="407"/>
    <d v="2017-05-01T00:00:00"/>
    <d v="2019-06-30T00:00:00"/>
    <n v="407"/>
    <m/>
    <m/>
    <m/>
    <m/>
    <m/>
    <n v="2"/>
    <m/>
    <m/>
    <x v="1"/>
    <n v="4"/>
    <m/>
    <m/>
    <m/>
    <m/>
    <m/>
    <m/>
    <m/>
    <m/>
    <m/>
    <n v="207"/>
    <n v="200"/>
    <m/>
    <n v="1"/>
    <m/>
    <m/>
    <m/>
    <m/>
    <m/>
    <n v="1"/>
    <n v="407"/>
    <n v="0"/>
    <n v="0"/>
    <n v="1"/>
    <n v="407"/>
    <n v="1.6279999999999999"/>
    <n v="0"/>
    <n v="0"/>
    <n v="0.37200000000000011"/>
    <n v="2"/>
    <n v="0.49140049140049141"/>
    <n v="200"/>
    <n v="200"/>
    <n v="68"/>
    <n v="68"/>
    <n v="0.50859950859950853"/>
    <n v="407"/>
    <n v="0"/>
    <n v="407"/>
    <n v="1"/>
    <n v="0"/>
    <n v="1"/>
    <n v="0"/>
    <n v="0"/>
    <n v="0"/>
    <x v="1"/>
    <s v="Village"/>
    <x v="0"/>
    <n v="0"/>
    <n v="20.774000167846701"/>
    <n v="93.060752868652301"/>
    <n v="196647"/>
    <x v="0"/>
    <m/>
  </r>
  <r>
    <x v="1"/>
    <x v="2"/>
    <x v="15"/>
    <s v="Danish Committee for UNICEF"/>
    <x v="0"/>
    <x v="9"/>
    <x v="0"/>
    <x v="236"/>
    <m/>
    <n v="145"/>
    <d v="2017-05-01T00:00:00"/>
    <d v="2019-06-30T00:00:00"/>
    <n v="145"/>
    <m/>
    <m/>
    <m/>
    <m/>
    <m/>
    <n v="1"/>
    <m/>
    <m/>
    <x v="1"/>
    <n v="3"/>
    <m/>
    <m/>
    <m/>
    <m/>
    <m/>
    <m/>
    <m/>
    <m/>
    <m/>
    <n v="83"/>
    <n v="62"/>
    <m/>
    <n v="1"/>
    <m/>
    <m/>
    <m/>
    <m/>
    <m/>
    <n v="1"/>
    <n v="145"/>
    <n v="0"/>
    <n v="0"/>
    <n v="1"/>
    <n v="145"/>
    <n v="0.57999999999999996"/>
    <n v="0"/>
    <n v="0"/>
    <n v="0.42000000000000004"/>
    <n v="1"/>
    <n v="1"/>
    <n v="145"/>
    <n v="150"/>
    <n v="24"/>
    <n v="24"/>
    <n v="0"/>
    <n v="145"/>
    <n v="0"/>
    <n v="145"/>
    <n v="1"/>
    <n v="0"/>
    <n v="1"/>
    <n v="0"/>
    <n v="0"/>
    <n v="0"/>
    <x v="1"/>
    <s v="Village"/>
    <x v="0"/>
    <n v="0"/>
    <n v="20.685459136962901"/>
    <n v="93.127792358398395"/>
    <n v="196609"/>
    <x v="0"/>
    <m/>
  </r>
  <r>
    <x v="1"/>
    <x v="2"/>
    <x v="15"/>
    <s v="Danish Committee for UNICEF"/>
    <x v="0"/>
    <x v="9"/>
    <x v="0"/>
    <x v="237"/>
    <m/>
    <n v="256"/>
    <d v="2017-05-01T00:00:00"/>
    <d v="2019-06-30T00:00:00"/>
    <n v="256"/>
    <m/>
    <m/>
    <m/>
    <m/>
    <m/>
    <n v="1"/>
    <m/>
    <m/>
    <x v="1"/>
    <n v="4"/>
    <m/>
    <m/>
    <m/>
    <m/>
    <m/>
    <m/>
    <m/>
    <m/>
    <m/>
    <n v="137"/>
    <n v="119"/>
    <m/>
    <n v="1"/>
    <m/>
    <m/>
    <m/>
    <m/>
    <m/>
    <n v="0.9765625"/>
    <n v="250"/>
    <n v="0"/>
    <n v="0"/>
    <n v="0.9765625"/>
    <n v="250"/>
    <n v="1"/>
    <n v="2.34375E-2"/>
    <n v="6"/>
    <n v="0"/>
    <n v="1"/>
    <n v="0.78125"/>
    <n v="200"/>
    <n v="200"/>
    <n v="43"/>
    <n v="43"/>
    <n v="0.21875"/>
    <n v="256"/>
    <n v="0"/>
    <n v="256"/>
    <n v="1"/>
    <n v="0"/>
    <n v="1"/>
    <n v="0"/>
    <n v="0"/>
    <n v="0"/>
    <x v="1"/>
    <s v="Village"/>
    <x v="0"/>
    <n v="0"/>
    <n v="20.7459907531738"/>
    <n v="93.055381774902301"/>
    <n v="196646"/>
    <x v="0"/>
    <m/>
  </r>
  <r>
    <x v="1"/>
    <x v="1"/>
    <x v="1"/>
    <s v="IOM"/>
    <x v="1"/>
    <x v="1"/>
    <x v="0"/>
    <x v="3"/>
    <n v="153"/>
    <n v="838"/>
    <d v="2019-01-15T00:00:00"/>
    <d v="2019-09-15T00:00:00"/>
    <m/>
    <m/>
    <m/>
    <m/>
    <m/>
    <m/>
    <m/>
    <m/>
    <m/>
    <x v="4"/>
    <m/>
    <m/>
    <m/>
    <m/>
    <m/>
    <m/>
    <m/>
    <m/>
    <m/>
    <m/>
    <m/>
    <m/>
    <m/>
    <m/>
    <m/>
    <m/>
    <m/>
    <m/>
    <m/>
    <n v="0"/>
    <n v="0"/>
    <n v="0"/>
    <n v="0"/>
    <n v="0"/>
    <n v="0"/>
    <n v="0"/>
    <n v="1"/>
    <n v="838"/>
    <n v="3"/>
    <n v="3"/>
    <n v="0"/>
    <n v="0"/>
    <n v="0"/>
    <n v="140"/>
    <n v="140"/>
    <n v="1"/>
    <n v="0"/>
    <n v="0"/>
    <n v="0"/>
    <n v="0"/>
    <n v="1"/>
    <n v="0"/>
    <n v="0"/>
    <n v="0"/>
    <n v="0"/>
    <x v="0"/>
    <s v="Village"/>
    <x v="0"/>
    <s v="Muslim"/>
    <n v="20.819919586181602"/>
    <n v="92.589729309082003"/>
    <n v="198349"/>
    <x v="0"/>
    <m/>
  </r>
  <r>
    <x v="1"/>
    <x v="1"/>
    <x v="1"/>
    <s v="IOM"/>
    <x v="1"/>
    <x v="2"/>
    <x v="0"/>
    <x v="4"/>
    <n v="275"/>
    <n v="1698"/>
    <d v="2019-01-15T00:00:00"/>
    <d v="2019-09-15T00:00:00"/>
    <m/>
    <m/>
    <m/>
    <m/>
    <m/>
    <m/>
    <m/>
    <m/>
    <m/>
    <x v="4"/>
    <m/>
    <m/>
    <m/>
    <m/>
    <m/>
    <m/>
    <m/>
    <m/>
    <m/>
    <m/>
    <m/>
    <m/>
    <m/>
    <m/>
    <m/>
    <m/>
    <m/>
    <m/>
    <m/>
    <n v="0"/>
    <n v="0"/>
    <n v="0"/>
    <n v="0"/>
    <n v="0"/>
    <n v="0"/>
    <n v="0"/>
    <n v="1"/>
    <n v="1698"/>
    <n v="7"/>
    <n v="7"/>
    <n v="0"/>
    <n v="0"/>
    <n v="0"/>
    <n v="283"/>
    <n v="283"/>
    <n v="1"/>
    <n v="0"/>
    <n v="0"/>
    <n v="0"/>
    <n v="0"/>
    <n v="1"/>
    <n v="0"/>
    <n v="0"/>
    <n v="0"/>
    <n v="0"/>
    <x v="0"/>
    <s v="Village"/>
    <x v="0"/>
    <s v="Muslim"/>
    <n v="0"/>
    <n v="0"/>
    <n v="197968"/>
    <x v="0"/>
    <m/>
  </r>
  <r>
    <x v="1"/>
    <x v="1"/>
    <x v="1"/>
    <s v="IOM"/>
    <x v="1"/>
    <x v="2"/>
    <x v="0"/>
    <x v="5"/>
    <n v="119"/>
    <n v="428"/>
    <d v="2019-01-15T00:00:00"/>
    <d v="2019-09-15T00:00:00"/>
    <m/>
    <m/>
    <m/>
    <m/>
    <m/>
    <m/>
    <m/>
    <m/>
    <m/>
    <x v="4"/>
    <m/>
    <m/>
    <m/>
    <m/>
    <m/>
    <m/>
    <m/>
    <m/>
    <m/>
    <m/>
    <m/>
    <m/>
    <m/>
    <m/>
    <m/>
    <m/>
    <m/>
    <m/>
    <m/>
    <n v="0"/>
    <n v="0"/>
    <n v="0"/>
    <n v="0"/>
    <n v="0"/>
    <n v="0"/>
    <n v="0"/>
    <n v="1"/>
    <n v="428"/>
    <n v="2"/>
    <n v="2"/>
    <n v="0"/>
    <n v="0"/>
    <n v="0"/>
    <n v="71"/>
    <n v="71"/>
    <n v="1"/>
    <n v="0"/>
    <n v="0"/>
    <n v="0"/>
    <n v="0"/>
    <n v="1"/>
    <n v="0"/>
    <n v="0"/>
    <n v="0"/>
    <n v="0"/>
    <x v="0"/>
    <s v="Village"/>
    <x v="0"/>
    <s v="Rakhine"/>
    <n v="0"/>
    <n v="0"/>
    <n v="220977"/>
    <x v="0"/>
    <m/>
  </r>
  <r>
    <x v="1"/>
    <x v="1"/>
    <x v="1"/>
    <s v="IOM"/>
    <x v="1"/>
    <x v="2"/>
    <x v="0"/>
    <x v="6"/>
    <n v="60"/>
    <n v="314"/>
    <d v="2019-01-15T00:00:00"/>
    <d v="2019-09-15T00:00:00"/>
    <m/>
    <m/>
    <m/>
    <m/>
    <m/>
    <m/>
    <m/>
    <m/>
    <m/>
    <x v="4"/>
    <m/>
    <m/>
    <m/>
    <m/>
    <m/>
    <m/>
    <m/>
    <m/>
    <m/>
    <m/>
    <m/>
    <m/>
    <m/>
    <m/>
    <m/>
    <m/>
    <m/>
    <m/>
    <m/>
    <n v="0"/>
    <n v="0"/>
    <n v="0"/>
    <n v="0"/>
    <n v="0"/>
    <n v="0"/>
    <n v="0"/>
    <n v="1"/>
    <n v="314"/>
    <n v="1"/>
    <n v="1"/>
    <n v="0"/>
    <n v="0"/>
    <n v="0"/>
    <n v="52"/>
    <n v="52"/>
    <n v="1"/>
    <n v="0"/>
    <n v="0"/>
    <n v="0"/>
    <n v="0"/>
    <n v="1"/>
    <n v="0"/>
    <n v="0"/>
    <n v="0"/>
    <n v="0"/>
    <x v="0"/>
    <s v="Village"/>
    <x v="0"/>
    <s v="Rakhine"/>
    <n v="20.646560668945298"/>
    <n v="92.976043701171903"/>
    <n v="196937"/>
    <x v="0"/>
    <m/>
  </r>
  <r>
    <x v="1"/>
    <x v="1"/>
    <x v="1"/>
    <s v="IOM"/>
    <x v="1"/>
    <x v="1"/>
    <x v="0"/>
    <x v="7"/>
    <n v="95"/>
    <n v="570"/>
    <d v="2019-01-15T00:00:00"/>
    <d v="2019-09-15T00:00:00"/>
    <m/>
    <m/>
    <m/>
    <m/>
    <m/>
    <m/>
    <m/>
    <m/>
    <m/>
    <x v="4"/>
    <m/>
    <m/>
    <m/>
    <m/>
    <m/>
    <m/>
    <m/>
    <m/>
    <m/>
    <m/>
    <m/>
    <m/>
    <m/>
    <m/>
    <m/>
    <m/>
    <m/>
    <m/>
    <m/>
    <n v="0"/>
    <n v="0"/>
    <n v="0"/>
    <n v="0"/>
    <n v="0"/>
    <n v="0"/>
    <n v="0"/>
    <n v="1"/>
    <n v="570"/>
    <n v="2"/>
    <n v="2"/>
    <n v="0"/>
    <n v="0"/>
    <n v="0"/>
    <n v="95"/>
    <n v="95"/>
    <n v="1"/>
    <n v="0"/>
    <n v="0"/>
    <n v="0"/>
    <n v="0"/>
    <n v="1"/>
    <n v="0"/>
    <n v="0"/>
    <n v="0"/>
    <n v="0"/>
    <x v="0"/>
    <s v="Village"/>
    <x v="0"/>
    <s v="Muslim"/>
    <n v="0"/>
    <n v="0"/>
    <n v="198427"/>
    <x v="0"/>
    <m/>
  </r>
  <r>
    <x v="1"/>
    <x v="1"/>
    <x v="1"/>
    <s v="IOM"/>
    <x v="1"/>
    <x v="1"/>
    <x v="0"/>
    <x v="8"/>
    <n v="8"/>
    <n v="42"/>
    <d v="2019-01-15T00:00:00"/>
    <d v="2019-09-15T00:00:00"/>
    <m/>
    <m/>
    <m/>
    <m/>
    <m/>
    <m/>
    <m/>
    <m/>
    <m/>
    <x v="4"/>
    <m/>
    <m/>
    <m/>
    <m/>
    <m/>
    <m/>
    <m/>
    <m/>
    <m/>
    <m/>
    <m/>
    <m/>
    <m/>
    <m/>
    <m/>
    <m/>
    <m/>
    <m/>
    <m/>
    <n v="0"/>
    <n v="0"/>
    <n v="0"/>
    <n v="0"/>
    <n v="0"/>
    <n v="0"/>
    <n v="0"/>
    <n v="1"/>
    <n v="42"/>
    <n v="1"/>
    <n v="1"/>
    <n v="0"/>
    <n v="0"/>
    <n v="0"/>
    <n v="7"/>
    <n v="7"/>
    <n v="1"/>
    <n v="0"/>
    <n v="0"/>
    <n v="0"/>
    <n v="0"/>
    <n v="1"/>
    <n v="0"/>
    <n v="0"/>
    <n v="0"/>
    <n v="0"/>
    <x v="0"/>
    <s v="Village"/>
    <x v="0"/>
    <s v="Rakhine"/>
    <n v="0"/>
    <n v="0"/>
    <n v="198426"/>
    <x v="0"/>
    <m/>
  </r>
  <r>
    <x v="1"/>
    <x v="1"/>
    <x v="1"/>
    <s v="IOM"/>
    <x v="1"/>
    <x v="1"/>
    <x v="0"/>
    <x v="9"/>
    <n v="96"/>
    <n v="533"/>
    <d v="2019-01-15T00:00:00"/>
    <d v="2019-09-15T00:00:00"/>
    <m/>
    <m/>
    <m/>
    <m/>
    <m/>
    <m/>
    <m/>
    <m/>
    <m/>
    <x v="4"/>
    <m/>
    <m/>
    <m/>
    <m/>
    <m/>
    <m/>
    <m/>
    <m/>
    <m/>
    <m/>
    <m/>
    <m/>
    <m/>
    <m/>
    <m/>
    <m/>
    <m/>
    <m/>
    <m/>
    <n v="0"/>
    <n v="0"/>
    <n v="0"/>
    <n v="0"/>
    <n v="0"/>
    <n v="0"/>
    <n v="0"/>
    <n v="1"/>
    <n v="533"/>
    <n v="2"/>
    <n v="2"/>
    <n v="0"/>
    <n v="0"/>
    <n v="0"/>
    <n v="89"/>
    <n v="89"/>
    <n v="1"/>
    <n v="0"/>
    <n v="0"/>
    <n v="0"/>
    <n v="0"/>
    <n v="1"/>
    <n v="0"/>
    <n v="0"/>
    <n v="0"/>
    <n v="0"/>
    <x v="0"/>
    <s v="Village"/>
    <x v="0"/>
    <s v="Muslim"/>
    <n v="0"/>
    <n v="0"/>
    <n v="198435"/>
    <x v="0"/>
    <m/>
  </r>
  <r>
    <x v="1"/>
    <x v="1"/>
    <x v="1"/>
    <s v="IOM"/>
    <x v="1"/>
    <x v="1"/>
    <x v="0"/>
    <x v="10"/>
    <n v="217"/>
    <n v="1155"/>
    <d v="2019-01-15T00:00:00"/>
    <d v="2019-09-15T00:00:00"/>
    <m/>
    <m/>
    <m/>
    <m/>
    <m/>
    <m/>
    <m/>
    <m/>
    <m/>
    <x v="4"/>
    <m/>
    <m/>
    <m/>
    <m/>
    <m/>
    <m/>
    <m/>
    <m/>
    <m/>
    <m/>
    <m/>
    <m/>
    <m/>
    <m/>
    <m/>
    <m/>
    <m/>
    <m/>
    <m/>
    <n v="0"/>
    <n v="0"/>
    <n v="0"/>
    <n v="0"/>
    <n v="0"/>
    <n v="0"/>
    <n v="0"/>
    <n v="1"/>
    <n v="1155"/>
    <n v="5"/>
    <n v="5"/>
    <n v="0"/>
    <n v="0"/>
    <n v="0"/>
    <n v="193"/>
    <n v="193"/>
    <n v="1"/>
    <n v="0"/>
    <n v="0"/>
    <n v="0"/>
    <n v="0"/>
    <n v="1"/>
    <n v="0"/>
    <n v="0"/>
    <n v="0"/>
    <n v="0"/>
    <x v="0"/>
    <s v="Village"/>
    <x v="0"/>
    <s v="Muslim"/>
    <n v="20.703790659999999"/>
    <n v="92.628463749999995"/>
    <n v="198431"/>
    <x v="0"/>
    <m/>
  </r>
  <r>
    <x v="1"/>
    <x v="1"/>
    <x v="1"/>
    <s v="IOM"/>
    <x v="1"/>
    <x v="1"/>
    <x v="0"/>
    <x v="11"/>
    <n v="129"/>
    <n v="664"/>
    <d v="2019-01-15T00:00:00"/>
    <d v="2019-09-15T00:00:00"/>
    <m/>
    <m/>
    <m/>
    <m/>
    <m/>
    <m/>
    <m/>
    <m/>
    <m/>
    <x v="4"/>
    <m/>
    <m/>
    <m/>
    <m/>
    <m/>
    <m/>
    <m/>
    <m/>
    <m/>
    <m/>
    <m/>
    <m/>
    <m/>
    <m/>
    <m/>
    <m/>
    <m/>
    <m/>
    <m/>
    <n v="0"/>
    <n v="0"/>
    <n v="0"/>
    <n v="0"/>
    <n v="0"/>
    <n v="0"/>
    <n v="0"/>
    <n v="1"/>
    <n v="664"/>
    <n v="3"/>
    <n v="3"/>
    <n v="0"/>
    <n v="0"/>
    <n v="0"/>
    <n v="111"/>
    <n v="111"/>
    <n v="1"/>
    <n v="0"/>
    <n v="0"/>
    <n v="0"/>
    <n v="0"/>
    <n v="1"/>
    <n v="0"/>
    <n v="0"/>
    <n v="0"/>
    <n v="0"/>
    <x v="0"/>
    <s v="Village"/>
    <x v="0"/>
    <s v="Rakhine"/>
    <n v="20.703920360000001"/>
    <n v="92.631500239999994"/>
    <n v="198428"/>
    <x v="0"/>
    <m/>
  </r>
  <r>
    <x v="1"/>
    <x v="1"/>
    <x v="1"/>
    <s v="IOM"/>
    <x v="1"/>
    <x v="1"/>
    <x v="0"/>
    <x v="12"/>
    <n v="171"/>
    <n v="908"/>
    <d v="2019-01-15T00:00:00"/>
    <d v="2019-09-15T00:00:00"/>
    <m/>
    <m/>
    <m/>
    <m/>
    <m/>
    <m/>
    <m/>
    <m/>
    <m/>
    <x v="4"/>
    <m/>
    <m/>
    <m/>
    <m/>
    <m/>
    <m/>
    <m/>
    <m/>
    <m/>
    <m/>
    <m/>
    <m/>
    <m/>
    <m/>
    <m/>
    <m/>
    <m/>
    <m/>
    <m/>
    <n v="0"/>
    <n v="0"/>
    <n v="0"/>
    <n v="0"/>
    <n v="0"/>
    <n v="0"/>
    <n v="0"/>
    <n v="1"/>
    <n v="908"/>
    <n v="4"/>
    <n v="4"/>
    <n v="0"/>
    <n v="0"/>
    <n v="0"/>
    <n v="151"/>
    <n v="151"/>
    <n v="1"/>
    <n v="0"/>
    <n v="0"/>
    <n v="0"/>
    <n v="0"/>
    <n v="1"/>
    <n v="0"/>
    <n v="0"/>
    <n v="0"/>
    <n v="0"/>
    <x v="0"/>
    <s v="Village"/>
    <x v="0"/>
    <s v="Muslim"/>
    <n v="0"/>
    <n v="0"/>
    <n v="198350"/>
    <x v="0"/>
    <m/>
  </r>
  <r>
    <x v="1"/>
    <x v="1"/>
    <x v="1"/>
    <s v="IOM"/>
    <x v="1"/>
    <x v="2"/>
    <x v="0"/>
    <x v="13"/>
    <n v="376"/>
    <n v="2392"/>
    <d v="2019-01-15T00:00:00"/>
    <d v="2019-09-15T00:00:00"/>
    <m/>
    <m/>
    <m/>
    <m/>
    <m/>
    <m/>
    <m/>
    <m/>
    <m/>
    <x v="4"/>
    <m/>
    <m/>
    <m/>
    <m/>
    <m/>
    <m/>
    <m/>
    <m/>
    <m/>
    <m/>
    <m/>
    <m/>
    <m/>
    <m/>
    <m/>
    <m/>
    <m/>
    <m/>
    <m/>
    <n v="0"/>
    <n v="0"/>
    <n v="0"/>
    <n v="0"/>
    <n v="0"/>
    <n v="0"/>
    <n v="0"/>
    <n v="1"/>
    <n v="2392"/>
    <n v="10"/>
    <n v="10"/>
    <n v="0"/>
    <n v="0"/>
    <n v="0"/>
    <n v="399"/>
    <n v="399"/>
    <n v="1"/>
    <n v="0"/>
    <n v="0"/>
    <n v="0"/>
    <n v="0"/>
    <n v="1"/>
    <n v="0"/>
    <n v="0"/>
    <n v="0"/>
    <n v="0"/>
    <x v="0"/>
    <s v="Village"/>
    <x v="1"/>
    <s v="Rakhine"/>
    <n v="19.421102000000001"/>
    <n v="93.552452000000002"/>
    <s v="MMR012CMP036"/>
    <x v="0"/>
    <m/>
  </r>
  <r>
    <x v="1"/>
    <x v="1"/>
    <x v="1"/>
    <s v="IOM"/>
    <x v="1"/>
    <x v="2"/>
    <x v="0"/>
    <x v="14"/>
    <n v="145"/>
    <n v="702"/>
    <d v="2019-01-15T00:00:00"/>
    <d v="2019-09-15T00:00:00"/>
    <m/>
    <m/>
    <m/>
    <m/>
    <m/>
    <m/>
    <m/>
    <m/>
    <m/>
    <x v="4"/>
    <m/>
    <m/>
    <m/>
    <m/>
    <m/>
    <m/>
    <m/>
    <m/>
    <m/>
    <m/>
    <m/>
    <m/>
    <m/>
    <m/>
    <m/>
    <m/>
    <m/>
    <m/>
    <m/>
    <n v="0"/>
    <n v="0"/>
    <n v="0"/>
    <n v="0"/>
    <n v="0"/>
    <n v="0"/>
    <n v="0"/>
    <n v="1"/>
    <n v="702"/>
    <n v="3"/>
    <n v="3"/>
    <n v="0"/>
    <n v="0"/>
    <n v="0"/>
    <n v="117"/>
    <n v="117"/>
    <n v="1"/>
    <n v="0"/>
    <n v="0"/>
    <n v="0"/>
    <n v="0"/>
    <n v="1"/>
    <n v="0"/>
    <n v="0"/>
    <n v="0"/>
    <n v="0"/>
    <x v="0"/>
    <s v="Village"/>
    <x v="0"/>
    <s v="Muslim"/>
    <n v="0"/>
    <n v="0"/>
    <n v="0"/>
    <x v="0"/>
    <m/>
  </r>
  <r>
    <x v="1"/>
    <x v="1"/>
    <x v="1"/>
    <s v="IOM"/>
    <x v="1"/>
    <x v="1"/>
    <x v="0"/>
    <x v="15"/>
    <n v="22"/>
    <n v="100"/>
    <d v="2019-01-15T00:00:00"/>
    <d v="2019-09-15T00:00:00"/>
    <m/>
    <m/>
    <m/>
    <m/>
    <m/>
    <m/>
    <m/>
    <m/>
    <m/>
    <x v="4"/>
    <m/>
    <m/>
    <m/>
    <m/>
    <m/>
    <m/>
    <m/>
    <m/>
    <m/>
    <m/>
    <m/>
    <m/>
    <m/>
    <m/>
    <m/>
    <m/>
    <m/>
    <m/>
    <m/>
    <n v="0"/>
    <n v="0"/>
    <n v="0"/>
    <n v="0"/>
    <n v="0"/>
    <n v="0"/>
    <n v="0"/>
    <n v="1"/>
    <n v="100"/>
    <n v="1"/>
    <n v="1"/>
    <n v="0"/>
    <n v="0"/>
    <n v="0"/>
    <n v="17"/>
    <n v="17"/>
    <n v="1"/>
    <n v="0"/>
    <n v="0"/>
    <n v="0"/>
    <n v="0"/>
    <n v="1"/>
    <n v="0"/>
    <n v="0"/>
    <n v="0"/>
    <n v="0"/>
    <x v="0"/>
    <s v="Village"/>
    <x v="0"/>
    <s v="Rakhine"/>
    <n v="20.80558014"/>
    <n v="92.549842830000003"/>
    <n v="198336"/>
    <x v="0"/>
    <m/>
  </r>
  <r>
    <x v="1"/>
    <x v="1"/>
    <x v="1"/>
    <s v="IOM"/>
    <x v="1"/>
    <x v="1"/>
    <x v="0"/>
    <x v="16"/>
    <n v="18"/>
    <n v="85"/>
    <d v="2019-01-15T00:00:00"/>
    <d v="2019-09-15T00:00:00"/>
    <m/>
    <m/>
    <m/>
    <m/>
    <m/>
    <m/>
    <m/>
    <m/>
    <m/>
    <x v="4"/>
    <m/>
    <m/>
    <m/>
    <m/>
    <m/>
    <m/>
    <m/>
    <m/>
    <m/>
    <m/>
    <m/>
    <m/>
    <m/>
    <m/>
    <m/>
    <m/>
    <m/>
    <m/>
    <m/>
    <n v="0"/>
    <n v="0"/>
    <n v="0"/>
    <n v="0"/>
    <n v="0"/>
    <n v="0"/>
    <n v="0"/>
    <n v="1"/>
    <n v="85"/>
    <n v="1"/>
    <n v="1"/>
    <n v="0"/>
    <n v="0"/>
    <n v="0"/>
    <n v="14"/>
    <n v="14"/>
    <n v="1"/>
    <n v="0"/>
    <n v="0"/>
    <n v="0"/>
    <n v="0"/>
    <n v="1"/>
    <n v="0"/>
    <n v="0"/>
    <n v="0"/>
    <n v="0"/>
    <x v="0"/>
    <s v="Village"/>
    <x v="0"/>
    <s v="Rakhine"/>
    <n v="20.892290119999998"/>
    <n v="92.550079350000004"/>
    <n v="198303"/>
    <x v="0"/>
    <m/>
  </r>
  <r>
    <x v="1"/>
    <x v="1"/>
    <x v="1"/>
    <s v="IOM"/>
    <x v="1"/>
    <x v="1"/>
    <x v="0"/>
    <x v="17"/>
    <n v="162"/>
    <n v="927"/>
    <d v="2019-01-15T00:00:00"/>
    <d v="2019-09-15T00:00:00"/>
    <m/>
    <m/>
    <m/>
    <m/>
    <m/>
    <m/>
    <m/>
    <m/>
    <m/>
    <x v="4"/>
    <m/>
    <m/>
    <m/>
    <m/>
    <m/>
    <m/>
    <m/>
    <m/>
    <m/>
    <m/>
    <m/>
    <m/>
    <m/>
    <m/>
    <m/>
    <m/>
    <m/>
    <m/>
    <m/>
    <n v="0"/>
    <n v="0"/>
    <n v="0"/>
    <n v="0"/>
    <n v="0"/>
    <n v="0"/>
    <n v="0"/>
    <n v="1"/>
    <n v="927"/>
    <n v="4"/>
    <n v="4"/>
    <n v="0"/>
    <n v="0"/>
    <n v="0"/>
    <n v="155"/>
    <n v="155"/>
    <n v="1"/>
    <n v="0"/>
    <n v="0"/>
    <n v="0"/>
    <n v="0"/>
    <n v="1"/>
    <n v="0"/>
    <n v="0"/>
    <n v="0"/>
    <n v="0"/>
    <x v="0"/>
    <s v="Village"/>
    <x v="0"/>
    <s v="Muslim"/>
    <n v="0"/>
    <n v="0"/>
    <n v="198405"/>
    <x v="0"/>
    <m/>
  </r>
  <r>
    <x v="1"/>
    <x v="1"/>
    <x v="1"/>
    <s v="IOM"/>
    <x v="1"/>
    <x v="2"/>
    <x v="0"/>
    <x v="18"/>
    <n v="181"/>
    <n v="1089"/>
    <d v="2019-01-15T00:00:00"/>
    <d v="2019-09-15T00:00:00"/>
    <m/>
    <m/>
    <m/>
    <m/>
    <m/>
    <m/>
    <m/>
    <m/>
    <m/>
    <x v="4"/>
    <m/>
    <m/>
    <m/>
    <m/>
    <m/>
    <m/>
    <m/>
    <m/>
    <m/>
    <m/>
    <m/>
    <m/>
    <m/>
    <m/>
    <m/>
    <m/>
    <m/>
    <m/>
    <m/>
    <n v="0"/>
    <n v="0"/>
    <n v="0"/>
    <n v="0"/>
    <n v="0"/>
    <n v="0"/>
    <n v="0"/>
    <n v="1"/>
    <n v="1089"/>
    <n v="4"/>
    <n v="4"/>
    <n v="0"/>
    <n v="0"/>
    <n v="0"/>
    <n v="182"/>
    <n v="182"/>
    <n v="1"/>
    <n v="0"/>
    <n v="0"/>
    <n v="0"/>
    <n v="0"/>
    <n v="1"/>
    <n v="0"/>
    <n v="0"/>
    <n v="0"/>
    <n v="0"/>
    <x v="0"/>
    <s v="Village"/>
    <x v="0"/>
    <s v="Rakhine"/>
    <n v="20.691099170000001"/>
    <n v="92.590652469999995"/>
    <n v="198446"/>
    <x v="0"/>
    <m/>
  </r>
  <r>
    <x v="1"/>
    <x v="17"/>
    <x v="1"/>
    <s v="IOM,OFDA "/>
    <x v="1"/>
    <x v="2"/>
    <x v="0"/>
    <x v="19"/>
    <n v="241"/>
    <n v="1397"/>
    <s v="1/15/2019,8-1-19"/>
    <s v="9/15/2019,12/31/20"/>
    <m/>
    <m/>
    <m/>
    <m/>
    <m/>
    <m/>
    <m/>
    <m/>
    <m/>
    <x v="2"/>
    <m/>
    <m/>
    <m/>
    <m/>
    <m/>
    <m/>
    <m/>
    <m/>
    <m/>
    <m/>
    <m/>
    <m/>
    <m/>
    <m/>
    <m/>
    <m/>
    <m/>
    <m/>
    <m/>
    <n v="0"/>
    <n v="0"/>
    <n v="0"/>
    <n v="0"/>
    <n v="0"/>
    <n v="0"/>
    <n v="0"/>
    <n v="1"/>
    <n v="1397"/>
    <n v="6"/>
    <n v="6"/>
    <n v="0"/>
    <n v="0"/>
    <n v="0"/>
    <n v="233"/>
    <n v="233"/>
    <n v="1"/>
    <n v="0"/>
    <n v="0"/>
    <n v="0"/>
    <n v="0"/>
    <n v="1"/>
    <n v="0"/>
    <n v="0"/>
    <n v="0"/>
    <n v="0"/>
    <x v="0"/>
    <s v="Village"/>
    <x v="0"/>
    <s v="Muslim"/>
    <n v="20.872400280000001"/>
    <n v="92.337608340000003"/>
    <n v="197971"/>
    <x v="0"/>
    <m/>
  </r>
  <r>
    <x v="1"/>
    <x v="1"/>
    <x v="1"/>
    <s v="IOM"/>
    <x v="1"/>
    <x v="1"/>
    <x v="0"/>
    <x v="20"/>
    <n v="152"/>
    <n v="798"/>
    <d v="2019-01-15T00:00:00"/>
    <d v="2019-09-15T00:00:00"/>
    <m/>
    <m/>
    <m/>
    <m/>
    <m/>
    <m/>
    <m/>
    <m/>
    <m/>
    <x v="4"/>
    <m/>
    <m/>
    <m/>
    <m/>
    <m/>
    <m/>
    <m/>
    <m/>
    <m/>
    <m/>
    <m/>
    <m/>
    <m/>
    <m/>
    <m/>
    <m/>
    <m/>
    <m/>
    <m/>
    <n v="0"/>
    <n v="0"/>
    <n v="0"/>
    <n v="0"/>
    <n v="0"/>
    <n v="0"/>
    <n v="0"/>
    <n v="1"/>
    <n v="798"/>
    <n v="3"/>
    <n v="3"/>
    <n v="0"/>
    <n v="0"/>
    <n v="0"/>
    <n v="133"/>
    <n v="133"/>
    <n v="1"/>
    <n v="0"/>
    <n v="0"/>
    <n v="0"/>
    <n v="0"/>
    <n v="1"/>
    <n v="0"/>
    <n v="0"/>
    <n v="0"/>
    <n v="0"/>
    <x v="0"/>
    <s v="Village"/>
    <x v="0"/>
    <s v="Muslim"/>
    <n v="0"/>
    <n v="0"/>
    <n v="198351"/>
    <x v="0"/>
    <m/>
  </r>
  <r>
    <x v="1"/>
    <x v="1"/>
    <x v="1"/>
    <s v="IOM"/>
    <x v="1"/>
    <x v="1"/>
    <x v="0"/>
    <x v="21"/>
    <n v="136"/>
    <n v="847"/>
    <d v="2019-01-15T00:00:00"/>
    <d v="2019-09-15T00:00:00"/>
    <m/>
    <m/>
    <m/>
    <m/>
    <m/>
    <m/>
    <m/>
    <m/>
    <m/>
    <x v="4"/>
    <m/>
    <m/>
    <m/>
    <m/>
    <m/>
    <m/>
    <m/>
    <m/>
    <m/>
    <m/>
    <m/>
    <m/>
    <m/>
    <m/>
    <m/>
    <m/>
    <m/>
    <m/>
    <m/>
    <n v="0"/>
    <n v="0"/>
    <n v="0"/>
    <n v="0"/>
    <n v="0"/>
    <n v="0"/>
    <n v="0"/>
    <n v="1"/>
    <n v="847"/>
    <n v="3"/>
    <n v="3"/>
    <n v="0"/>
    <n v="0"/>
    <n v="0"/>
    <n v="141"/>
    <n v="141"/>
    <n v="1"/>
    <n v="0"/>
    <n v="0"/>
    <n v="0"/>
    <n v="0"/>
    <n v="1"/>
    <n v="0"/>
    <n v="0"/>
    <n v="0"/>
    <n v="0"/>
    <x v="0"/>
    <s v="Village"/>
    <x v="0"/>
    <s v="Muslim"/>
    <n v="0"/>
    <n v="0"/>
    <n v="0"/>
    <x v="0"/>
    <m/>
  </r>
  <r>
    <x v="1"/>
    <x v="1"/>
    <x v="1"/>
    <s v="IOM"/>
    <x v="1"/>
    <x v="1"/>
    <x v="0"/>
    <x v="22"/>
    <n v="20"/>
    <n v="91"/>
    <d v="2019-01-15T00:00:00"/>
    <d v="2019-09-15T00:00:00"/>
    <m/>
    <m/>
    <m/>
    <m/>
    <m/>
    <m/>
    <m/>
    <m/>
    <m/>
    <x v="4"/>
    <m/>
    <m/>
    <m/>
    <m/>
    <m/>
    <m/>
    <m/>
    <m/>
    <m/>
    <m/>
    <m/>
    <m/>
    <m/>
    <m/>
    <m/>
    <m/>
    <m/>
    <m/>
    <m/>
    <n v="0"/>
    <n v="0"/>
    <n v="0"/>
    <n v="0"/>
    <n v="0"/>
    <n v="0"/>
    <n v="0"/>
    <n v="1"/>
    <n v="91"/>
    <n v="1"/>
    <n v="1"/>
    <n v="0"/>
    <n v="0"/>
    <n v="0"/>
    <n v="15"/>
    <n v="15"/>
    <n v="1"/>
    <n v="0"/>
    <n v="0"/>
    <n v="0"/>
    <n v="0"/>
    <n v="1"/>
    <n v="0"/>
    <n v="0"/>
    <n v="0"/>
    <n v="0"/>
    <x v="0"/>
    <s v="Village"/>
    <x v="0"/>
    <s v="Rakhine"/>
    <n v="20.767719270000001"/>
    <n v="92.631736759999995"/>
    <n v="198409"/>
    <x v="0"/>
    <m/>
  </r>
  <r>
    <x v="1"/>
    <x v="1"/>
    <x v="1"/>
    <s v="IOM"/>
    <x v="1"/>
    <x v="2"/>
    <x v="0"/>
    <x v="23"/>
    <n v="31"/>
    <n v="256"/>
    <d v="2019-01-15T00:00:00"/>
    <d v="2019-09-15T00:00:00"/>
    <m/>
    <m/>
    <m/>
    <m/>
    <m/>
    <m/>
    <m/>
    <m/>
    <m/>
    <x v="4"/>
    <m/>
    <m/>
    <m/>
    <m/>
    <m/>
    <m/>
    <m/>
    <m/>
    <m/>
    <m/>
    <m/>
    <m/>
    <m/>
    <m/>
    <m/>
    <m/>
    <m/>
    <m/>
    <m/>
    <n v="0"/>
    <n v="0"/>
    <n v="0"/>
    <n v="0"/>
    <n v="0"/>
    <n v="0"/>
    <n v="0"/>
    <n v="1"/>
    <n v="256"/>
    <n v="1"/>
    <n v="1"/>
    <n v="0"/>
    <n v="0"/>
    <n v="0"/>
    <n v="43"/>
    <n v="43"/>
    <n v="1"/>
    <n v="0"/>
    <n v="0"/>
    <n v="0"/>
    <n v="0"/>
    <n v="1"/>
    <n v="0"/>
    <n v="0"/>
    <n v="0"/>
    <n v="0"/>
    <x v="0"/>
    <s v="Village"/>
    <x v="0"/>
    <s v="Rakhine"/>
    <n v="0"/>
    <n v="0"/>
    <n v="0"/>
    <x v="0"/>
    <m/>
  </r>
  <r>
    <x v="1"/>
    <x v="1"/>
    <x v="1"/>
    <s v="IOM"/>
    <x v="1"/>
    <x v="2"/>
    <x v="0"/>
    <x v="24"/>
    <n v="86"/>
    <n v="401"/>
    <d v="2019-01-15T00:00:00"/>
    <d v="2019-09-15T00:00:00"/>
    <m/>
    <m/>
    <m/>
    <m/>
    <m/>
    <m/>
    <m/>
    <m/>
    <m/>
    <x v="4"/>
    <m/>
    <m/>
    <m/>
    <m/>
    <m/>
    <m/>
    <m/>
    <m/>
    <m/>
    <m/>
    <m/>
    <m/>
    <m/>
    <m/>
    <m/>
    <m/>
    <m/>
    <m/>
    <m/>
    <n v="0"/>
    <n v="0"/>
    <n v="0"/>
    <n v="0"/>
    <n v="0"/>
    <n v="0"/>
    <n v="0"/>
    <n v="1"/>
    <n v="401"/>
    <n v="2"/>
    <n v="2"/>
    <n v="0"/>
    <n v="0"/>
    <n v="0"/>
    <n v="67"/>
    <n v="67"/>
    <n v="1"/>
    <n v="0"/>
    <n v="0"/>
    <n v="0"/>
    <n v="0"/>
    <n v="1"/>
    <n v="0"/>
    <n v="0"/>
    <n v="0"/>
    <n v="0"/>
    <x v="0"/>
    <s v="Village"/>
    <x v="0"/>
    <s v="Rakhine"/>
    <n v="20.806211470000001"/>
    <n v="92.404357910000002"/>
    <n v="220737"/>
    <x v="0"/>
    <m/>
  </r>
  <r>
    <x v="1"/>
    <x v="1"/>
    <x v="1"/>
    <s v="IOM"/>
    <x v="1"/>
    <x v="1"/>
    <x v="0"/>
    <x v="25"/>
    <n v="23"/>
    <n v="86"/>
    <d v="2019-01-15T00:00:00"/>
    <d v="2019-09-15T00:00:00"/>
    <m/>
    <m/>
    <m/>
    <m/>
    <m/>
    <m/>
    <m/>
    <m/>
    <m/>
    <x v="4"/>
    <m/>
    <m/>
    <m/>
    <m/>
    <m/>
    <m/>
    <m/>
    <m/>
    <m/>
    <m/>
    <m/>
    <m/>
    <m/>
    <m/>
    <m/>
    <m/>
    <m/>
    <m/>
    <m/>
    <n v="0"/>
    <n v="0"/>
    <n v="0"/>
    <n v="0"/>
    <n v="0"/>
    <n v="0"/>
    <n v="0"/>
    <n v="1"/>
    <n v="86"/>
    <n v="1"/>
    <n v="1"/>
    <n v="0"/>
    <n v="0"/>
    <n v="0"/>
    <n v="14"/>
    <n v="14"/>
    <n v="1"/>
    <n v="0"/>
    <n v="0"/>
    <n v="0"/>
    <n v="0"/>
    <n v="1"/>
    <n v="0"/>
    <n v="0"/>
    <n v="0"/>
    <n v="0"/>
    <x v="0"/>
    <s v="Village"/>
    <x v="0"/>
    <s v="Rakhine"/>
    <n v="0"/>
    <n v="0"/>
    <n v="198337"/>
    <x v="0"/>
    <m/>
  </r>
  <r>
    <x v="1"/>
    <x v="1"/>
    <x v="1"/>
    <s v="IOM"/>
    <x v="1"/>
    <x v="1"/>
    <x v="0"/>
    <x v="26"/>
    <n v="74"/>
    <n v="343"/>
    <d v="2019-01-15T00:00:00"/>
    <d v="2019-09-15T00:00:00"/>
    <m/>
    <m/>
    <m/>
    <m/>
    <m/>
    <m/>
    <m/>
    <m/>
    <m/>
    <x v="4"/>
    <m/>
    <m/>
    <m/>
    <m/>
    <m/>
    <m/>
    <m/>
    <m/>
    <m/>
    <m/>
    <m/>
    <m/>
    <m/>
    <m/>
    <m/>
    <m/>
    <m/>
    <m/>
    <m/>
    <n v="0"/>
    <n v="0"/>
    <n v="0"/>
    <n v="0"/>
    <n v="0"/>
    <n v="0"/>
    <n v="0"/>
    <n v="1"/>
    <n v="343"/>
    <n v="1"/>
    <n v="1"/>
    <n v="0"/>
    <n v="0"/>
    <n v="0"/>
    <n v="57"/>
    <n v="57"/>
    <n v="1"/>
    <n v="0"/>
    <n v="0"/>
    <n v="0"/>
    <n v="0"/>
    <n v="1"/>
    <n v="0"/>
    <n v="0"/>
    <n v="0"/>
    <n v="0"/>
    <x v="0"/>
    <s v="Village"/>
    <x v="0"/>
    <s v="Rakhine"/>
    <n v="0"/>
    <n v="0"/>
    <n v="198363"/>
    <x v="0"/>
    <m/>
  </r>
  <r>
    <x v="1"/>
    <x v="1"/>
    <x v="1"/>
    <s v="IOM"/>
    <x v="1"/>
    <x v="1"/>
    <x v="0"/>
    <x v="27"/>
    <n v="18"/>
    <n v="73"/>
    <d v="2019-01-15T00:00:00"/>
    <d v="2019-09-15T00:00:00"/>
    <m/>
    <m/>
    <m/>
    <m/>
    <m/>
    <m/>
    <m/>
    <m/>
    <m/>
    <x v="4"/>
    <m/>
    <m/>
    <m/>
    <m/>
    <m/>
    <m/>
    <m/>
    <m/>
    <m/>
    <m/>
    <m/>
    <m/>
    <m/>
    <m/>
    <m/>
    <m/>
    <m/>
    <m/>
    <m/>
    <n v="0"/>
    <n v="0"/>
    <n v="0"/>
    <n v="0"/>
    <n v="0"/>
    <n v="0"/>
    <n v="0"/>
    <n v="1"/>
    <n v="73"/>
    <n v="1"/>
    <n v="1"/>
    <n v="0"/>
    <n v="0"/>
    <n v="0"/>
    <n v="12"/>
    <n v="12"/>
    <n v="1"/>
    <n v="0"/>
    <n v="0"/>
    <n v="0"/>
    <n v="0"/>
    <n v="1"/>
    <n v="0"/>
    <n v="0"/>
    <n v="0"/>
    <n v="0"/>
    <x v="0"/>
    <s v="Village"/>
    <x v="0"/>
    <s v="Rakhine"/>
    <n v="20.887420649999999"/>
    <n v="92.545410160000003"/>
    <n v="198300"/>
    <x v="0"/>
    <m/>
  </r>
  <r>
    <x v="1"/>
    <x v="1"/>
    <x v="1"/>
    <s v="IOM"/>
    <x v="1"/>
    <x v="1"/>
    <x v="0"/>
    <x v="28"/>
    <n v="218"/>
    <n v="1207"/>
    <d v="2019-01-15T00:00:00"/>
    <d v="2019-09-15T00:00:00"/>
    <m/>
    <m/>
    <m/>
    <m/>
    <m/>
    <m/>
    <m/>
    <m/>
    <m/>
    <x v="4"/>
    <m/>
    <m/>
    <m/>
    <m/>
    <m/>
    <m/>
    <m/>
    <m/>
    <m/>
    <m/>
    <m/>
    <m/>
    <m/>
    <m/>
    <m/>
    <m/>
    <m/>
    <m/>
    <m/>
    <n v="0"/>
    <n v="0"/>
    <n v="0"/>
    <n v="0"/>
    <n v="0"/>
    <n v="0"/>
    <n v="0"/>
    <n v="1"/>
    <n v="1207"/>
    <n v="5"/>
    <n v="5"/>
    <n v="0"/>
    <n v="0"/>
    <n v="0"/>
    <n v="201"/>
    <n v="201"/>
    <n v="1"/>
    <n v="0"/>
    <n v="0"/>
    <n v="0"/>
    <n v="0"/>
    <n v="1"/>
    <n v="0"/>
    <n v="0"/>
    <n v="0"/>
    <n v="0"/>
    <x v="0"/>
    <s v="Village"/>
    <x v="0"/>
    <s v="Muslim"/>
    <n v="0"/>
    <n v="0"/>
    <n v="198434"/>
    <x v="0"/>
    <m/>
  </r>
  <r>
    <x v="1"/>
    <x v="1"/>
    <x v="1"/>
    <s v="IOM"/>
    <x v="1"/>
    <x v="1"/>
    <x v="0"/>
    <x v="29"/>
    <n v="11"/>
    <n v="39"/>
    <d v="2019-01-15T00:00:00"/>
    <d v="2019-09-15T00:00:00"/>
    <m/>
    <m/>
    <m/>
    <m/>
    <m/>
    <m/>
    <m/>
    <m/>
    <m/>
    <x v="4"/>
    <m/>
    <m/>
    <m/>
    <m/>
    <m/>
    <m/>
    <m/>
    <m/>
    <m/>
    <m/>
    <m/>
    <m/>
    <m/>
    <m/>
    <m/>
    <m/>
    <m/>
    <m/>
    <m/>
    <n v="0"/>
    <n v="0"/>
    <n v="0"/>
    <n v="0"/>
    <n v="0"/>
    <n v="0"/>
    <n v="0"/>
    <n v="1"/>
    <n v="39"/>
    <n v="1"/>
    <n v="1"/>
    <n v="0"/>
    <n v="0"/>
    <n v="0"/>
    <n v="7"/>
    <n v="7"/>
    <n v="1"/>
    <n v="0"/>
    <n v="0"/>
    <n v="0"/>
    <n v="0"/>
    <n v="1"/>
    <n v="0"/>
    <n v="0"/>
    <n v="0"/>
    <n v="0"/>
    <x v="0"/>
    <s v="Village"/>
    <x v="0"/>
    <s v="Rakhine"/>
    <n v="0"/>
    <n v="0"/>
    <n v="198433"/>
    <x v="0"/>
    <m/>
  </r>
  <r>
    <x v="1"/>
    <x v="1"/>
    <x v="1"/>
    <s v="IOM"/>
    <x v="1"/>
    <x v="2"/>
    <x v="0"/>
    <x v="30"/>
    <n v="53"/>
    <n v="263"/>
    <d v="2019-01-15T00:00:00"/>
    <d v="2019-09-15T00:00:00"/>
    <m/>
    <m/>
    <m/>
    <m/>
    <m/>
    <m/>
    <m/>
    <m/>
    <m/>
    <x v="4"/>
    <m/>
    <m/>
    <m/>
    <m/>
    <m/>
    <m/>
    <m/>
    <m/>
    <m/>
    <m/>
    <m/>
    <m/>
    <m/>
    <m/>
    <m/>
    <m/>
    <m/>
    <m/>
    <m/>
    <n v="0"/>
    <n v="0"/>
    <n v="0"/>
    <n v="0"/>
    <n v="0"/>
    <n v="0"/>
    <n v="0"/>
    <n v="1"/>
    <n v="263"/>
    <n v="1"/>
    <n v="1"/>
    <n v="0"/>
    <n v="0"/>
    <n v="0"/>
    <n v="44"/>
    <n v="44"/>
    <n v="1"/>
    <n v="0"/>
    <n v="0"/>
    <n v="0"/>
    <n v="0"/>
    <n v="1"/>
    <n v="0"/>
    <n v="0"/>
    <n v="0"/>
    <n v="0"/>
    <x v="0"/>
    <s v="Village"/>
    <x v="0"/>
    <s v="Rakhine"/>
    <n v="0"/>
    <n v="0"/>
    <n v="220736"/>
    <x v="0"/>
    <m/>
  </r>
  <r>
    <x v="1"/>
    <x v="1"/>
    <x v="1"/>
    <s v="IOM"/>
    <x v="1"/>
    <x v="1"/>
    <x v="0"/>
    <x v="31"/>
    <n v="125"/>
    <n v="580"/>
    <d v="2019-01-15T00:00:00"/>
    <d v="2019-09-15T00:00:00"/>
    <m/>
    <m/>
    <m/>
    <m/>
    <m/>
    <m/>
    <m/>
    <m/>
    <m/>
    <x v="4"/>
    <m/>
    <m/>
    <m/>
    <m/>
    <m/>
    <m/>
    <m/>
    <m/>
    <m/>
    <m/>
    <m/>
    <m/>
    <m/>
    <m/>
    <m/>
    <m/>
    <m/>
    <m/>
    <m/>
    <n v="0"/>
    <n v="0"/>
    <n v="0"/>
    <n v="0"/>
    <n v="0"/>
    <n v="0"/>
    <n v="0"/>
    <n v="1"/>
    <n v="580"/>
    <n v="2"/>
    <n v="2"/>
    <n v="0"/>
    <n v="0"/>
    <n v="0"/>
    <n v="97"/>
    <n v="97"/>
    <n v="1"/>
    <n v="0"/>
    <n v="0"/>
    <n v="0"/>
    <n v="0"/>
    <n v="1"/>
    <n v="0"/>
    <n v="0"/>
    <n v="0"/>
    <n v="0"/>
    <x v="0"/>
    <s v="Village"/>
    <x v="0"/>
    <s v="Muslim"/>
    <n v="0"/>
    <n v="0"/>
    <n v="198370"/>
    <x v="0"/>
    <m/>
  </r>
  <r>
    <x v="1"/>
    <x v="13"/>
    <x v="1"/>
    <s v="OFDA "/>
    <x v="1"/>
    <x v="1"/>
    <x v="0"/>
    <x v="170"/>
    <n v="38"/>
    <n v="184"/>
    <d v="2018-05-01T00:00:00"/>
    <d v="2019-07-31T00:00:00"/>
    <n v="25"/>
    <m/>
    <n v="3"/>
    <n v="1"/>
    <n v="1"/>
    <m/>
    <m/>
    <m/>
    <n v="24"/>
    <x v="2"/>
    <m/>
    <m/>
    <m/>
    <m/>
    <m/>
    <m/>
    <m/>
    <m/>
    <m/>
    <m/>
    <m/>
    <m/>
    <s v="                             -  "/>
    <m/>
    <m/>
    <m/>
    <m/>
    <m/>
    <m/>
    <n v="1"/>
    <n v="184"/>
    <n v="1"/>
    <n v="184"/>
    <n v="1"/>
    <n v="184"/>
    <n v="0.73599999999999999"/>
    <n v="0"/>
    <n v="0"/>
    <n v="0.26400000000000001"/>
    <n v="1"/>
    <n v="0.78260869565217395"/>
    <n v="144"/>
    <n v="0"/>
    <n v="31"/>
    <n v="7"/>
    <n v="0.21739130434782605"/>
    <n v="0"/>
    <e v="#VALUE!"/>
    <n v="0"/>
    <n v="0"/>
    <n v="1"/>
    <n v="0"/>
    <n v="0"/>
    <n v="0"/>
    <n v="0"/>
    <x v="1"/>
    <s v="Village"/>
    <x v="0"/>
    <n v="0"/>
    <n v="20.813840866088899"/>
    <n v="92.599952697753906"/>
    <n v="198357"/>
    <x v="0"/>
    <m/>
  </r>
  <r>
    <x v="1"/>
    <x v="13"/>
    <x v="1"/>
    <s v="OFDA "/>
    <x v="1"/>
    <x v="2"/>
    <x v="0"/>
    <x v="171"/>
    <n v="60"/>
    <n v="266"/>
    <d v="2018-05-01T00:00:00"/>
    <d v="2019-07-31T00:00:00"/>
    <n v="47"/>
    <m/>
    <n v="0"/>
    <m/>
    <n v="2"/>
    <m/>
    <m/>
    <m/>
    <n v="50"/>
    <x v="2"/>
    <m/>
    <m/>
    <m/>
    <m/>
    <m/>
    <m/>
    <m/>
    <m/>
    <m/>
    <m/>
    <m/>
    <m/>
    <s v="                             -  "/>
    <s v="                             -  "/>
    <m/>
    <m/>
    <m/>
    <m/>
    <m/>
    <n v="0"/>
    <n v="0"/>
    <n v="1"/>
    <n v="266"/>
    <n v="1"/>
    <n v="266"/>
    <n v="1.0640000000000001"/>
    <n v="0"/>
    <n v="0"/>
    <n v="0"/>
    <n v="1"/>
    <n v="1"/>
    <n v="266"/>
    <n v="0"/>
    <n v="44"/>
    <n v="0"/>
    <n v="0"/>
    <n v="0"/>
    <e v="#VALUE!"/>
    <n v="0"/>
    <n v="0"/>
    <n v="1"/>
    <n v="0"/>
    <n v="0"/>
    <n v="0"/>
    <n v="0"/>
    <x v="1"/>
    <s v="Village"/>
    <x v="0"/>
    <s v="Rakhine"/>
    <n v="20.991559980000002"/>
    <n v="92.290878300000003"/>
    <n v="197896"/>
    <x v="0"/>
    <m/>
  </r>
  <r>
    <x v="1"/>
    <x v="13"/>
    <x v="1"/>
    <s v="OFDA "/>
    <x v="1"/>
    <x v="1"/>
    <x v="0"/>
    <x v="172"/>
    <n v="41"/>
    <n v="172"/>
    <d v="2018-05-01T00:00:00"/>
    <d v="2019-07-31T00:00:00"/>
    <n v="37"/>
    <m/>
    <n v="0"/>
    <n v="4"/>
    <n v="2"/>
    <m/>
    <m/>
    <m/>
    <n v="30"/>
    <x v="2"/>
    <n v="2"/>
    <m/>
    <m/>
    <m/>
    <m/>
    <m/>
    <m/>
    <m/>
    <m/>
    <m/>
    <m/>
    <m/>
    <s v="                             -  "/>
    <n v="1"/>
    <m/>
    <m/>
    <m/>
    <m/>
    <m/>
    <n v="1"/>
    <n v="172"/>
    <n v="1"/>
    <n v="172"/>
    <n v="1"/>
    <n v="172"/>
    <n v="0.68799999999999994"/>
    <n v="0"/>
    <n v="0"/>
    <n v="0.31200000000000006"/>
    <n v="1"/>
    <n v="1"/>
    <n v="172"/>
    <n v="100"/>
    <n v="29"/>
    <n v="0"/>
    <n v="0"/>
    <n v="0"/>
    <e v="#VALUE!"/>
    <n v="0"/>
    <n v="0"/>
    <n v="1"/>
    <n v="0"/>
    <n v="0"/>
    <n v="0"/>
    <n v="0"/>
    <x v="1"/>
    <s v="Village"/>
    <x v="0"/>
    <s v="Rakhine"/>
    <n v="20.818290709999999"/>
    <n v="92.594978330000004"/>
    <n v="217876"/>
    <x v="0"/>
    <m/>
  </r>
  <r>
    <x v="1"/>
    <x v="13"/>
    <x v="1"/>
    <s v="OFDA "/>
    <x v="1"/>
    <x v="1"/>
    <x v="0"/>
    <x v="173"/>
    <n v="24"/>
    <n v="91"/>
    <d v="2018-05-01T00:00:00"/>
    <d v="2019-07-31T00:00:00"/>
    <n v="15"/>
    <m/>
    <n v="0"/>
    <n v="2"/>
    <m/>
    <m/>
    <m/>
    <m/>
    <n v="20"/>
    <x v="2"/>
    <m/>
    <m/>
    <m/>
    <m/>
    <m/>
    <m/>
    <m/>
    <m/>
    <m/>
    <m/>
    <m/>
    <m/>
    <s v="                             -  "/>
    <s v="                             -  "/>
    <m/>
    <m/>
    <m/>
    <m/>
    <m/>
    <n v="1"/>
    <n v="91"/>
    <n v="0"/>
    <n v="0"/>
    <n v="1"/>
    <n v="91"/>
    <n v="0.36399999999999999"/>
    <n v="0"/>
    <n v="0"/>
    <n v="0.63600000000000001"/>
    <n v="1"/>
    <n v="1"/>
    <n v="91"/>
    <n v="0"/>
    <n v="15"/>
    <n v="0"/>
    <n v="0"/>
    <n v="0"/>
    <e v="#VALUE!"/>
    <n v="0"/>
    <n v="0"/>
    <n v="1"/>
    <n v="0"/>
    <n v="0"/>
    <n v="0"/>
    <n v="0"/>
    <x v="1"/>
    <s v="Village"/>
    <x v="0"/>
    <s v="Rakhine"/>
    <n v="20.849060059999999"/>
    <n v="92.497413640000005"/>
    <n v="198313"/>
    <x v="0"/>
    <m/>
  </r>
  <r>
    <x v="1"/>
    <x v="13"/>
    <x v="1"/>
    <s v="OFDA "/>
    <x v="1"/>
    <x v="1"/>
    <x v="0"/>
    <x v="174"/>
    <n v="115"/>
    <n v="658"/>
    <d v="2018-05-01T00:00:00"/>
    <d v="2019-07-31T00:00:00"/>
    <n v="420"/>
    <m/>
    <n v="0"/>
    <n v="1"/>
    <n v="2"/>
    <m/>
    <m/>
    <m/>
    <n v="80"/>
    <x v="1"/>
    <n v="1"/>
    <m/>
    <m/>
    <m/>
    <m/>
    <m/>
    <m/>
    <m/>
    <m/>
    <m/>
    <m/>
    <m/>
    <s v="                             -  "/>
    <s v="                             -  "/>
    <m/>
    <m/>
    <m/>
    <m/>
    <m/>
    <n v="1"/>
    <n v="658"/>
    <n v="1"/>
    <n v="658"/>
    <n v="1"/>
    <n v="658"/>
    <n v="2.6320000000000001"/>
    <n v="0"/>
    <n v="0"/>
    <n v="0.36799999999999988"/>
    <n v="3"/>
    <n v="0.80547112462006076"/>
    <n v="530"/>
    <n v="50"/>
    <n v="110"/>
    <n v="30"/>
    <n v="0.19452887537993924"/>
    <n v="0"/>
    <e v="#VALUE!"/>
    <n v="0"/>
    <n v="0"/>
    <n v="1"/>
    <n v="0"/>
    <n v="0"/>
    <n v="0"/>
    <n v="0"/>
    <x v="1"/>
    <s v="Village"/>
    <x v="0"/>
    <s v="Muslim"/>
    <n v="20.876710889999998"/>
    <n v="92.537406919999995"/>
    <n v="198301"/>
    <x v="0"/>
    <m/>
  </r>
  <r>
    <x v="1"/>
    <x v="13"/>
    <x v="1"/>
    <s v="OFDA "/>
    <x v="1"/>
    <x v="2"/>
    <x v="0"/>
    <x v="175"/>
    <n v="55"/>
    <n v="241"/>
    <d v="2018-05-01T00:00:00"/>
    <d v="2019-07-31T00:00:00"/>
    <n v="43"/>
    <m/>
    <n v="2"/>
    <n v="3"/>
    <n v="1"/>
    <m/>
    <m/>
    <m/>
    <n v="30"/>
    <x v="1"/>
    <n v="2"/>
    <m/>
    <m/>
    <m/>
    <m/>
    <m/>
    <m/>
    <m/>
    <m/>
    <m/>
    <m/>
    <m/>
    <s v="                             -  "/>
    <s v="                             -  "/>
    <m/>
    <m/>
    <m/>
    <m/>
    <m/>
    <n v="1"/>
    <n v="241"/>
    <n v="1"/>
    <n v="241"/>
    <n v="1"/>
    <n v="241"/>
    <n v="0.96399999999999997"/>
    <n v="0"/>
    <n v="0"/>
    <n v="3.6000000000000032E-2"/>
    <n v="1"/>
    <n v="1"/>
    <n v="241"/>
    <n v="100"/>
    <n v="40"/>
    <n v="10"/>
    <n v="0"/>
    <n v="0"/>
    <e v="#VALUE!"/>
    <n v="0"/>
    <n v="0"/>
    <n v="1"/>
    <n v="0"/>
    <n v="0"/>
    <n v="0"/>
    <n v="0"/>
    <x v="1"/>
    <s v="Village"/>
    <x v="0"/>
    <s v="Rakhine"/>
    <n v="20.8013000488281"/>
    <n v="92.423202514648395"/>
    <n v="217895"/>
    <x v="0"/>
    <m/>
  </r>
  <r>
    <x v="1"/>
    <x v="13"/>
    <x v="1"/>
    <s v="OFDA "/>
    <x v="1"/>
    <x v="1"/>
    <x v="0"/>
    <x v="176"/>
    <n v="105"/>
    <n v="523"/>
    <d v="2018-05-01T00:00:00"/>
    <d v="2019-07-31T00:00:00"/>
    <n v="120"/>
    <m/>
    <n v="0"/>
    <n v="2"/>
    <n v="1"/>
    <m/>
    <m/>
    <m/>
    <n v="50"/>
    <x v="2"/>
    <m/>
    <m/>
    <m/>
    <m/>
    <m/>
    <m/>
    <m/>
    <m/>
    <m/>
    <m/>
    <m/>
    <m/>
    <s v="                             -  "/>
    <s v="                             -  "/>
    <m/>
    <m/>
    <m/>
    <m/>
    <m/>
    <n v="1"/>
    <n v="523"/>
    <n v="1"/>
    <n v="523"/>
    <n v="1"/>
    <n v="523"/>
    <n v="2.0920000000000001"/>
    <n v="0"/>
    <n v="0"/>
    <n v="0"/>
    <n v="2"/>
    <n v="0.57361376673040154"/>
    <n v="300"/>
    <n v="0"/>
    <n v="87"/>
    <n v="37"/>
    <n v="0.42638623326959846"/>
    <n v="0"/>
    <e v="#VALUE!"/>
    <n v="0"/>
    <n v="0"/>
    <n v="1"/>
    <n v="0"/>
    <n v="0"/>
    <n v="0"/>
    <n v="0"/>
    <x v="1"/>
    <s v="Village"/>
    <x v="0"/>
    <s v="Muslim"/>
    <n v="20.806030270000001"/>
    <n v="92.601951600000007"/>
    <n v="198369"/>
    <x v="0"/>
    <m/>
  </r>
  <r>
    <x v="1"/>
    <x v="13"/>
    <x v="1"/>
    <s v="OFDA "/>
    <x v="1"/>
    <x v="2"/>
    <x v="0"/>
    <x v="177"/>
    <n v="170"/>
    <n v="989"/>
    <d v="2018-05-01T00:00:00"/>
    <d v="2019-07-31T00:00:00"/>
    <n v="500"/>
    <m/>
    <n v="2"/>
    <n v="6"/>
    <n v="4"/>
    <m/>
    <n v="1"/>
    <m/>
    <n v="102"/>
    <x v="2"/>
    <n v="2"/>
    <m/>
    <m/>
    <m/>
    <m/>
    <m/>
    <m/>
    <m/>
    <m/>
    <m/>
    <m/>
    <m/>
    <s v="                             -  "/>
    <n v="1"/>
    <m/>
    <m/>
    <m/>
    <m/>
    <m/>
    <n v="1"/>
    <n v="989"/>
    <n v="1"/>
    <n v="989"/>
    <n v="1"/>
    <n v="989"/>
    <n v="3.956"/>
    <n v="0"/>
    <n v="0"/>
    <n v="4.4000000000000039E-2"/>
    <n v="4"/>
    <n v="0.71991911021233568"/>
    <n v="712"/>
    <n v="100"/>
    <n v="165"/>
    <n v="63"/>
    <n v="0.28008088978766432"/>
    <n v="0"/>
    <e v="#VALUE!"/>
    <n v="0"/>
    <n v="0"/>
    <n v="1"/>
    <n v="0"/>
    <n v="0"/>
    <n v="0"/>
    <n v="0"/>
    <x v="1"/>
    <s v="Village"/>
    <x v="0"/>
    <s v="Muslim"/>
    <n v="20.914119719999999"/>
    <n v="92.3506012"/>
    <n v="197950"/>
    <x v="0"/>
    <m/>
  </r>
  <r>
    <x v="1"/>
    <x v="13"/>
    <x v="1"/>
    <s v="OFDA "/>
    <x v="1"/>
    <x v="1"/>
    <x v="0"/>
    <x v="178"/>
    <n v="11"/>
    <n v="69"/>
    <d v="2018-05-01T00:00:00"/>
    <d v="2019-07-31T00:00:00"/>
    <n v="35"/>
    <m/>
    <n v="0"/>
    <m/>
    <n v="1"/>
    <m/>
    <m/>
    <m/>
    <n v="11"/>
    <x v="2"/>
    <m/>
    <m/>
    <m/>
    <m/>
    <m/>
    <m/>
    <m/>
    <m/>
    <m/>
    <m/>
    <m/>
    <m/>
    <s v="                             -  "/>
    <s v="                             -  "/>
    <m/>
    <m/>
    <m/>
    <m/>
    <m/>
    <n v="0"/>
    <n v="0"/>
    <n v="1"/>
    <n v="69"/>
    <n v="1"/>
    <n v="69"/>
    <n v="0.27600000000000002"/>
    <n v="0"/>
    <n v="0"/>
    <n v="0.72399999999999998"/>
    <n v="1"/>
    <n v="0.95652173913043481"/>
    <n v="66"/>
    <n v="0"/>
    <n v="12"/>
    <n v="1"/>
    <n v="4.3478260869565188E-2"/>
    <n v="0"/>
    <e v="#VALUE!"/>
    <n v="0"/>
    <n v="0"/>
    <n v="1"/>
    <n v="0"/>
    <n v="0"/>
    <n v="0"/>
    <n v="0"/>
    <x v="1"/>
    <s v="Village"/>
    <x v="0"/>
    <s v="Muslim"/>
    <n v="20.887029649999999"/>
    <n v="92.556823730000005"/>
    <n v="217871"/>
    <x v="0"/>
    <m/>
  </r>
  <r>
    <x v="1"/>
    <x v="13"/>
    <x v="1"/>
    <s v="OFDA "/>
    <x v="1"/>
    <x v="2"/>
    <x v="0"/>
    <x v="179"/>
    <n v="87"/>
    <n v="361"/>
    <d v="2018-05-01T00:00:00"/>
    <d v="2019-07-31T00:00:00"/>
    <n v="67"/>
    <m/>
    <n v="2"/>
    <m/>
    <n v="3"/>
    <m/>
    <m/>
    <m/>
    <n v="30"/>
    <x v="1"/>
    <m/>
    <m/>
    <m/>
    <m/>
    <m/>
    <m/>
    <m/>
    <m/>
    <m/>
    <m/>
    <m/>
    <m/>
    <s v="                             -  "/>
    <s v="                             -  "/>
    <m/>
    <m/>
    <m/>
    <m/>
    <m/>
    <n v="1"/>
    <n v="361"/>
    <n v="1"/>
    <n v="361"/>
    <n v="1"/>
    <n v="361"/>
    <n v="1.444"/>
    <n v="0"/>
    <n v="0"/>
    <n v="0"/>
    <n v="1"/>
    <n v="0.49861495844875348"/>
    <n v="180"/>
    <n v="0"/>
    <n v="60"/>
    <n v="30"/>
    <n v="0.50138504155124652"/>
    <n v="0"/>
    <e v="#VALUE!"/>
    <n v="0"/>
    <n v="0"/>
    <n v="1"/>
    <n v="0"/>
    <n v="0"/>
    <n v="0"/>
    <n v="0"/>
    <x v="1"/>
    <s v="Village"/>
    <x v="0"/>
    <s v="Rakhine"/>
    <n v="20.651159289999999"/>
    <n v="92.605712890000007"/>
    <n v="0"/>
    <x v="0"/>
    <m/>
  </r>
  <r>
    <x v="1"/>
    <x v="13"/>
    <x v="1"/>
    <s v="OFDA "/>
    <x v="1"/>
    <x v="1"/>
    <x v="0"/>
    <x v="180"/>
    <n v="166"/>
    <n v="854"/>
    <d v="2018-05-01T00:00:00"/>
    <d v="2019-07-31T00:00:00"/>
    <n v="231"/>
    <n v="150"/>
    <n v="0"/>
    <n v="3"/>
    <n v="2"/>
    <m/>
    <m/>
    <m/>
    <n v="90"/>
    <x v="2"/>
    <n v="2"/>
    <m/>
    <m/>
    <m/>
    <m/>
    <m/>
    <m/>
    <m/>
    <m/>
    <m/>
    <m/>
    <m/>
    <s v="                             -  "/>
    <n v="1"/>
    <m/>
    <m/>
    <m/>
    <m/>
    <m/>
    <n v="1"/>
    <n v="854"/>
    <n v="1"/>
    <n v="854"/>
    <n v="1"/>
    <n v="854"/>
    <n v="3.4159999999999999"/>
    <n v="0"/>
    <n v="0"/>
    <n v="0"/>
    <n v="3"/>
    <n v="0.74941451990632324"/>
    <n v="640"/>
    <n v="100"/>
    <n v="142"/>
    <n v="52"/>
    <n v="0.25058548009367676"/>
    <n v="0"/>
    <e v="#VALUE!"/>
    <n v="0"/>
    <n v="0"/>
    <n v="1"/>
    <n v="0"/>
    <n v="0"/>
    <n v="0"/>
    <n v="0"/>
    <x v="1"/>
    <s v="Village"/>
    <x v="0"/>
    <s v="Rakhine"/>
    <n v="20.756410599999999"/>
    <n v="92.63580322"/>
    <n v="198413"/>
    <x v="0"/>
    <m/>
  </r>
  <r>
    <x v="1"/>
    <x v="13"/>
    <x v="1"/>
    <s v="OFDA "/>
    <x v="1"/>
    <x v="2"/>
    <x v="0"/>
    <x v="181"/>
    <n v="24"/>
    <n v="93"/>
    <d v="2018-05-01T00:00:00"/>
    <d v="2019-07-31T00:00:00"/>
    <n v="28"/>
    <m/>
    <n v="0"/>
    <m/>
    <n v="1"/>
    <m/>
    <m/>
    <m/>
    <n v="15"/>
    <x v="2"/>
    <m/>
    <m/>
    <m/>
    <m/>
    <m/>
    <m/>
    <m/>
    <m/>
    <m/>
    <m/>
    <m/>
    <m/>
    <s v="                             -  "/>
    <s v="                             -  "/>
    <m/>
    <m/>
    <m/>
    <m/>
    <m/>
    <n v="0"/>
    <n v="0"/>
    <n v="1"/>
    <n v="93"/>
    <n v="1"/>
    <n v="93"/>
    <n v="0.372"/>
    <n v="0"/>
    <n v="0"/>
    <n v="0.628"/>
    <n v="1"/>
    <n v="0.967741935483871"/>
    <n v="90"/>
    <n v="0"/>
    <n v="16"/>
    <n v="1"/>
    <n v="3.2258064516129004E-2"/>
    <n v="0"/>
    <e v="#VALUE!"/>
    <n v="0"/>
    <n v="0"/>
    <n v="1"/>
    <n v="0"/>
    <n v="0"/>
    <n v="0"/>
    <n v="0"/>
    <x v="1"/>
    <s v="Village"/>
    <x v="0"/>
    <s v="Rakhine"/>
    <n v="21.004550930000001"/>
    <n v="92.294601439999994"/>
    <n v="197897"/>
    <x v="0"/>
    <m/>
  </r>
  <r>
    <x v="1"/>
    <x v="13"/>
    <x v="1"/>
    <s v="OFDA "/>
    <x v="1"/>
    <x v="1"/>
    <x v="0"/>
    <x v="182"/>
    <n v="55"/>
    <n v="233"/>
    <d v="2018-05-01T00:00:00"/>
    <d v="2019-07-31T00:00:00"/>
    <n v="30"/>
    <n v="150"/>
    <n v="0"/>
    <n v="2"/>
    <n v="1"/>
    <m/>
    <m/>
    <m/>
    <n v="50"/>
    <x v="2"/>
    <m/>
    <m/>
    <m/>
    <m/>
    <m/>
    <m/>
    <m/>
    <m/>
    <m/>
    <m/>
    <m/>
    <m/>
    <s v="                             -  "/>
    <s v="                             -  "/>
    <m/>
    <m/>
    <m/>
    <m/>
    <m/>
    <n v="1"/>
    <n v="233"/>
    <n v="1"/>
    <n v="233"/>
    <n v="1"/>
    <n v="233"/>
    <n v="0.93200000000000005"/>
    <n v="0"/>
    <n v="0"/>
    <n v="6.7999999999999949E-2"/>
    <n v="1"/>
    <n v="1"/>
    <n v="233"/>
    <n v="0"/>
    <n v="39"/>
    <n v="0"/>
    <n v="0"/>
    <n v="0"/>
    <e v="#VALUE!"/>
    <n v="0"/>
    <n v="0"/>
    <n v="1"/>
    <n v="0"/>
    <n v="0"/>
    <n v="0"/>
    <n v="0"/>
    <x v="1"/>
    <s v="Village"/>
    <x v="0"/>
    <s v="Rakhine"/>
    <n v="20.76407051"/>
    <n v="92.631126399999999"/>
    <n v="198408"/>
    <x v="0"/>
    <m/>
  </r>
  <r>
    <x v="1"/>
    <x v="13"/>
    <x v="1"/>
    <s v="OFDA "/>
    <x v="1"/>
    <x v="2"/>
    <x v="0"/>
    <x v="183"/>
    <n v="54"/>
    <n v="249"/>
    <d v="2018-05-01T00:00:00"/>
    <d v="2019-07-31T00:00:00"/>
    <n v="80"/>
    <m/>
    <n v="2"/>
    <n v="4"/>
    <n v="2"/>
    <m/>
    <n v="1"/>
    <m/>
    <n v="40"/>
    <x v="1"/>
    <n v="2"/>
    <m/>
    <m/>
    <m/>
    <m/>
    <m/>
    <m/>
    <m/>
    <m/>
    <m/>
    <m/>
    <m/>
    <s v="                             -  "/>
    <n v="1"/>
    <m/>
    <m/>
    <m/>
    <m/>
    <m/>
    <n v="1"/>
    <n v="249"/>
    <n v="1"/>
    <n v="249"/>
    <n v="1"/>
    <n v="249"/>
    <n v="0.996"/>
    <n v="0"/>
    <n v="0"/>
    <n v="4.0000000000000036E-3"/>
    <n v="1"/>
    <n v="1"/>
    <n v="249"/>
    <n v="100"/>
    <n v="42"/>
    <n v="2"/>
    <n v="0"/>
    <n v="0"/>
    <e v="#VALUE!"/>
    <n v="0"/>
    <n v="0"/>
    <n v="1"/>
    <n v="0"/>
    <n v="0"/>
    <n v="0"/>
    <n v="0"/>
    <x v="1"/>
    <s v="Village"/>
    <x v="0"/>
    <n v="0"/>
    <n v="0"/>
    <n v="0"/>
    <n v="0"/>
    <x v="0"/>
    <m/>
  </r>
  <r>
    <x v="1"/>
    <x v="13"/>
    <x v="1"/>
    <s v="OFDA "/>
    <x v="1"/>
    <x v="2"/>
    <x v="0"/>
    <x v="184"/>
    <n v="62"/>
    <n v="332"/>
    <d v="2018-05-01T00:00:00"/>
    <d v="2019-07-31T00:00:00"/>
    <n v="5"/>
    <m/>
    <n v="0"/>
    <n v="2"/>
    <n v="1"/>
    <m/>
    <m/>
    <m/>
    <n v="15"/>
    <x v="2"/>
    <m/>
    <m/>
    <m/>
    <m/>
    <m/>
    <m/>
    <m/>
    <m/>
    <m/>
    <m/>
    <m/>
    <m/>
    <s v="                             -  "/>
    <s v="                             -  "/>
    <m/>
    <m/>
    <m/>
    <m/>
    <m/>
    <n v="1"/>
    <n v="332"/>
    <n v="1"/>
    <n v="332"/>
    <n v="1"/>
    <n v="332"/>
    <n v="1.3280000000000001"/>
    <n v="0"/>
    <n v="0"/>
    <n v="0"/>
    <n v="1"/>
    <n v="0.27108433734939757"/>
    <n v="90"/>
    <n v="0"/>
    <n v="55"/>
    <n v="40"/>
    <n v="0.72891566265060237"/>
    <n v="0"/>
    <e v="#VALUE!"/>
    <n v="0"/>
    <n v="0"/>
    <n v="1"/>
    <n v="0"/>
    <n v="0"/>
    <n v="0"/>
    <n v="0"/>
    <x v="1"/>
    <s v="Village"/>
    <x v="0"/>
    <s v="Muslim"/>
    <n v="20.7818698883057"/>
    <n v="92.393142700195298"/>
    <n v="198002"/>
    <x v="0"/>
    <m/>
  </r>
  <r>
    <x v="1"/>
    <x v="13"/>
    <x v="1"/>
    <s v="OFDA "/>
    <x v="1"/>
    <x v="1"/>
    <x v="0"/>
    <x v="185"/>
    <n v="260"/>
    <n v="2652"/>
    <d v="2018-05-01T00:00:00"/>
    <d v="2019-07-31T00:00:00"/>
    <n v="462"/>
    <n v="90"/>
    <n v="0"/>
    <n v="7"/>
    <n v="5"/>
    <n v="1"/>
    <n v="1"/>
    <m/>
    <n v="60"/>
    <x v="2"/>
    <m/>
    <m/>
    <m/>
    <m/>
    <m/>
    <m/>
    <m/>
    <m/>
    <m/>
    <m/>
    <m/>
    <m/>
    <s v="                             -  "/>
    <s v="                             -  "/>
    <m/>
    <m/>
    <m/>
    <m/>
    <m/>
    <n v="1"/>
    <n v="2652"/>
    <n v="1"/>
    <n v="2652"/>
    <n v="1"/>
    <n v="2652"/>
    <n v="10.608000000000001"/>
    <n v="0"/>
    <n v="0"/>
    <n v="0.39199999999999946"/>
    <n v="11"/>
    <n v="0.13574660633484162"/>
    <n v="360"/>
    <n v="0"/>
    <n v="442"/>
    <n v="382"/>
    <n v="0.86425339366515841"/>
    <n v="0"/>
    <e v="#VALUE!"/>
    <n v="0"/>
    <n v="0"/>
    <n v="1"/>
    <n v="0"/>
    <n v="0"/>
    <n v="0"/>
    <n v="0"/>
    <x v="1"/>
    <s v="Village"/>
    <x v="0"/>
    <s v="Muslim"/>
    <n v="20.775840759277301"/>
    <n v="92.613082885742202"/>
    <n v="198407"/>
    <x v="0"/>
    <m/>
  </r>
  <r>
    <x v="1"/>
    <x v="13"/>
    <x v="1"/>
    <s v="OFDA "/>
    <x v="1"/>
    <x v="2"/>
    <x v="0"/>
    <x v="186"/>
    <n v="150"/>
    <n v="626"/>
    <d v="2018-05-01T00:00:00"/>
    <d v="2019-07-31T00:00:00"/>
    <n v="100"/>
    <m/>
    <n v="0"/>
    <n v="6"/>
    <m/>
    <m/>
    <m/>
    <m/>
    <n v="82"/>
    <x v="2"/>
    <m/>
    <m/>
    <m/>
    <m/>
    <m/>
    <m/>
    <m/>
    <m/>
    <m/>
    <m/>
    <m/>
    <m/>
    <s v="                             -  "/>
    <n v="1"/>
    <m/>
    <m/>
    <m/>
    <m/>
    <m/>
    <n v="1"/>
    <n v="626"/>
    <n v="0"/>
    <n v="0"/>
    <n v="1"/>
    <n v="626"/>
    <n v="2.504"/>
    <n v="0"/>
    <n v="0"/>
    <n v="0.496"/>
    <n v="3"/>
    <n v="0.78594249201277955"/>
    <n v="492"/>
    <n v="0"/>
    <n v="104"/>
    <n v="22"/>
    <n v="0.21405750798722045"/>
    <n v="0"/>
    <e v="#VALUE!"/>
    <n v="0"/>
    <n v="0"/>
    <n v="1"/>
    <n v="0"/>
    <n v="0"/>
    <n v="0"/>
    <n v="0"/>
    <x v="1"/>
    <s v="Village"/>
    <x v="0"/>
    <s v="Muslim"/>
    <n v="20.900329589999998"/>
    <n v="92.362213130000001"/>
    <n v="197957"/>
    <x v="0"/>
    <m/>
  </r>
  <r>
    <x v="1"/>
    <x v="13"/>
    <x v="1"/>
    <s v="OFDA "/>
    <x v="1"/>
    <x v="1"/>
    <x v="0"/>
    <x v="187"/>
    <n v="192"/>
    <n v="1690"/>
    <d v="2018-05-01T00:00:00"/>
    <d v="2019-07-31T00:00:00"/>
    <n v="190"/>
    <n v="30"/>
    <n v="0"/>
    <m/>
    <n v="2"/>
    <m/>
    <m/>
    <m/>
    <n v="94"/>
    <x v="2"/>
    <m/>
    <m/>
    <m/>
    <m/>
    <m/>
    <m/>
    <m/>
    <m/>
    <m/>
    <m/>
    <m/>
    <m/>
    <s v="                             -  "/>
    <s v="                             -  "/>
    <m/>
    <m/>
    <m/>
    <m/>
    <m/>
    <n v="0"/>
    <n v="0"/>
    <n v="1"/>
    <n v="1690"/>
    <n v="1"/>
    <n v="1690"/>
    <n v="6.76"/>
    <n v="0"/>
    <n v="0"/>
    <n v="0.24000000000000021"/>
    <n v="7"/>
    <n v="0.33372781065088758"/>
    <n v="564"/>
    <n v="0"/>
    <n v="282"/>
    <n v="188"/>
    <n v="0.66627218934911236"/>
    <n v="0"/>
    <e v="#VALUE!"/>
    <n v="0"/>
    <n v="0"/>
    <n v="1"/>
    <n v="0"/>
    <n v="0"/>
    <n v="0"/>
    <n v="0"/>
    <x v="1"/>
    <s v="Village"/>
    <x v="0"/>
    <s v="Muslim"/>
    <n v="20.741249079999999"/>
    <n v="92.610519409999995"/>
    <n v="198398"/>
    <x v="0"/>
    <m/>
  </r>
  <r>
    <x v="1"/>
    <x v="13"/>
    <x v="1"/>
    <s v="OFDA "/>
    <x v="1"/>
    <x v="1"/>
    <x v="0"/>
    <x v="188"/>
    <n v="80"/>
    <n v="300"/>
    <d v="2018-05-01T00:00:00"/>
    <d v="2019-07-31T00:00:00"/>
    <n v="40"/>
    <n v="30"/>
    <n v="0"/>
    <m/>
    <n v="2"/>
    <m/>
    <m/>
    <m/>
    <n v="60"/>
    <x v="2"/>
    <m/>
    <m/>
    <m/>
    <m/>
    <m/>
    <m/>
    <m/>
    <m/>
    <m/>
    <m/>
    <m/>
    <m/>
    <s v="                             -  "/>
    <s v="                             -  "/>
    <m/>
    <m/>
    <m/>
    <m/>
    <m/>
    <n v="0"/>
    <n v="0"/>
    <n v="1"/>
    <n v="300"/>
    <n v="1"/>
    <n v="300"/>
    <n v="1.2"/>
    <n v="0"/>
    <n v="0"/>
    <n v="0"/>
    <n v="1"/>
    <n v="1"/>
    <n v="300"/>
    <n v="0"/>
    <n v="50"/>
    <n v="0"/>
    <n v="0"/>
    <n v="0"/>
    <e v="#VALUE!"/>
    <n v="0"/>
    <n v="0"/>
    <n v="1"/>
    <n v="0"/>
    <n v="0"/>
    <n v="0"/>
    <n v="0"/>
    <x v="1"/>
    <s v="Village"/>
    <x v="0"/>
    <s v="Rakhine"/>
    <n v="20.739839549999999"/>
    <n v="92.613456729999996"/>
    <n v="198399"/>
    <x v="0"/>
    <m/>
  </r>
  <r>
    <x v="1"/>
    <x v="13"/>
    <x v="1"/>
    <s v="OFDA "/>
    <x v="1"/>
    <x v="1"/>
    <x v="0"/>
    <x v="189"/>
    <n v="20"/>
    <n v="96"/>
    <d v="2018-05-01T00:00:00"/>
    <d v="2019-07-31T00:00:00"/>
    <n v="30"/>
    <m/>
    <n v="0"/>
    <m/>
    <n v="1"/>
    <m/>
    <m/>
    <m/>
    <n v="17"/>
    <x v="2"/>
    <m/>
    <m/>
    <m/>
    <m/>
    <m/>
    <m/>
    <m/>
    <m/>
    <m/>
    <m/>
    <m/>
    <m/>
    <s v="                             -  "/>
    <s v="                             -  "/>
    <m/>
    <m/>
    <m/>
    <m/>
    <m/>
    <n v="0"/>
    <n v="0"/>
    <n v="1"/>
    <n v="96"/>
    <n v="1"/>
    <n v="96"/>
    <n v="0.38400000000000001"/>
    <n v="0"/>
    <n v="0"/>
    <n v="0.61599999999999999"/>
    <n v="1"/>
    <n v="1"/>
    <n v="96"/>
    <n v="0"/>
    <n v="16"/>
    <n v="0"/>
    <n v="0"/>
    <n v="0"/>
    <e v="#VALUE!"/>
    <n v="0"/>
    <n v="0"/>
    <n v="1"/>
    <n v="0"/>
    <n v="0"/>
    <n v="0"/>
    <n v="0"/>
    <x v="1"/>
    <s v="Village"/>
    <x v="0"/>
    <n v="0"/>
    <n v="0"/>
    <n v="0"/>
    <n v="0"/>
    <x v="0"/>
    <m/>
  </r>
  <r>
    <x v="1"/>
    <x v="13"/>
    <x v="1"/>
    <s v="OFDA "/>
    <x v="1"/>
    <x v="1"/>
    <x v="0"/>
    <x v="190"/>
    <n v="311"/>
    <n v="1713"/>
    <d v="2018-05-01T00:00:00"/>
    <d v="2019-07-31T00:00:00"/>
    <n v="335"/>
    <m/>
    <n v="0"/>
    <m/>
    <n v="2"/>
    <n v="1"/>
    <n v="1"/>
    <m/>
    <n v="50"/>
    <x v="2"/>
    <n v="2"/>
    <m/>
    <m/>
    <m/>
    <m/>
    <m/>
    <m/>
    <m/>
    <m/>
    <m/>
    <m/>
    <m/>
    <s v="                             -  "/>
    <n v="1"/>
    <m/>
    <m/>
    <m/>
    <m/>
    <m/>
    <n v="0.14594279042615294"/>
    <n v="249.99999999999997"/>
    <n v="1"/>
    <n v="1713"/>
    <n v="1"/>
    <n v="1713"/>
    <n v="6.8520000000000003"/>
    <n v="0"/>
    <n v="0"/>
    <n v="0.14799999999999969"/>
    <n v="7"/>
    <n v="0.23350846468184472"/>
    <n v="400"/>
    <n v="100"/>
    <n v="286"/>
    <n v="236"/>
    <n v="0.76649153531815528"/>
    <n v="0"/>
    <e v="#VALUE!"/>
    <n v="0"/>
    <n v="0"/>
    <n v="1"/>
    <n v="0"/>
    <n v="0"/>
    <n v="0"/>
    <n v="0"/>
    <x v="1"/>
    <s v="Village"/>
    <x v="0"/>
    <n v="0"/>
    <n v="0"/>
    <n v="0"/>
    <n v="0"/>
    <x v="0"/>
    <m/>
  </r>
  <r>
    <x v="1"/>
    <x v="13"/>
    <x v="1"/>
    <s v="OFDA "/>
    <x v="1"/>
    <x v="1"/>
    <x v="0"/>
    <x v="191"/>
    <n v="250"/>
    <n v="1012"/>
    <d v="2018-05-01T00:00:00"/>
    <d v="2019-07-31T00:00:00"/>
    <n v="732"/>
    <n v="90"/>
    <n v="3"/>
    <m/>
    <n v="2"/>
    <n v="1"/>
    <n v="1"/>
    <m/>
    <n v="150"/>
    <x v="1"/>
    <n v="4"/>
    <m/>
    <m/>
    <m/>
    <m/>
    <m/>
    <m/>
    <m/>
    <m/>
    <m/>
    <m/>
    <m/>
    <s v="                             -  "/>
    <s v="                             -  "/>
    <m/>
    <m/>
    <m/>
    <m/>
    <m/>
    <n v="1"/>
    <n v="1012"/>
    <n v="1"/>
    <n v="1012"/>
    <n v="1"/>
    <n v="1012"/>
    <n v="4.048"/>
    <n v="0"/>
    <n v="0"/>
    <n v="0"/>
    <n v="4"/>
    <n v="1"/>
    <n v="1012"/>
    <n v="200"/>
    <n v="169"/>
    <n v="19"/>
    <n v="0"/>
    <n v="0"/>
    <e v="#VALUE!"/>
    <n v="0"/>
    <n v="0"/>
    <n v="1"/>
    <n v="0"/>
    <n v="0"/>
    <n v="0"/>
    <n v="0"/>
    <x v="1"/>
    <s v="Village"/>
    <x v="0"/>
    <n v="0"/>
    <n v="20.735639572143601"/>
    <n v="92.638076782226605"/>
    <n v="198424"/>
    <x v="0"/>
    <m/>
  </r>
  <r>
    <x v="1"/>
    <x v="13"/>
    <x v="1"/>
    <s v="OFDA "/>
    <x v="1"/>
    <x v="2"/>
    <x v="0"/>
    <x v="238"/>
    <n v="142"/>
    <n v="610"/>
    <d v="2019-08-01T00:00:00"/>
    <d v="2020-12-31T00:00:00"/>
    <n v="700"/>
    <m/>
    <m/>
    <n v="15"/>
    <n v="9"/>
    <n v="1"/>
    <m/>
    <m/>
    <m/>
    <x v="2"/>
    <n v="3"/>
    <m/>
    <m/>
    <m/>
    <m/>
    <m/>
    <m/>
    <m/>
    <m/>
    <m/>
    <m/>
    <m/>
    <m/>
    <m/>
    <m/>
    <m/>
    <m/>
    <m/>
    <m/>
    <n v="1"/>
    <n v="610"/>
    <n v="1"/>
    <n v="610"/>
    <n v="1"/>
    <n v="610"/>
    <n v="2.44"/>
    <n v="0"/>
    <n v="0"/>
    <n v="0"/>
    <n v="2"/>
    <n v="0.24590163934426229"/>
    <n v="150"/>
    <n v="150"/>
    <n v="102"/>
    <n v="102"/>
    <n v="0.75409836065573765"/>
    <n v="0"/>
    <n v="0"/>
    <n v="0"/>
    <n v="0"/>
    <n v="1"/>
    <n v="0"/>
    <n v="0"/>
    <n v="0"/>
    <n v="0"/>
    <x v="1"/>
    <s v="Village"/>
    <x v="0"/>
    <s v="Muslim"/>
    <n v="20.803909300000001"/>
    <n v="92.376831050000007"/>
    <n v="197997"/>
    <x v="0"/>
    <m/>
  </r>
  <r>
    <x v="1"/>
    <x v="13"/>
    <x v="1"/>
    <s v="OFDA "/>
    <x v="1"/>
    <x v="2"/>
    <x v="0"/>
    <x v="239"/>
    <n v="72"/>
    <n v="353"/>
    <d v="2019-08-01T00:00:00"/>
    <d v="2020-12-31T00:00:00"/>
    <n v="430"/>
    <m/>
    <m/>
    <n v="1"/>
    <m/>
    <m/>
    <m/>
    <m/>
    <m/>
    <x v="2"/>
    <n v="4"/>
    <m/>
    <m/>
    <m/>
    <m/>
    <m/>
    <m/>
    <m/>
    <m/>
    <m/>
    <m/>
    <m/>
    <m/>
    <m/>
    <m/>
    <m/>
    <m/>
    <m/>
    <m/>
    <n v="1"/>
    <n v="353"/>
    <n v="0"/>
    <n v="0"/>
    <n v="1"/>
    <n v="353"/>
    <n v="1.4119999999999999"/>
    <n v="0"/>
    <n v="0"/>
    <n v="0"/>
    <n v="1"/>
    <n v="0.56657223796033995"/>
    <n v="200"/>
    <n v="200"/>
    <n v="59"/>
    <n v="59"/>
    <n v="0.43342776203966005"/>
    <n v="0"/>
    <n v="0"/>
    <n v="0"/>
    <n v="0"/>
    <n v="1"/>
    <n v="0"/>
    <n v="0"/>
    <n v="0"/>
    <n v="0"/>
    <x v="1"/>
    <s v="Village"/>
    <x v="0"/>
    <n v="0"/>
    <n v="0"/>
    <n v="0"/>
    <n v="0"/>
    <x v="0"/>
    <m/>
  </r>
  <r>
    <x v="1"/>
    <x v="13"/>
    <x v="1"/>
    <s v="OFDA "/>
    <x v="1"/>
    <x v="2"/>
    <x v="0"/>
    <x v="240"/>
    <n v="132"/>
    <n v="629"/>
    <d v="2019-08-01T00:00:00"/>
    <d v="2020-12-31T00:00:00"/>
    <n v="600"/>
    <m/>
    <n v="1"/>
    <n v="9"/>
    <n v="8"/>
    <m/>
    <m/>
    <m/>
    <m/>
    <x v="2"/>
    <n v="3"/>
    <m/>
    <m/>
    <m/>
    <m/>
    <m/>
    <m/>
    <m/>
    <m/>
    <m/>
    <m/>
    <m/>
    <m/>
    <m/>
    <m/>
    <m/>
    <m/>
    <m/>
    <m/>
    <n v="1"/>
    <n v="629"/>
    <n v="1"/>
    <n v="629"/>
    <n v="1"/>
    <n v="629"/>
    <n v="2.516"/>
    <n v="0"/>
    <n v="0"/>
    <n v="0.48399999999999999"/>
    <n v="3"/>
    <n v="0.23847376788553259"/>
    <n v="150"/>
    <n v="150"/>
    <n v="105"/>
    <n v="105"/>
    <n v="0.76152623211446735"/>
    <n v="0"/>
    <n v="0"/>
    <n v="0"/>
    <n v="0"/>
    <n v="1"/>
    <n v="0"/>
    <n v="0"/>
    <n v="0"/>
    <n v="0"/>
    <x v="1"/>
    <s v="Village"/>
    <x v="0"/>
    <s v="Muslim"/>
    <n v="20.805980680000001"/>
    <n v="92.383308409999998"/>
    <n v="197996"/>
    <x v="0"/>
    <m/>
  </r>
  <r>
    <x v="1"/>
    <x v="13"/>
    <x v="1"/>
    <s v="OFDA "/>
    <x v="1"/>
    <x v="2"/>
    <x v="0"/>
    <x v="241"/>
    <n v="119"/>
    <n v="376"/>
    <d v="2019-08-01T00:00:00"/>
    <d v="2020-12-31T00:00:00"/>
    <n v="50"/>
    <m/>
    <n v="4"/>
    <m/>
    <n v="3"/>
    <m/>
    <m/>
    <m/>
    <m/>
    <x v="2"/>
    <n v="4"/>
    <m/>
    <m/>
    <m/>
    <m/>
    <m/>
    <m/>
    <m/>
    <m/>
    <m/>
    <m/>
    <m/>
    <m/>
    <m/>
    <m/>
    <m/>
    <m/>
    <m/>
    <m/>
    <n v="1"/>
    <n v="376"/>
    <n v="1"/>
    <n v="376"/>
    <n v="1"/>
    <n v="376"/>
    <n v="1.504"/>
    <n v="0"/>
    <n v="0"/>
    <n v="0.496"/>
    <n v="2"/>
    <n v="0.53191489361702127"/>
    <n v="200"/>
    <n v="200"/>
    <n v="63"/>
    <n v="63"/>
    <n v="0.46808510638297873"/>
    <n v="0"/>
    <n v="0"/>
    <n v="0"/>
    <n v="0"/>
    <n v="1"/>
    <n v="0"/>
    <n v="0"/>
    <n v="0"/>
    <n v="0"/>
    <x v="1"/>
    <s v="Village"/>
    <x v="0"/>
    <s v="Rakhine"/>
    <n v="20.910375599999998"/>
    <n v="92.400138850000005"/>
    <n v="220734"/>
    <x v="0"/>
    <m/>
  </r>
  <r>
    <x v="1"/>
    <x v="13"/>
    <x v="1"/>
    <s v="OFDA "/>
    <x v="1"/>
    <x v="2"/>
    <x v="0"/>
    <x v="242"/>
    <n v="61"/>
    <n v="292"/>
    <d v="2019-08-01T00:00:00"/>
    <d v="2020-12-31T00:00:00"/>
    <n v="31"/>
    <m/>
    <n v="3"/>
    <m/>
    <n v="2"/>
    <n v="1"/>
    <m/>
    <m/>
    <m/>
    <x v="2"/>
    <n v="2"/>
    <m/>
    <m/>
    <m/>
    <m/>
    <m/>
    <m/>
    <m/>
    <m/>
    <m/>
    <m/>
    <m/>
    <m/>
    <m/>
    <m/>
    <m/>
    <m/>
    <m/>
    <m/>
    <n v="1"/>
    <n v="292"/>
    <n v="1"/>
    <n v="292"/>
    <n v="1"/>
    <n v="292"/>
    <n v="1.1679999999999999"/>
    <n v="0"/>
    <n v="0"/>
    <n v="0"/>
    <n v="1"/>
    <n v="0.34246575342465752"/>
    <n v="100"/>
    <n v="100"/>
    <n v="49"/>
    <n v="49"/>
    <n v="0.65753424657534243"/>
    <n v="0"/>
    <n v="0"/>
    <n v="0"/>
    <n v="0"/>
    <n v="1"/>
    <n v="0"/>
    <n v="0"/>
    <n v="0"/>
    <n v="0"/>
    <x v="1"/>
    <s v="Village"/>
    <x v="0"/>
    <s v="Rakhine"/>
    <n v="20.899179459999999"/>
    <n v="92.404052730000004"/>
    <n v="197947"/>
    <x v="0"/>
    <m/>
  </r>
  <r>
    <x v="1"/>
    <x v="13"/>
    <x v="1"/>
    <s v="OFDA "/>
    <x v="1"/>
    <x v="2"/>
    <x v="0"/>
    <x v="243"/>
    <n v="65"/>
    <n v="605"/>
    <d v="2019-08-01T00:00:00"/>
    <d v="2020-12-31T00:00:00"/>
    <n v="55"/>
    <m/>
    <m/>
    <n v="2"/>
    <n v="2"/>
    <n v="2"/>
    <m/>
    <m/>
    <m/>
    <x v="2"/>
    <n v="1"/>
    <m/>
    <m/>
    <m/>
    <m/>
    <m/>
    <m/>
    <m/>
    <m/>
    <m/>
    <m/>
    <m/>
    <m/>
    <m/>
    <m/>
    <m/>
    <m/>
    <m/>
    <m/>
    <n v="1"/>
    <n v="605"/>
    <n v="1"/>
    <n v="605"/>
    <n v="1"/>
    <n v="605"/>
    <n v="2.42"/>
    <n v="0"/>
    <n v="0"/>
    <n v="0"/>
    <n v="2"/>
    <n v="8.2644628099173556E-2"/>
    <n v="50"/>
    <n v="50"/>
    <n v="101"/>
    <n v="101"/>
    <n v="0.9173553719008265"/>
    <n v="0"/>
    <n v="0"/>
    <n v="0"/>
    <n v="0"/>
    <n v="1"/>
    <n v="0"/>
    <n v="0"/>
    <n v="0"/>
    <n v="0"/>
    <x v="1"/>
    <s v="Village"/>
    <x v="0"/>
    <s v="Muslim"/>
    <n v="20.895000459999999"/>
    <n v="92.398574830000001"/>
    <n v="197943"/>
    <x v="0"/>
    <m/>
  </r>
  <r>
    <x v="1"/>
    <x v="13"/>
    <x v="1"/>
    <s v="OFDA "/>
    <x v="1"/>
    <x v="2"/>
    <x v="0"/>
    <x v="244"/>
    <n v="55"/>
    <n v="253"/>
    <d v="2019-08-01T00:00:00"/>
    <d v="2020-12-31T00:00:00"/>
    <n v="50"/>
    <m/>
    <m/>
    <n v="3"/>
    <n v="1"/>
    <n v="1"/>
    <m/>
    <m/>
    <m/>
    <x v="2"/>
    <n v="2"/>
    <m/>
    <m/>
    <m/>
    <m/>
    <m/>
    <m/>
    <m/>
    <m/>
    <m/>
    <m/>
    <m/>
    <m/>
    <m/>
    <m/>
    <m/>
    <m/>
    <m/>
    <m/>
    <n v="1"/>
    <n v="253"/>
    <n v="1"/>
    <n v="253"/>
    <n v="1"/>
    <n v="253"/>
    <n v="1.012"/>
    <n v="0"/>
    <n v="0"/>
    <n v="0"/>
    <n v="1"/>
    <n v="0.39525691699604742"/>
    <n v="100"/>
    <n v="100"/>
    <n v="42"/>
    <n v="42"/>
    <n v="0.60474308300395263"/>
    <n v="0"/>
    <n v="0"/>
    <n v="0"/>
    <n v="0"/>
    <n v="1"/>
    <n v="0"/>
    <n v="0"/>
    <n v="0"/>
    <n v="0"/>
    <x v="1"/>
    <s v="Village"/>
    <x v="0"/>
    <s v="Rakhine"/>
    <n v="0"/>
    <n v="0"/>
    <n v="0"/>
    <x v="0"/>
    <m/>
  </r>
  <r>
    <x v="1"/>
    <x v="13"/>
    <x v="1"/>
    <s v="OFDA "/>
    <x v="1"/>
    <x v="2"/>
    <x v="0"/>
    <x v="245"/>
    <n v="54"/>
    <n v="270"/>
    <d v="2019-08-01T00:00:00"/>
    <d v="2020-12-31T00:00:00"/>
    <n v="45"/>
    <m/>
    <m/>
    <n v="2"/>
    <n v="1"/>
    <n v="1"/>
    <m/>
    <m/>
    <m/>
    <x v="2"/>
    <n v="4"/>
    <m/>
    <m/>
    <m/>
    <m/>
    <m/>
    <m/>
    <m/>
    <m/>
    <m/>
    <m/>
    <m/>
    <m/>
    <m/>
    <m/>
    <m/>
    <m/>
    <m/>
    <m/>
    <n v="1"/>
    <n v="270"/>
    <n v="1"/>
    <n v="270"/>
    <n v="1"/>
    <n v="270"/>
    <n v="1.08"/>
    <n v="0"/>
    <n v="0"/>
    <n v="0"/>
    <n v="1"/>
    <n v="0.7407407407407407"/>
    <n v="200"/>
    <n v="200"/>
    <n v="45"/>
    <n v="45"/>
    <n v="0.2592592592592593"/>
    <n v="0"/>
    <n v="0"/>
    <n v="0"/>
    <n v="0"/>
    <n v="1"/>
    <n v="0"/>
    <n v="0"/>
    <n v="0"/>
    <n v="0"/>
    <x v="1"/>
    <s v="Village"/>
    <x v="0"/>
    <s v="Rakhine"/>
    <n v="0"/>
    <n v="0"/>
    <n v="0"/>
    <x v="0"/>
    <m/>
  </r>
  <r>
    <x v="1"/>
    <x v="13"/>
    <x v="1"/>
    <s v="OFDA "/>
    <x v="1"/>
    <x v="2"/>
    <x v="0"/>
    <x v="246"/>
    <n v="122"/>
    <n v="693"/>
    <d v="2019-08-01T00:00:00"/>
    <d v="2020-12-31T00:00:00"/>
    <n v="178"/>
    <m/>
    <n v="2"/>
    <n v="40"/>
    <m/>
    <n v="1"/>
    <m/>
    <m/>
    <m/>
    <x v="2"/>
    <n v="6"/>
    <m/>
    <m/>
    <m/>
    <m/>
    <m/>
    <m/>
    <m/>
    <m/>
    <m/>
    <m/>
    <m/>
    <m/>
    <m/>
    <m/>
    <m/>
    <m/>
    <m/>
    <m/>
    <n v="1"/>
    <n v="693"/>
    <n v="1.443001443001443E-3"/>
    <n v="1"/>
    <n v="1"/>
    <n v="693"/>
    <n v="2.7719999999999998"/>
    <n v="0"/>
    <n v="0"/>
    <n v="0.2280000000000002"/>
    <n v="3"/>
    <n v="0.4329004329004329"/>
    <n v="300"/>
    <n v="300"/>
    <n v="116"/>
    <n v="116"/>
    <n v="0.5670995670995671"/>
    <n v="0"/>
    <n v="0"/>
    <n v="0"/>
    <n v="0"/>
    <n v="1"/>
    <n v="0"/>
    <n v="0"/>
    <n v="0"/>
    <n v="0"/>
    <x v="1"/>
    <s v="Village"/>
    <x v="0"/>
    <s v="Rakhine"/>
    <n v="0"/>
    <n v="0"/>
    <n v="0"/>
    <x v="0"/>
    <m/>
  </r>
  <r>
    <x v="1"/>
    <x v="13"/>
    <x v="1"/>
    <s v="OFDA "/>
    <x v="1"/>
    <x v="2"/>
    <x v="0"/>
    <x v="247"/>
    <n v="108"/>
    <n v="522"/>
    <d v="2019-08-01T00:00:00"/>
    <d v="2020-12-31T00:00:00"/>
    <n v="57"/>
    <m/>
    <n v="2"/>
    <n v="5"/>
    <n v="1"/>
    <n v="1"/>
    <m/>
    <m/>
    <m/>
    <x v="2"/>
    <n v="3"/>
    <m/>
    <m/>
    <m/>
    <m/>
    <m/>
    <m/>
    <m/>
    <m/>
    <m/>
    <m/>
    <m/>
    <m/>
    <m/>
    <m/>
    <m/>
    <m/>
    <m/>
    <m/>
    <n v="1"/>
    <n v="522"/>
    <n v="1"/>
    <n v="522"/>
    <n v="1"/>
    <n v="522"/>
    <n v="2.0880000000000001"/>
    <n v="0"/>
    <n v="0"/>
    <n v="0"/>
    <n v="2"/>
    <n v="0.28735632183908044"/>
    <n v="150"/>
    <n v="150"/>
    <n v="87"/>
    <n v="87"/>
    <n v="0.71264367816091956"/>
    <n v="0"/>
    <n v="0"/>
    <n v="0"/>
    <n v="0"/>
    <n v="1"/>
    <n v="0"/>
    <n v="0"/>
    <n v="0"/>
    <n v="0"/>
    <x v="1"/>
    <s v="Village"/>
    <x v="0"/>
    <s v="Rakhine"/>
    <n v="20.931335449999999"/>
    <n v="92.381462099999993"/>
    <n v="220733"/>
    <x v="0"/>
    <m/>
  </r>
  <r>
    <x v="1"/>
    <x v="13"/>
    <x v="1"/>
    <s v="OFDA "/>
    <x v="1"/>
    <x v="2"/>
    <x v="0"/>
    <x v="248"/>
    <n v="78"/>
    <n v="368"/>
    <d v="2019-08-01T00:00:00"/>
    <d v="2020-12-31T00:00:00"/>
    <m/>
    <m/>
    <m/>
    <m/>
    <m/>
    <m/>
    <m/>
    <m/>
    <m/>
    <x v="2"/>
    <m/>
    <m/>
    <m/>
    <m/>
    <m/>
    <m/>
    <m/>
    <m/>
    <m/>
    <m/>
    <m/>
    <m/>
    <m/>
    <m/>
    <m/>
    <m/>
    <m/>
    <m/>
    <m/>
    <n v="0"/>
    <n v="0"/>
    <n v="0"/>
    <n v="0"/>
    <n v="0"/>
    <n v="0"/>
    <n v="0"/>
    <n v="1"/>
    <n v="368"/>
    <n v="1"/>
    <n v="1"/>
    <n v="0"/>
    <n v="0"/>
    <n v="0"/>
    <n v="61"/>
    <n v="61"/>
    <n v="1"/>
    <n v="0"/>
    <n v="0"/>
    <n v="0"/>
    <n v="0"/>
    <n v="1"/>
    <n v="0"/>
    <n v="0"/>
    <n v="0"/>
    <n v="0"/>
    <x v="0"/>
    <s v="Village"/>
    <x v="0"/>
    <n v="0"/>
    <n v="20.5168571472168"/>
    <n v="92.577987670898395"/>
    <n v="220746"/>
    <x v="0"/>
    <m/>
  </r>
  <r>
    <x v="1"/>
    <x v="13"/>
    <x v="1"/>
    <s v="OFDA "/>
    <x v="1"/>
    <x v="2"/>
    <x v="0"/>
    <x v="249"/>
    <n v="77"/>
    <n v="274"/>
    <d v="2019-08-01T00:00:00"/>
    <d v="2020-12-31T00:00:00"/>
    <m/>
    <m/>
    <m/>
    <m/>
    <m/>
    <m/>
    <m/>
    <m/>
    <m/>
    <x v="2"/>
    <m/>
    <m/>
    <m/>
    <m/>
    <m/>
    <m/>
    <m/>
    <m/>
    <m/>
    <m/>
    <m/>
    <m/>
    <m/>
    <m/>
    <m/>
    <m/>
    <m/>
    <m/>
    <m/>
    <n v="0"/>
    <n v="0"/>
    <n v="0"/>
    <n v="0"/>
    <n v="0"/>
    <n v="0"/>
    <n v="0"/>
    <n v="1"/>
    <n v="274"/>
    <n v="1"/>
    <n v="1"/>
    <n v="0"/>
    <n v="0"/>
    <n v="0"/>
    <n v="46"/>
    <n v="46"/>
    <n v="1"/>
    <n v="0"/>
    <n v="0"/>
    <n v="0"/>
    <n v="0"/>
    <n v="1"/>
    <n v="0"/>
    <n v="0"/>
    <n v="0"/>
    <n v="0"/>
    <x v="0"/>
    <s v="Village"/>
    <x v="0"/>
    <n v="0"/>
    <n v="21.139829635620099"/>
    <n v="92.330848693847699"/>
    <n v="197848"/>
    <x v="0"/>
    <m/>
  </r>
  <r>
    <x v="1"/>
    <x v="13"/>
    <x v="1"/>
    <s v="OFDA "/>
    <x v="1"/>
    <x v="2"/>
    <x v="0"/>
    <x v="250"/>
    <n v="133"/>
    <n v="910"/>
    <d v="2019-08-01T00:00:00"/>
    <d v="2020-12-31T00:00:00"/>
    <m/>
    <m/>
    <m/>
    <m/>
    <m/>
    <m/>
    <m/>
    <m/>
    <m/>
    <x v="2"/>
    <m/>
    <m/>
    <m/>
    <m/>
    <m/>
    <m/>
    <m/>
    <m/>
    <m/>
    <m/>
    <m/>
    <m/>
    <m/>
    <m/>
    <m/>
    <m/>
    <m/>
    <m/>
    <m/>
    <n v="0"/>
    <n v="0"/>
    <n v="0"/>
    <n v="0"/>
    <n v="0"/>
    <n v="0"/>
    <n v="0"/>
    <n v="1"/>
    <n v="910"/>
    <n v="4"/>
    <n v="4"/>
    <n v="0"/>
    <n v="0"/>
    <n v="0"/>
    <n v="152"/>
    <n v="152"/>
    <n v="1"/>
    <n v="0"/>
    <n v="0"/>
    <n v="0"/>
    <n v="0"/>
    <n v="1"/>
    <n v="0"/>
    <n v="0"/>
    <n v="0"/>
    <n v="0"/>
    <x v="0"/>
    <s v="Village"/>
    <x v="0"/>
    <n v="0"/>
    <n v="20.860589981079102"/>
    <n v="92.367843627929702"/>
    <n v="197975"/>
    <x v="0"/>
    <m/>
  </r>
  <r>
    <x v="1"/>
    <x v="13"/>
    <x v="1"/>
    <s v="OFDA "/>
    <x v="1"/>
    <x v="2"/>
    <x v="0"/>
    <x v="251"/>
    <n v="30"/>
    <n v="146"/>
    <d v="2019-08-01T00:00:00"/>
    <d v="2020-12-31T00:00:00"/>
    <m/>
    <m/>
    <m/>
    <m/>
    <m/>
    <m/>
    <m/>
    <m/>
    <m/>
    <x v="2"/>
    <m/>
    <m/>
    <m/>
    <m/>
    <m/>
    <m/>
    <m/>
    <m/>
    <m/>
    <m/>
    <m/>
    <m/>
    <m/>
    <m/>
    <m/>
    <m/>
    <m/>
    <m/>
    <m/>
    <n v="0"/>
    <n v="0"/>
    <n v="0"/>
    <n v="0"/>
    <n v="0"/>
    <n v="0"/>
    <n v="0"/>
    <n v="1"/>
    <n v="146"/>
    <n v="1"/>
    <n v="1"/>
    <n v="0"/>
    <n v="0"/>
    <n v="0"/>
    <n v="24"/>
    <n v="24"/>
    <n v="1"/>
    <n v="0"/>
    <n v="0"/>
    <n v="0"/>
    <n v="0"/>
    <n v="1"/>
    <n v="0"/>
    <n v="0"/>
    <n v="0"/>
    <n v="0"/>
    <x v="0"/>
    <s v="Village"/>
    <x v="0"/>
    <n v="0"/>
    <n v="20.6845893859863"/>
    <n v="92.443580627441406"/>
    <n v="198033"/>
    <x v="0"/>
    <m/>
  </r>
  <r>
    <x v="1"/>
    <x v="13"/>
    <x v="1"/>
    <s v="OFDA "/>
    <x v="1"/>
    <x v="1"/>
    <x v="0"/>
    <x v="12"/>
    <n v="171"/>
    <n v="908"/>
    <d v="2019-08-01T00:00:00"/>
    <d v="2020-12-31T00:00:00"/>
    <n v="96"/>
    <m/>
    <n v="3"/>
    <n v="34"/>
    <n v="1"/>
    <m/>
    <m/>
    <m/>
    <m/>
    <x v="2"/>
    <m/>
    <m/>
    <m/>
    <m/>
    <m/>
    <m/>
    <m/>
    <m/>
    <m/>
    <m/>
    <m/>
    <m/>
    <m/>
    <m/>
    <m/>
    <m/>
    <m/>
    <m/>
    <m/>
    <n v="1"/>
    <n v="908"/>
    <n v="1"/>
    <n v="908"/>
    <n v="1"/>
    <n v="908"/>
    <n v="3.6320000000000001"/>
    <n v="0"/>
    <n v="0"/>
    <n v="0.36799999999999988"/>
    <n v="4"/>
    <n v="0"/>
    <n v="0"/>
    <n v="0"/>
    <n v="151"/>
    <n v="151"/>
    <n v="1"/>
    <n v="0"/>
    <n v="0"/>
    <n v="0"/>
    <n v="0"/>
    <n v="1"/>
    <n v="0"/>
    <n v="0"/>
    <n v="0"/>
    <n v="0"/>
    <x v="1"/>
    <s v="Village"/>
    <x v="0"/>
    <s v="Muslim"/>
    <n v="0"/>
    <n v="0"/>
    <n v="198350"/>
    <x v="0"/>
    <m/>
  </r>
  <r>
    <x v="1"/>
    <x v="13"/>
    <x v="1"/>
    <s v="OFDA "/>
    <x v="1"/>
    <x v="1"/>
    <x v="0"/>
    <x v="3"/>
    <n v="153"/>
    <n v="835"/>
    <d v="2019-08-01T00:00:00"/>
    <d v="2020-12-31T00:00:00"/>
    <n v="281"/>
    <m/>
    <m/>
    <n v="1"/>
    <n v="2"/>
    <n v="2"/>
    <m/>
    <m/>
    <m/>
    <x v="2"/>
    <m/>
    <m/>
    <m/>
    <m/>
    <m/>
    <m/>
    <m/>
    <m/>
    <m/>
    <m/>
    <m/>
    <m/>
    <m/>
    <m/>
    <m/>
    <m/>
    <m/>
    <m/>
    <m/>
    <n v="1"/>
    <n v="835"/>
    <n v="1"/>
    <n v="835"/>
    <n v="1"/>
    <n v="835"/>
    <n v="3.34"/>
    <n v="0"/>
    <n v="0"/>
    <n v="0"/>
    <n v="3"/>
    <n v="0"/>
    <n v="0"/>
    <n v="0"/>
    <n v="139"/>
    <n v="139"/>
    <n v="1"/>
    <n v="0"/>
    <n v="0"/>
    <n v="0"/>
    <n v="0"/>
    <n v="1"/>
    <n v="0"/>
    <n v="0"/>
    <n v="0"/>
    <n v="0"/>
    <x v="1"/>
    <s v="Village"/>
    <x v="0"/>
    <s v="Muslim"/>
    <n v="20.819919586181602"/>
    <n v="92.589729309082003"/>
    <n v="198349"/>
    <x v="0"/>
    <m/>
  </r>
  <r>
    <x v="1"/>
    <x v="13"/>
    <x v="1"/>
    <s v="OFDA "/>
    <x v="1"/>
    <x v="1"/>
    <x v="0"/>
    <x v="11"/>
    <n v="128"/>
    <n v="658"/>
    <d v="2019-08-01T00:00:00"/>
    <d v="2020-12-31T00:00:00"/>
    <m/>
    <m/>
    <m/>
    <m/>
    <m/>
    <m/>
    <m/>
    <m/>
    <m/>
    <x v="2"/>
    <m/>
    <m/>
    <m/>
    <m/>
    <m/>
    <m/>
    <m/>
    <m/>
    <m/>
    <m/>
    <m/>
    <m/>
    <m/>
    <m/>
    <m/>
    <m/>
    <m/>
    <m/>
    <m/>
    <n v="0"/>
    <n v="0"/>
    <n v="0"/>
    <n v="0"/>
    <n v="0"/>
    <n v="0"/>
    <n v="0"/>
    <n v="1"/>
    <n v="658"/>
    <n v="3"/>
    <n v="3"/>
    <n v="0"/>
    <n v="0"/>
    <n v="0"/>
    <n v="110"/>
    <n v="110"/>
    <n v="1"/>
    <n v="0"/>
    <n v="0"/>
    <n v="0"/>
    <n v="0"/>
    <n v="1"/>
    <n v="0"/>
    <n v="0"/>
    <n v="0"/>
    <n v="0"/>
    <x v="0"/>
    <s v="Village"/>
    <x v="0"/>
    <s v="Rakhine"/>
    <n v="20.703920360000001"/>
    <n v="92.631500239999994"/>
    <n v="198428"/>
    <x v="0"/>
    <m/>
  </r>
  <r>
    <x v="1"/>
    <x v="13"/>
    <x v="1"/>
    <s v="OFDA "/>
    <x v="1"/>
    <x v="1"/>
    <x v="0"/>
    <x v="252"/>
    <n v="120"/>
    <n v="491"/>
    <d v="2019-08-01T00:00:00"/>
    <d v="2020-12-31T00:00:00"/>
    <n v="120"/>
    <m/>
    <m/>
    <n v="2"/>
    <n v="1"/>
    <m/>
    <m/>
    <m/>
    <m/>
    <x v="2"/>
    <n v="3"/>
    <m/>
    <m/>
    <m/>
    <m/>
    <m/>
    <m/>
    <m/>
    <m/>
    <m/>
    <m/>
    <m/>
    <m/>
    <m/>
    <m/>
    <m/>
    <m/>
    <m/>
    <m/>
    <n v="1"/>
    <n v="491"/>
    <n v="1"/>
    <n v="491"/>
    <n v="1"/>
    <n v="491"/>
    <n v="1.964"/>
    <n v="0"/>
    <n v="0"/>
    <n v="3.6000000000000032E-2"/>
    <n v="2"/>
    <n v="0.30549898167006112"/>
    <n v="150"/>
    <n v="150"/>
    <n v="82"/>
    <n v="82"/>
    <n v="0.69450101832993894"/>
    <n v="0"/>
    <n v="0"/>
    <n v="0"/>
    <n v="0"/>
    <n v="1"/>
    <n v="0"/>
    <n v="0"/>
    <n v="0"/>
    <n v="0"/>
    <x v="1"/>
    <s v="Village"/>
    <x v="0"/>
    <n v="0"/>
    <n v="20.685689929999999"/>
    <n v="92.572860719999994"/>
    <n v="220754"/>
    <x v="0"/>
    <m/>
  </r>
  <r>
    <x v="1"/>
    <x v="13"/>
    <x v="1"/>
    <s v="OFDA "/>
    <x v="1"/>
    <x v="1"/>
    <x v="0"/>
    <x v="253"/>
    <n v="350"/>
    <n v="2722"/>
    <d v="2019-08-01T00:00:00"/>
    <d v="2020-12-31T00:00:00"/>
    <m/>
    <m/>
    <n v="2"/>
    <n v="3"/>
    <m/>
    <m/>
    <m/>
    <m/>
    <m/>
    <x v="2"/>
    <n v="3"/>
    <m/>
    <m/>
    <m/>
    <m/>
    <m/>
    <m/>
    <m/>
    <m/>
    <m/>
    <m/>
    <m/>
    <m/>
    <m/>
    <m/>
    <m/>
    <m/>
    <m/>
    <m/>
    <n v="1"/>
    <n v="2722"/>
    <n v="0"/>
    <n v="0"/>
    <n v="1"/>
    <n v="2722"/>
    <n v="10.888"/>
    <n v="0"/>
    <n v="0"/>
    <n v="0.1120000000000001"/>
    <n v="11"/>
    <n v="5.5106539309331376E-2"/>
    <n v="150"/>
    <n v="150"/>
    <n v="454"/>
    <n v="454"/>
    <n v="0.9448934606906686"/>
    <n v="0"/>
    <n v="0"/>
    <n v="0"/>
    <n v="0"/>
    <n v="1"/>
    <n v="0"/>
    <n v="0"/>
    <n v="0"/>
    <n v="0"/>
    <x v="0"/>
    <s v="Village"/>
    <x v="0"/>
    <s v="Muslim"/>
    <n v="20.692510599999999"/>
    <n v="92.579689029999997"/>
    <n v="198442"/>
    <x v="0"/>
    <m/>
  </r>
  <r>
    <x v="1"/>
    <x v="13"/>
    <x v="1"/>
    <s v="OFDA "/>
    <x v="1"/>
    <x v="1"/>
    <x v="0"/>
    <x v="254"/>
    <n v="272"/>
    <n v="1757"/>
    <d v="2019-08-01T00:00:00"/>
    <d v="2020-12-31T00:00:00"/>
    <m/>
    <m/>
    <n v="2"/>
    <m/>
    <n v="2"/>
    <n v="1"/>
    <m/>
    <m/>
    <m/>
    <x v="2"/>
    <n v="4"/>
    <m/>
    <m/>
    <m/>
    <m/>
    <m/>
    <m/>
    <m/>
    <m/>
    <m/>
    <m/>
    <m/>
    <m/>
    <m/>
    <m/>
    <m/>
    <m/>
    <m/>
    <m/>
    <n v="1"/>
    <n v="1757"/>
    <n v="1"/>
    <n v="1757"/>
    <n v="1"/>
    <n v="1757"/>
    <n v="7.0279999999999996"/>
    <n v="0"/>
    <n v="0"/>
    <n v="0"/>
    <n v="7"/>
    <n v="0.11383039271485487"/>
    <n v="200"/>
    <n v="200"/>
    <n v="293"/>
    <n v="293"/>
    <n v="0.88616960728514516"/>
    <n v="0"/>
    <n v="0"/>
    <n v="0"/>
    <n v="0"/>
    <n v="1"/>
    <n v="0"/>
    <n v="0"/>
    <n v="0"/>
    <n v="0"/>
    <x v="0"/>
    <s v="Village"/>
    <x v="0"/>
    <s v="Muslim"/>
    <n v="20.686819079999999"/>
    <n v="92.57855988"/>
    <n v="198443"/>
    <x v="0"/>
    <m/>
  </r>
  <r>
    <x v="1"/>
    <x v="13"/>
    <x v="1"/>
    <s v="OFDA "/>
    <x v="1"/>
    <x v="1"/>
    <x v="0"/>
    <x v="255"/>
    <n v="395"/>
    <n v="2435"/>
    <d v="2019-08-01T00:00:00"/>
    <d v="2020-12-31T00:00:00"/>
    <n v="630"/>
    <m/>
    <m/>
    <n v="1"/>
    <n v="6"/>
    <n v="1"/>
    <m/>
    <m/>
    <m/>
    <x v="2"/>
    <n v="2"/>
    <m/>
    <m/>
    <m/>
    <m/>
    <m/>
    <m/>
    <m/>
    <m/>
    <m/>
    <m/>
    <m/>
    <m/>
    <m/>
    <m/>
    <m/>
    <m/>
    <m/>
    <m/>
    <n v="1"/>
    <n v="2435"/>
    <n v="1"/>
    <n v="2435"/>
    <n v="1"/>
    <n v="2435"/>
    <n v="9.74"/>
    <n v="0"/>
    <n v="0"/>
    <n v="0.25999999999999979"/>
    <n v="10"/>
    <n v="4.1067761806981518E-2"/>
    <n v="100"/>
    <n v="100"/>
    <n v="406"/>
    <n v="406"/>
    <n v="0.95893223819301854"/>
    <n v="0"/>
    <n v="0"/>
    <n v="0"/>
    <n v="0"/>
    <n v="1"/>
    <n v="0"/>
    <n v="0"/>
    <n v="0"/>
    <n v="0"/>
    <x v="1"/>
    <s v="Village"/>
    <x v="0"/>
    <s v="Rakhine"/>
    <n v="20.864589691162099"/>
    <n v="92.575378417968807"/>
    <n v="198290"/>
    <x v="0"/>
    <m/>
  </r>
  <r>
    <x v="1"/>
    <x v="13"/>
    <x v="1"/>
    <s v="OFDA "/>
    <x v="1"/>
    <x v="1"/>
    <x v="0"/>
    <x v="256"/>
    <n v="59"/>
    <n v="251"/>
    <d v="2019-08-01T00:00:00"/>
    <d v="2020-12-31T00:00:00"/>
    <n v="74"/>
    <m/>
    <n v="1"/>
    <n v="4"/>
    <n v="2"/>
    <m/>
    <m/>
    <m/>
    <m/>
    <x v="2"/>
    <m/>
    <m/>
    <m/>
    <m/>
    <m/>
    <m/>
    <m/>
    <m/>
    <m/>
    <m/>
    <m/>
    <m/>
    <m/>
    <m/>
    <m/>
    <m/>
    <m/>
    <m/>
    <m/>
    <n v="1"/>
    <n v="251"/>
    <n v="1"/>
    <n v="251"/>
    <n v="1"/>
    <n v="251"/>
    <n v="1.004"/>
    <n v="0"/>
    <n v="0"/>
    <n v="0"/>
    <n v="1"/>
    <n v="0"/>
    <n v="0"/>
    <n v="0"/>
    <n v="42"/>
    <n v="42"/>
    <n v="1"/>
    <n v="0"/>
    <n v="0"/>
    <n v="0"/>
    <n v="0"/>
    <n v="1"/>
    <n v="0"/>
    <n v="0"/>
    <n v="0"/>
    <n v="0"/>
    <x v="1"/>
    <s v="Village"/>
    <x v="0"/>
    <n v="0"/>
    <n v="20.8534545898438"/>
    <n v="92.568794250488295"/>
    <n v="220751"/>
    <x v="0"/>
    <m/>
  </r>
  <r>
    <x v="1"/>
    <x v="13"/>
    <x v="1"/>
    <s v="OFDA "/>
    <x v="1"/>
    <x v="1"/>
    <x v="0"/>
    <x v="257"/>
    <n v="368"/>
    <n v="2499"/>
    <d v="2019-08-01T00:00:00"/>
    <d v="2020-12-31T00:00:00"/>
    <n v="500"/>
    <m/>
    <m/>
    <m/>
    <m/>
    <m/>
    <m/>
    <m/>
    <m/>
    <x v="2"/>
    <m/>
    <m/>
    <m/>
    <m/>
    <m/>
    <m/>
    <m/>
    <m/>
    <m/>
    <m/>
    <m/>
    <m/>
    <m/>
    <m/>
    <m/>
    <m/>
    <m/>
    <m/>
    <m/>
    <n v="0"/>
    <n v="0"/>
    <n v="0"/>
    <n v="0"/>
    <n v="0"/>
    <n v="0"/>
    <n v="0"/>
    <n v="1"/>
    <n v="2499"/>
    <n v="10"/>
    <n v="10"/>
    <n v="0"/>
    <n v="0"/>
    <n v="0"/>
    <n v="417"/>
    <n v="417"/>
    <n v="1"/>
    <n v="0"/>
    <n v="0"/>
    <n v="0"/>
    <n v="0"/>
    <n v="1"/>
    <n v="0"/>
    <n v="0"/>
    <n v="0"/>
    <n v="0"/>
    <x v="1"/>
    <s v="Village"/>
    <x v="0"/>
    <s v="Muslim"/>
    <n v="20.897079467773398"/>
    <n v="92.469520568847699"/>
    <n v="198168"/>
    <x v="0"/>
    <m/>
  </r>
  <r>
    <x v="1"/>
    <x v="13"/>
    <x v="1"/>
    <s v="OFDA "/>
    <x v="1"/>
    <x v="1"/>
    <x v="0"/>
    <x v="258"/>
    <n v="33"/>
    <n v="140"/>
    <d v="2019-08-01T00:00:00"/>
    <d v="2020-12-31T00:00:00"/>
    <n v="40"/>
    <m/>
    <n v="3"/>
    <m/>
    <m/>
    <n v="1"/>
    <m/>
    <m/>
    <m/>
    <x v="2"/>
    <m/>
    <m/>
    <m/>
    <m/>
    <m/>
    <m/>
    <m/>
    <m/>
    <m/>
    <m/>
    <m/>
    <m/>
    <m/>
    <m/>
    <m/>
    <m/>
    <m/>
    <m/>
    <m/>
    <n v="1"/>
    <n v="140"/>
    <n v="7.1428571428571426E-3"/>
    <n v="1"/>
    <n v="1"/>
    <n v="140"/>
    <n v="0.56000000000000005"/>
    <n v="0"/>
    <n v="0"/>
    <n v="0.43999999999999995"/>
    <n v="1"/>
    <n v="0"/>
    <n v="0"/>
    <n v="0"/>
    <n v="23"/>
    <n v="23"/>
    <n v="1"/>
    <n v="0"/>
    <n v="0"/>
    <n v="0"/>
    <n v="0"/>
    <n v="1"/>
    <n v="0"/>
    <n v="0"/>
    <n v="0"/>
    <n v="0"/>
    <x v="1"/>
    <s v="Village"/>
    <x v="0"/>
    <s v="Rakhine, Daing Net"/>
    <n v="20.897079467773398"/>
    <n v="92.469520568847699"/>
    <n v="198168"/>
    <x v="0"/>
    <m/>
  </r>
  <r>
    <x v="1"/>
    <x v="13"/>
    <x v="1"/>
    <s v="OFDA "/>
    <x v="1"/>
    <x v="1"/>
    <x v="0"/>
    <x v="174"/>
    <n v="115"/>
    <n v="658"/>
    <d v="2019-08-01T00:00:00"/>
    <d v="2020-12-31T00:00:00"/>
    <m/>
    <m/>
    <m/>
    <m/>
    <m/>
    <m/>
    <m/>
    <m/>
    <m/>
    <x v="2"/>
    <m/>
    <m/>
    <m/>
    <m/>
    <m/>
    <m/>
    <m/>
    <m/>
    <m/>
    <m/>
    <m/>
    <m/>
    <m/>
    <m/>
    <m/>
    <m/>
    <m/>
    <m/>
    <m/>
    <n v="0"/>
    <n v="0"/>
    <n v="0"/>
    <n v="0"/>
    <n v="0"/>
    <n v="0"/>
    <n v="0"/>
    <n v="1"/>
    <n v="658"/>
    <n v="3"/>
    <n v="3"/>
    <n v="0"/>
    <n v="0"/>
    <n v="0"/>
    <n v="110"/>
    <n v="110"/>
    <n v="1"/>
    <n v="0"/>
    <n v="0"/>
    <n v="0"/>
    <n v="0"/>
    <n v="1"/>
    <n v="0"/>
    <n v="0"/>
    <n v="0"/>
    <n v="0"/>
    <x v="0"/>
    <s v="Village"/>
    <x v="0"/>
    <s v="Muslim"/>
    <n v="20.876710889999998"/>
    <n v="92.537406919999995"/>
    <n v="198301"/>
    <x v="0"/>
    <m/>
  </r>
  <r>
    <x v="1"/>
    <x v="13"/>
    <x v="1"/>
    <s v="OFDA "/>
    <x v="1"/>
    <x v="1"/>
    <x v="0"/>
    <x v="259"/>
    <n v="143"/>
    <n v="801"/>
    <d v="2019-08-01T00:00:00"/>
    <d v="2020-12-31T00:00:00"/>
    <m/>
    <m/>
    <m/>
    <m/>
    <m/>
    <m/>
    <m/>
    <m/>
    <m/>
    <x v="2"/>
    <m/>
    <m/>
    <m/>
    <m/>
    <m/>
    <m/>
    <m/>
    <m/>
    <m/>
    <m/>
    <m/>
    <m/>
    <m/>
    <m/>
    <m/>
    <m/>
    <m/>
    <m/>
    <m/>
    <n v="0"/>
    <n v="0"/>
    <n v="0"/>
    <n v="0"/>
    <n v="0"/>
    <n v="0"/>
    <n v="0"/>
    <n v="1"/>
    <n v="801"/>
    <n v="3"/>
    <n v="3"/>
    <n v="0"/>
    <n v="0"/>
    <n v="0"/>
    <n v="134"/>
    <n v="134"/>
    <n v="1"/>
    <n v="0"/>
    <n v="0"/>
    <n v="0"/>
    <n v="0"/>
    <n v="1"/>
    <n v="0"/>
    <n v="0"/>
    <n v="0"/>
    <n v="0"/>
    <x v="0"/>
    <s v="Village"/>
    <x v="0"/>
    <s v="Muslim"/>
    <n v="20.753370289999999"/>
    <n v="92.545188899999999"/>
    <n v="198390"/>
    <x v="0"/>
    <m/>
  </r>
  <r>
    <x v="1"/>
    <x v="13"/>
    <x v="1"/>
    <s v="OFDA "/>
    <x v="1"/>
    <x v="1"/>
    <x v="0"/>
    <x v="260"/>
    <n v="220"/>
    <n v="1028"/>
    <d v="2019-08-01T00:00:00"/>
    <d v="2020-12-31T00:00:00"/>
    <m/>
    <m/>
    <m/>
    <m/>
    <m/>
    <m/>
    <m/>
    <m/>
    <m/>
    <x v="2"/>
    <m/>
    <m/>
    <m/>
    <m/>
    <m/>
    <m/>
    <m/>
    <m/>
    <m/>
    <m/>
    <m/>
    <m/>
    <m/>
    <m/>
    <m/>
    <m/>
    <m/>
    <m/>
    <m/>
    <n v="0"/>
    <n v="0"/>
    <n v="0"/>
    <n v="0"/>
    <n v="0"/>
    <n v="0"/>
    <n v="0"/>
    <n v="1"/>
    <n v="1028"/>
    <n v="4"/>
    <n v="4"/>
    <n v="0"/>
    <n v="0"/>
    <n v="0"/>
    <n v="171"/>
    <n v="171"/>
    <n v="1"/>
    <n v="0"/>
    <n v="0"/>
    <n v="0"/>
    <n v="0"/>
    <n v="1"/>
    <n v="0"/>
    <n v="0"/>
    <n v="0"/>
    <n v="0"/>
    <x v="0"/>
    <s v="Village"/>
    <x v="0"/>
    <n v="0"/>
    <n v="21.169160842895501"/>
    <n v="92.569076538085895"/>
    <n v="198249"/>
    <x v="0"/>
    <m/>
  </r>
  <r>
    <x v="1"/>
    <x v="13"/>
    <x v="1"/>
    <s v="OFDA "/>
    <x v="1"/>
    <x v="1"/>
    <x v="0"/>
    <x v="261"/>
    <n v="90"/>
    <n v="387"/>
    <d v="2019-08-01T00:00:00"/>
    <d v="2020-12-31T00:00:00"/>
    <m/>
    <m/>
    <m/>
    <m/>
    <m/>
    <m/>
    <m/>
    <m/>
    <m/>
    <x v="2"/>
    <m/>
    <m/>
    <m/>
    <m/>
    <m/>
    <m/>
    <m/>
    <m/>
    <m/>
    <m/>
    <m/>
    <m/>
    <m/>
    <m/>
    <m/>
    <m/>
    <m/>
    <m/>
    <m/>
    <n v="0"/>
    <n v="0"/>
    <n v="0"/>
    <n v="0"/>
    <n v="0"/>
    <n v="0"/>
    <n v="0"/>
    <n v="1"/>
    <n v="387"/>
    <n v="2"/>
    <n v="2"/>
    <n v="0"/>
    <n v="0"/>
    <n v="0"/>
    <n v="65"/>
    <n v="65"/>
    <n v="1"/>
    <n v="0"/>
    <n v="0"/>
    <n v="0"/>
    <n v="0"/>
    <n v="1"/>
    <n v="0"/>
    <n v="0"/>
    <n v="0"/>
    <n v="0"/>
    <x v="0"/>
    <s v="Village"/>
    <x v="0"/>
    <n v="0"/>
    <n v="20.938350677490199"/>
    <n v="92.490928649902301"/>
    <n v="198173"/>
    <x v="0"/>
    <m/>
  </r>
  <r>
    <x v="1"/>
    <x v="13"/>
    <x v="1"/>
    <s v="OFDA "/>
    <x v="1"/>
    <x v="1"/>
    <x v="0"/>
    <x v="262"/>
    <n v="61"/>
    <n v="237"/>
    <d v="2019-08-01T00:00:00"/>
    <d v="2020-12-31T00:00:00"/>
    <m/>
    <m/>
    <m/>
    <m/>
    <m/>
    <m/>
    <m/>
    <m/>
    <m/>
    <x v="2"/>
    <m/>
    <m/>
    <m/>
    <m/>
    <m/>
    <m/>
    <m/>
    <m/>
    <m/>
    <m/>
    <m/>
    <m/>
    <m/>
    <m/>
    <m/>
    <m/>
    <m/>
    <m/>
    <m/>
    <n v="0"/>
    <n v="0"/>
    <n v="0"/>
    <n v="0"/>
    <n v="0"/>
    <n v="0"/>
    <n v="0"/>
    <n v="1"/>
    <n v="237"/>
    <n v="1"/>
    <n v="1"/>
    <n v="0"/>
    <n v="0"/>
    <n v="0"/>
    <n v="40"/>
    <n v="40"/>
    <n v="1"/>
    <n v="0"/>
    <n v="0"/>
    <n v="0"/>
    <n v="0"/>
    <n v="1"/>
    <n v="0"/>
    <n v="0"/>
    <n v="0"/>
    <n v="0"/>
    <x v="0"/>
    <s v="Village"/>
    <x v="0"/>
    <s v="Rakhine"/>
    <n v="20.7940998077393"/>
    <n v="92.5543212890625"/>
    <n v="198377"/>
    <x v="0"/>
    <m/>
  </r>
  <r>
    <x v="1"/>
    <x v="2"/>
    <x v="2"/>
    <m/>
    <x v="1"/>
    <x v="1"/>
    <x v="0"/>
    <x v="263"/>
    <n v="229.8"/>
    <n v="1149"/>
    <m/>
    <m/>
    <m/>
    <m/>
    <m/>
    <m/>
    <m/>
    <m/>
    <m/>
    <m/>
    <m/>
    <x v="3"/>
    <m/>
    <m/>
    <m/>
    <m/>
    <m/>
    <m/>
    <m/>
    <m/>
    <m/>
    <m/>
    <m/>
    <m/>
    <m/>
    <m/>
    <n v="229.8"/>
    <m/>
    <m/>
    <m/>
    <m/>
    <n v="0"/>
    <n v="0"/>
    <n v="0"/>
    <n v="0"/>
    <n v="0"/>
    <n v="0"/>
    <n v="0"/>
    <n v="1"/>
    <n v="1149"/>
    <n v="5"/>
    <n v="5"/>
    <n v="0"/>
    <n v="0"/>
    <n v="0"/>
    <n v="192"/>
    <n v="192"/>
    <n v="1"/>
    <n v="0"/>
    <n v="0"/>
    <n v="1149"/>
    <n v="1"/>
    <n v="0"/>
    <n v="0"/>
    <n v="1149"/>
    <n v="0"/>
    <n v="1149"/>
    <x v="0"/>
    <s v="Village"/>
    <x v="0"/>
    <n v="0"/>
    <n v="21.004440307617202"/>
    <n v="92.500228881835895"/>
    <n v="198188"/>
    <x v="0"/>
    <m/>
  </r>
  <r>
    <x v="1"/>
    <x v="2"/>
    <x v="2"/>
    <m/>
    <x v="1"/>
    <x v="1"/>
    <x v="0"/>
    <x v="264"/>
    <n v="1123.4000000000001"/>
    <n v="5617"/>
    <m/>
    <m/>
    <m/>
    <m/>
    <m/>
    <m/>
    <m/>
    <m/>
    <m/>
    <m/>
    <m/>
    <x v="3"/>
    <m/>
    <m/>
    <m/>
    <m/>
    <m/>
    <m/>
    <m/>
    <m/>
    <m/>
    <m/>
    <m/>
    <m/>
    <m/>
    <m/>
    <n v="1123.4000000000001"/>
    <m/>
    <m/>
    <m/>
    <m/>
    <n v="0"/>
    <n v="0"/>
    <n v="0"/>
    <n v="0"/>
    <n v="0"/>
    <n v="0"/>
    <n v="0"/>
    <n v="1"/>
    <n v="5617"/>
    <n v="22"/>
    <n v="22"/>
    <n v="0"/>
    <n v="0"/>
    <n v="0"/>
    <n v="936"/>
    <n v="936"/>
    <n v="1"/>
    <n v="0"/>
    <n v="0"/>
    <n v="5617"/>
    <n v="1"/>
    <n v="0"/>
    <n v="0"/>
    <n v="5617"/>
    <n v="0"/>
    <n v="5617"/>
    <x v="0"/>
    <s v="Village"/>
    <x v="0"/>
    <n v="0"/>
    <n v="20.847490310668899"/>
    <n v="92.556472778320298"/>
    <n v="198348"/>
    <x v="0"/>
    <m/>
  </r>
  <r>
    <x v="1"/>
    <x v="2"/>
    <x v="2"/>
    <m/>
    <x v="1"/>
    <x v="1"/>
    <x v="0"/>
    <x v="3"/>
    <n v="2622"/>
    <n v="13110"/>
    <m/>
    <m/>
    <m/>
    <m/>
    <m/>
    <m/>
    <m/>
    <m/>
    <m/>
    <m/>
    <m/>
    <x v="3"/>
    <m/>
    <m/>
    <m/>
    <m/>
    <m/>
    <m/>
    <m/>
    <m/>
    <m/>
    <m/>
    <m/>
    <m/>
    <m/>
    <m/>
    <n v="2622"/>
    <m/>
    <m/>
    <m/>
    <m/>
    <n v="0"/>
    <n v="0"/>
    <n v="0"/>
    <n v="0"/>
    <n v="0"/>
    <n v="0"/>
    <n v="0"/>
    <n v="1"/>
    <n v="13110"/>
    <n v="52"/>
    <n v="52"/>
    <n v="0"/>
    <n v="0"/>
    <n v="0"/>
    <n v="2185"/>
    <n v="2185"/>
    <n v="1"/>
    <n v="0"/>
    <n v="0"/>
    <n v="13110"/>
    <n v="1"/>
    <n v="0"/>
    <n v="0"/>
    <n v="13110"/>
    <n v="0"/>
    <n v="13110"/>
    <x v="0"/>
    <s v="Village"/>
    <x v="0"/>
    <s v="Muslim"/>
    <n v="20.819919586181602"/>
    <n v="92.589729309082003"/>
    <n v="198349"/>
    <x v="0"/>
    <m/>
  </r>
  <r>
    <x v="1"/>
    <x v="2"/>
    <x v="2"/>
    <m/>
    <x v="1"/>
    <x v="1"/>
    <x v="0"/>
    <x v="265"/>
    <n v="349.4"/>
    <n v="1747"/>
    <m/>
    <m/>
    <m/>
    <m/>
    <m/>
    <m/>
    <m/>
    <m/>
    <m/>
    <m/>
    <m/>
    <x v="3"/>
    <m/>
    <m/>
    <m/>
    <m/>
    <m/>
    <m/>
    <m/>
    <m/>
    <m/>
    <m/>
    <m/>
    <m/>
    <m/>
    <m/>
    <n v="349.4"/>
    <m/>
    <m/>
    <m/>
    <m/>
    <n v="0"/>
    <n v="0"/>
    <n v="0"/>
    <n v="0"/>
    <n v="0"/>
    <n v="0"/>
    <n v="0"/>
    <n v="1"/>
    <n v="1747"/>
    <n v="7"/>
    <n v="7"/>
    <n v="0"/>
    <n v="0"/>
    <n v="0"/>
    <n v="291"/>
    <n v="291"/>
    <n v="1"/>
    <n v="0"/>
    <n v="0"/>
    <n v="1747"/>
    <n v="1"/>
    <n v="0"/>
    <n v="0"/>
    <n v="1747"/>
    <n v="0"/>
    <n v="1747"/>
    <x v="0"/>
    <s v="Village"/>
    <x v="0"/>
    <n v="0"/>
    <n v="20.9363498687744"/>
    <n v="92.5257568359375"/>
    <n v="198223"/>
    <x v="0"/>
    <m/>
  </r>
  <r>
    <x v="1"/>
    <x v="2"/>
    <x v="2"/>
    <m/>
    <x v="1"/>
    <x v="1"/>
    <x v="0"/>
    <x v="266"/>
    <n v="339"/>
    <n v="1695"/>
    <m/>
    <m/>
    <m/>
    <m/>
    <m/>
    <m/>
    <m/>
    <m/>
    <m/>
    <m/>
    <m/>
    <x v="3"/>
    <m/>
    <m/>
    <m/>
    <m/>
    <m/>
    <m/>
    <m/>
    <m/>
    <m/>
    <m/>
    <m/>
    <m/>
    <m/>
    <m/>
    <n v="339"/>
    <m/>
    <m/>
    <m/>
    <m/>
    <n v="0"/>
    <n v="0"/>
    <n v="0"/>
    <n v="0"/>
    <n v="0"/>
    <n v="0"/>
    <n v="0"/>
    <n v="1"/>
    <n v="1695"/>
    <n v="7"/>
    <n v="7"/>
    <n v="0"/>
    <n v="0"/>
    <n v="0"/>
    <n v="283"/>
    <n v="283"/>
    <n v="1"/>
    <n v="0"/>
    <n v="0"/>
    <n v="1695"/>
    <n v="1"/>
    <n v="0"/>
    <n v="0"/>
    <n v="1695"/>
    <n v="0"/>
    <n v="1695"/>
    <x v="0"/>
    <s v="Village"/>
    <x v="0"/>
    <n v="0"/>
    <n v="20.945339202880898"/>
    <n v="92.496063232421903"/>
    <n v="198179"/>
    <x v="0"/>
    <m/>
  </r>
  <r>
    <x v="1"/>
    <x v="2"/>
    <x v="2"/>
    <m/>
    <x v="1"/>
    <x v="2"/>
    <x v="0"/>
    <x v="267"/>
    <n v="131.80000000000001"/>
    <n v="659"/>
    <m/>
    <m/>
    <m/>
    <m/>
    <m/>
    <m/>
    <m/>
    <m/>
    <m/>
    <m/>
    <m/>
    <x v="3"/>
    <m/>
    <m/>
    <m/>
    <m/>
    <m/>
    <m/>
    <m/>
    <m/>
    <m/>
    <m/>
    <m/>
    <m/>
    <m/>
    <m/>
    <n v="131.80000000000001"/>
    <m/>
    <m/>
    <m/>
    <m/>
    <n v="0"/>
    <n v="0"/>
    <n v="0"/>
    <n v="0"/>
    <n v="0"/>
    <n v="0"/>
    <n v="0"/>
    <n v="1"/>
    <n v="659"/>
    <n v="3"/>
    <n v="3"/>
    <n v="0"/>
    <n v="0"/>
    <n v="0"/>
    <n v="110"/>
    <n v="110"/>
    <n v="1"/>
    <n v="0"/>
    <n v="0"/>
    <n v="659"/>
    <n v="1"/>
    <n v="0"/>
    <n v="0"/>
    <n v="659"/>
    <n v="0"/>
    <n v="659"/>
    <x v="0"/>
    <s v="Village"/>
    <x v="0"/>
    <n v="0"/>
    <n v="21.270368576049801"/>
    <n v="92.2763671875"/>
    <n v="197817"/>
    <x v="0"/>
    <m/>
  </r>
  <r>
    <x v="1"/>
    <x v="2"/>
    <x v="2"/>
    <m/>
    <x v="1"/>
    <x v="2"/>
    <x v="0"/>
    <x v="268"/>
    <n v="323.2"/>
    <n v="1616"/>
    <m/>
    <m/>
    <m/>
    <m/>
    <m/>
    <m/>
    <m/>
    <m/>
    <m/>
    <m/>
    <m/>
    <x v="3"/>
    <m/>
    <m/>
    <m/>
    <m/>
    <m/>
    <m/>
    <m/>
    <m/>
    <m/>
    <m/>
    <m/>
    <m/>
    <m/>
    <m/>
    <n v="323.2"/>
    <m/>
    <m/>
    <m/>
    <m/>
    <n v="0"/>
    <n v="0"/>
    <n v="0"/>
    <n v="0"/>
    <n v="0"/>
    <n v="0"/>
    <n v="0"/>
    <n v="1"/>
    <n v="1616"/>
    <n v="6"/>
    <n v="6"/>
    <n v="0"/>
    <n v="0"/>
    <n v="0"/>
    <n v="269"/>
    <n v="269"/>
    <n v="1"/>
    <n v="0"/>
    <n v="0"/>
    <n v="1616"/>
    <n v="1"/>
    <n v="0"/>
    <n v="0"/>
    <n v="1616"/>
    <n v="0"/>
    <n v="1616"/>
    <x v="0"/>
    <s v="Village"/>
    <x v="0"/>
    <n v="0"/>
    <n v="21.1420993804932"/>
    <n v="92.338172912597699"/>
    <n v="197860"/>
    <x v="0"/>
    <m/>
  </r>
  <r>
    <x v="1"/>
    <x v="2"/>
    <x v="2"/>
    <m/>
    <x v="1"/>
    <x v="2"/>
    <x v="0"/>
    <x v="269"/>
    <n v="263"/>
    <n v="1315"/>
    <m/>
    <m/>
    <m/>
    <m/>
    <m/>
    <m/>
    <m/>
    <m/>
    <m/>
    <m/>
    <m/>
    <x v="3"/>
    <m/>
    <m/>
    <m/>
    <m/>
    <m/>
    <m/>
    <m/>
    <m/>
    <m/>
    <m/>
    <m/>
    <m/>
    <m/>
    <m/>
    <n v="263"/>
    <m/>
    <m/>
    <m/>
    <m/>
    <n v="0"/>
    <n v="0"/>
    <n v="0"/>
    <n v="0"/>
    <n v="0"/>
    <n v="0"/>
    <n v="0"/>
    <n v="1"/>
    <n v="1315"/>
    <n v="5"/>
    <n v="5"/>
    <n v="0"/>
    <n v="0"/>
    <n v="0"/>
    <n v="219"/>
    <n v="219"/>
    <n v="1"/>
    <n v="0"/>
    <n v="0"/>
    <n v="1315"/>
    <n v="1"/>
    <n v="0"/>
    <n v="0"/>
    <n v="1315"/>
    <n v="0"/>
    <n v="1315"/>
    <x v="0"/>
    <s v="Village"/>
    <x v="0"/>
    <n v="0"/>
    <n v="0"/>
    <n v="0"/>
    <n v="0"/>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3BFB650-FD09-4A47-AF0C-14B2320699E5}" name="PivotTable1" cacheId="6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5:C30" firstHeaderRow="1" firstDataRow="1" firstDataCol="3" rowPageCount="3" colPageCount="1"/>
  <pivotFields count="84">
    <pivotField axis="axisPage" compact="0" outline="0" showAll="0" defaultSubtotal="0">
      <items count="13">
        <item m="1" x="10"/>
        <item m="1" x="11"/>
        <item m="1" x="4"/>
        <item m="1" x="12"/>
        <item m="1" x="6"/>
        <item m="1" x="7"/>
        <item m="1" x="8"/>
        <item m="1" x="9"/>
        <item m="1" x="3"/>
        <item m="1" x="5"/>
        <item x="0"/>
        <item x="1"/>
        <item m="1" x="2"/>
      </items>
      <extLst>
        <ext xmlns:x14="http://schemas.microsoft.com/office/spreadsheetml/2009/9/main" uri="{2946ED86-A175-432a-8AC1-64E0C546D7DE}">
          <x14:pivotField fillDownLabels="1"/>
        </ext>
      </extLst>
    </pivotField>
    <pivotField axis="axisRow" compact="0" outline="0" showAll="0" defaultSubtotal="0">
      <items count="46">
        <item x="5"/>
        <item m="1" x="41"/>
        <item m="1" x="42"/>
        <item x="3"/>
        <item x="10"/>
        <item m="1" x="34"/>
        <item x="4"/>
        <item m="1" x="19"/>
        <item m="1" x="30"/>
        <item m="1" x="21"/>
        <item m="1" x="28"/>
        <item x="12"/>
        <item m="1" x="37"/>
        <item m="1" x="24"/>
        <item m="1" x="22"/>
        <item m="1" x="38"/>
        <item m="1" x="36"/>
        <item m="1" x="33"/>
        <item m="1" x="27"/>
        <item m="1" x="40"/>
        <item m="1" x="26"/>
        <item m="1" x="25"/>
        <item m="1" x="43"/>
        <item x="11"/>
        <item m="1" x="32"/>
        <item m="1" x="31"/>
        <item m="1" x="29"/>
        <item x="6"/>
        <item x="14"/>
        <item x="7"/>
        <item m="1" x="44"/>
        <item m="1" x="20"/>
        <item x="1"/>
        <item x="17"/>
        <item x="8"/>
        <item x="0"/>
        <item m="1" x="45"/>
        <item m="1" x="23"/>
        <item x="9"/>
        <item x="2"/>
        <item x="16"/>
        <item x="15"/>
        <item m="1" x="35"/>
        <item m="1" x="39"/>
        <item x="13"/>
        <item m="1" x="18"/>
      </items>
      <extLst>
        <ext xmlns:x14="http://schemas.microsoft.com/office/spreadsheetml/2009/9/main" uri="{2946ED86-A175-432a-8AC1-64E0C546D7DE}">
          <x14:pivotField fillDownLabels="1"/>
        </ext>
      </extLst>
    </pivotField>
    <pivotField axis="axisRow" compact="0" outline="0" showAll="0" defaultSubtotal="0">
      <items count="44">
        <item x="5"/>
        <item m="1" x="40"/>
        <item m="1" x="41"/>
        <item x="3"/>
        <item x="10"/>
        <item m="1" x="31"/>
        <item x="4"/>
        <item m="1" x="17"/>
        <item m="1" x="27"/>
        <item m="1" x="19"/>
        <item m="1" x="25"/>
        <item x="12"/>
        <item m="1" x="36"/>
        <item m="1" x="22"/>
        <item x="1"/>
        <item m="1" x="20"/>
        <item m="1" x="32"/>
        <item m="1" x="37"/>
        <item m="1" x="35"/>
        <item m="1" x="30"/>
        <item m="1" x="43"/>
        <item m="1" x="24"/>
        <item m="1" x="38"/>
        <item m="1" x="23"/>
        <item x="11"/>
        <item m="1" x="29"/>
        <item m="1" x="28"/>
        <item m="1" x="26"/>
        <item x="6"/>
        <item x="13"/>
        <item x="7"/>
        <item m="1" x="18"/>
        <item x="8"/>
        <item x="0"/>
        <item m="1" x="42"/>
        <item m="1" x="21"/>
        <item x="9"/>
        <item x="15"/>
        <item x="14"/>
        <item m="1" x="34"/>
        <item m="1" x="33"/>
        <item x="2"/>
        <item m="1" x="39"/>
        <item m="1" x="1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x="0"/>
        <item h="1" m="1" x="4"/>
        <item x="1"/>
        <item m="1" x="5"/>
        <item h="1" m="1" x="3"/>
        <item m="1" x="2"/>
      </items>
      <extLst>
        <ext xmlns:x14="http://schemas.microsoft.com/office/spreadsheetml/2009/9/main" uri="{2946ED86-A175-432a-8AC1-64E0C546D7DE}">
          <x14:pivotField fillDownLabels="1"/>
        </ext>
      </extLst>
    </pivotField>
    <pivotField axis="axisRow" compact="0" outline="0" showAll="0" defaultSubtotal="0">
      <items count="41">
        <item m="1" x="17"/>
        <item m="1" x="20"/>
        <item x="1"/>
        <item m="1" x="23"/>
        <item m="1" x="33"/>
        <item m="1" x="29"/>
        <item m="1" x="32"/>
        <item m="1" x="26"/>
        <item m="1" x="12"/>
        <item x="3"/>
        <item x="7"/>
        <item m="1" x="16"/>
        <item m="1" x="35"/>
        <item m="1" x="14"/>
        <item m="1" x="19"/>
        <item x="2"/>
        <item x="5"/>
        <item m="1" x="24"/>
        <item m="1" x="34"/>
        <item m="1" x="11"/>
        <item m="1" x="27"/>
        <item x="9"/>
        <item m="1" x="18"/>
        <item x="6"/>
        <item m="1" x="28"/>
        <item m="1" x="21"/>
        <item m="1" x="25"/>
        <item m="1" x="30"/>
        <item m="1" x="13"/>
        <item m="1" x="15"/>
        <item x="0"/>
        <item m="1" x="31"/>
        <item m="1" x="22"/>
        <item m="1" x="38"/>
        <item x="8"/>
        <item m="1" x="39"/>
        <item x="4"/>
        <item m="1" x="40"/>
        <item m="1" x="37"/>
        <item m="1" x="36"/>
        <item m="1" x="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4">
        <item x="0"/>
        <item x="1"/>
        <item m="1" x="3"/>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5"/>
    <field x="1"/>
    <field x="2"/>
  </rowFields>
  <rowItems count="25">
    <i>
      <x v="2"/>
      <x v="32"/>
      <x v="14"/>
    </i>
    <i r="1">
      <x v="39"/>
      <x v="41"/>
    </i>
    <i r="1">
      <x v="44"/>
      <x v="14"/>
    </i>
    <i>
      <x v="9"/>
      <x v="3"/>
      <x v="3"/>
    </i>
    <i>
      <x v="10"/>
      <x v="4"/>
      <x v="4"/>
    </i>
    <i r="1">
      <x v="39"/>
      <x v="37"/>
    </i>
    <i r="1">
      <x v="41"/>
      <x v="37"/>
    </i>
    <i r="2">
      <x v="38"/>
    </i>
    <i>
      <x v="15"/>
      <x v="11"/>
      <x v="11"/>
    </i>
    <i r="1">
      <x v="32"/>
      <x v="14"/>
    </i>
    <i r="1">
      <x v="33"/>
      <x v="14"/>
    </i>
    <i r="1">
      <x v="39"/>
      <x v="41"/>
    </i>
    <i r="1">
      <x v="44"/>
      <x v="14"/>
    </i>
    <i>
      <x v="16"/>
      <x/>
      <x/>
    </i>
    <i>
      <x v="21"/>
      <x v="39"/>
      <x v="37"/>
    </i>
    <i>
      <x v="23"/>
      <x v="34"/>
      <x v="32"/>
    </i>
    <i>
      <x v="30"/>
      <x v="6"/>
      <x v="6"/>
    </i>
    <i r="1">
      <x v="35"/>
      <x v="33"/>
    </i>
    <i r="1">
      <x v="38"/>
      <x v="36"/>
    </i>
    <i>
      <x v="36"/>
      <x/>
      <x/>
    </i>
    <i r="1">
      <x v="27"/>
      <x v="28"/>
    </i>
    <i r="1">
      <x v="28"/>
      <x v="29"/>
    </i>
    <i r="1">
      <x v="29"/>
      <x v="30"/>
    </i>
    <i r="1">
      <x v="39"/>
      <x v="37"/>
    </i>
    <i r="1">
      <x v="40"/>
      <x v="37"/>
    </i>
  </rowItems>
  <colItems count="1">
    <i/>
  </colItems>
  <pageFields count="3">
    <pageField fld="4" hier="-1"/>
    <pageField fld="0" item="11" hier="-1"/>
    <pageField fld="74"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1FC6499-5435-4825-9D31-2FE89506D820}" name="PivotTable5" cacheId="6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6">
  <location ref="B141:C143" firstHeaderRow="1" firstDataRow="1" firstDataCol="1" rowPageCount="3" colPageCount="1"/>
  <pivotFields count="84">
    <pivotField axis="axisPage" subtotalTop="0" multipleItemSelectionAllowed="1" showAll="0">
      <items count="14">
        <item h="1" m="1" x="11"/>
        <item m="1" x="4"/>
        <item m="1" x="12"/>
        <item h="1" m="1" x="6"/>
        <item m="1" x="3"/>
        <item h="1" m="1" x="2"/>
        <item h="1" m="1" x="10"/>
        <item h="1" m="1" x="7"/>
        <item h="1" m="1" x="8"/>
        <item m="1" x="9"/>
        <item h="1" m="1" x="5"/>
        <item h="1" x="0"/>
        <item x="1"/>
        <item t="default"/>
      </items>
    </pivotField>
    <pivotField showAll="0" defaultSubtotal="0"/>
    <pivotField showAll="0" defaultSubtotal="0"/>
    <pivotField subtotalTop="0" showAll="0"/>
    <pivotField subtotalTop="0" showAll="0">
      <items count="7">
        <item m="1" x="4"/>
        <item m="1" x="5"/>
        <item m="1" x="3"/>
        <item m="1" x="2"/>
        <item x="0"/>
        <item x="1"/>
        <item t="default"/>
      </items>
    </pivotField>
    <pivotField subtotalTop="0" showAll="0"/>
    <pivotField axis="axisPage" multipleItemSelectionAllowed="1" showAll="0" defaultSubtotal="0">
      <items count="11">
        <item m="1" x="4"/>
        <item m="1" x="9"/>
        <item m="1" x="8"/>
        <item h="1" m="1" x="6"/>
        <item m="1" x="3"/>
        <item m="1" x="2"/>
        <item x="0"/>
        <item m="1" x="7"/>
        <item h="1" m="1" x="10"/>
        <item m="1" x="5"/>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3">
    <pageField fld="0" hier="-1"/>
    <pageField fld="74" item="0" hier="-1"/>
    <pageField fld="6" hier="-1"/>
  </pageFields>
  <dataFields count="2">
    <dataField name="Boys" fld="32" baseField="0" baseItem="0"/>
    <dataField name="Girls" fld="33" baseField="0" baseItem="0"/>
  </dataFields>
  <formats count="9">
    <format dxfId="86">
      <pivotArea type="all" dataOnly="0" outline="0" fieldPosition="0"/>
    </format>
    <format dxfId="85">
      <pivotArea type="all" dataOnly="0" outline="0" fieldPosition="0"/>
    </format>
    <format dxfId="84">
      <pivotArea outline="0" collapsedLevelsAreSubtotals="1" fieldPosition="0"/>
    </format>
    <format dxfId="83">
      <pivotArea field="4" type="button" dataOnly="0" labelOnly="1" outline="0"/>
    </format>
    <format dxfId="82">
      <pivotArea dataOnly="0" labelOnly="1" grandRow="1" outline="0" fieldPosition="0"/>
    </format>
    <format dxfId="81">
      <pivotArea type="all" dataOnly="0" outline="0" fieldPosition="0"/>
    </format>
    <format dxfId="80">
      <pivotArea outline="0" collapsedLevelsAreSubtotals="1" fieldPosition="0"/>
    </format>
    <format dxfId="79">
      <pivotArea field="4" type="button" dataOnly="0" labelOnly="1" outline="0"/>
    </format>
    <format dxfId="78">
      <pivotArea dataOnly="0" labelOnly="1" grandRow="1" outline="0" fieldPosition="0"/>
    </format>
  </formats>
  <chartFormats count="9">
    <chartFormat chart="5" format="0" series="1">
      <pivotArea type="data" outline="0" fieldPosition="0">
        <references count="1">
          <reference field="4294967294" count="1" selected="0">
            <x v="0"/>
          </reference>
        </references>
      </pivotArea>
    </chartFormat>
    <chartFormat chart="5" format="1">
      <pivotArea type="data" outline="0" fieldPosition="0">
        <references count="1">
          <reference field="4294967294" count="1" selected="0">
            <x v="1"/>
          </reference>
        </references>
      </pivotArea>
    </chartFormat>
    <chartFormat chart="5" format="2">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 chart="6" format="4">
      <pivotArea type="data" outline="0" fieldPosition="0">
        <references count="1">
          <reference field="4294967294" count="1" selected="0">
            <x v="0"/>
          </reference>
        </references>
      </pivotArea>
    </chartFormat>
    <chartFormat chart="6" format="5">
      <pivotArea type="data" outline="0" fieldPosition="0">
        <references count="1">
          <reference field="4294967294" count="1" selected="0">
            <x v="1"/>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1">
          <reference field="4294967294" count="1" selected="0">
            <x v="0"/>
          </reference>
        </references>
      </pivotArea>
    </chartFormat>
    <chartFormat chart="9" format="8">
      <pivotArea type="data" outline="0" fieldPosition="0">
        <references count="1">
          <reference field="4294967294" count="1" selected="0">
            <x v="1"/>
          </reference>
        </references>
      </pivotArea>
    </chartFormat>
  </chart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4D6E0BE-6C20-4AC9-8992-EC6648BDC7D8}" name="PivotTable3" cacheId="6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H86:J88" firstHeaderRow="1" firstDataRow="2" firstDataCol="1" rowPageCount="4" colPageCount="1"/>
  <pivotFields count="84">
    <pivotField axis="axisPage" subtotalTop="0" multipleItemSelectionAllowed="1" showAll="0">
      <items count="14">
        <item m="1" x="11"/>
        <item m="1" x="4"/>
        <item m="1" x="12"/>
        <item h="1" m="1" x="6"/>
        <item m="1" x="3"/>
        <item h="1" m="1" x="2"/>
        <item h="1" m="1" x="10"/>
        <item h="1" m="1" x="7"/>
        <item h="1" m="1" x="8"/>
        <item m="1" x="9"/>
        <item h="1" m="1" x="5"/>
        <item h="1"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subtotalTop="0" showAll="0"/>
    <pivotField axis="axisPage" multipleItemSelectionAllowed="1" showAll="0" defaultSubtotal="0">
      <items count="11">
        <item m="1" x="4"/>
        <item m="1" x="9"/>
        <item m="1" x="8"/>
        <item m="1" x="6"/>
        <item m="1" x="3"/>
        <item m="1" x="2"/>
        <item x="0"/>
        <item m="1" x="7"/>
        <item h="1" m="1" x="10"/>
        <item m="1" x="5"/>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axis="axisCol" dataField="1" showAll="0">
      <items count="3">
        <item x="0"/>
        <item x="1"/>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67"/>
  </colFields>
  <colItems count="2">
    <i>
      <x/>
    </i>
    <i>
      <x v="1"/>
    </i>
  </colItems>
  <pageFields count="4">
    <pageField fld="0" hier="-1"/>
    <pageField fld="4" hier="-1"/>
    <pageField fld="74" hier="-1"/>
    <pageField fld="6" hier="-1"/>
  </pageFields>
  <dataFields count="1">
    <dataField name="Count of Village with School" fld="67" subtotal="count" baseField="0" baseItem="0"/>
  </dataFields>
  <formats count="11">
    <format dxfId="97">
      <pivotArea field="4" type="button" dataOnly="0" labelOnly="1" outline="0" axis="axisPage" fieldPosition="1"/>
    </format>
    <format dxfId="96">
      <pivotArea type="all" dataOnly="0" outline="0" fieldPosition="0"/>
    </format>
    <format dxfId="95">
      <pivotArea outline="0" collapsedLevelsAreSubtotals="1" fieldPosition="0"/>
    </format>
    <format dxfId="94">
      <pivotArea type="origin" dataOnly="0" labelOnly="1" outline="0" fieldPosition="0"/>
    </format>
    <format dxfId="93">
      <pivotArea type="topRight" dataOnly="0" labelOnly="1" outline="0" fieldPosition="0"/>
    </format>
    <format dxfId="92">
      <pivotArea field="-2" type="button" dataOnly="0" labelOnly="1" outline="0" axis="axisValues" fieldPosition="0"/>
    </format>
    <format dxfId="91">
      <pivotArea type="all" dataOnly="0" outline="0" fieldPosition="0"/>
    </format>
    <format dxfId="90">
      <pivotArea outline="0" collapsedLevelsAreSubtotals="1" fieldPosition="0"/>
    </format>
    <format dxfId="89">
      <pivotArea field="4" type="button" dataOnly="0" labelOnly="1" outline="0" axis="axisPage" fieldPosition="1"/>
    </format>
    <format dxfId="88">
      <pivotArea dataOnly="0" labelOnly="1" outline="0" fieldPosition="0">
        <references count="1">
          <reference field="4" count="1">
            <x v="1"/>
          </reference>
        </references>
      </pivotArea>
    </format>
    <format dxfId="87">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6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71:C74" firstHeaderRow="1" firstDataRow="2" firstDataCol="1" rowPageCount="3" colPageCount="1"/>
  <pivotFields count="84">
    <pivotField axis="axisPage" subtotalTop="0" multipleItemSelectionAllowed="1" showAll="0">
      <items count="14">
        <item m="1" x="11"/>
        <item m="1" x="4"/>
        <item m="1" x="12"/>
        <item h="1" m="1" x="6"/>
        <item m="1" x="3"/>
        <item h="1" m="1" x="2"/>
        <item h="1" m="1" x="10"/>
        <item h="1" m="1" x="7"/>
        <item h="1" m="1" x="8"/>
        <item m="1" x="9"/>
        <item h="1" m="1" x="5"/>
        <item h="1"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subtotalTop="0" showAll="0"/>
    <pivotField axis="axisCol" multipleItemSelectionAllowed="1" showAll="0" defaultSubtotal="0">
      <items count="11">
        <item n="# in active camps (20:1)" m="1" x="4"/>
        <item m="1" x="9"/>
        <item m="1" x="8"/>
        <item h="1" m="1" x="6"/>
        <item m="1" x="3"/>
        <item m="1" x="2"/>
        <item n="# in villages (6:1)" x="0"/>
        <item m="1" x="7"/>
        <item h="1" m="1" x="10"/>
        <item m="1" x="5"/>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dataField="1"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Fields count="1">
    <field x="6"/>
  </colFields>
  <colItems count="1">
    <i>
      <x v="6"/>
    </i>
  </colItems>
  <pageFields count="3">
    <pageField fld="0" hier="-1"/>
    <pageField fld="4" hier="-1"/>
    <pageField fld="74" hier="-1"/>
  </pageFields>
  <dataFields count="2">
    <dataField name="# latrines (target)" fld="55" baseField="0" baseItem="0"/>
    <dataField name="Sum of #_of_sanitary_fly-proof_HH_latrines" fld="20" baseField="0" baseItem="0"/>
  </dataFields>
  <formats count="12">
    <format dxfId="109">
      <pivotArea field="4" type="button" dataOnly="0" labelOnly="1" outline="0" axis="axisPage" fieldPosition="1"/>
    </format>
    <format dxfId="108">
      <pivotArea type="all" dataOnly="0" outline="0" fieldPosition="0"/>
    </format>
    <format dxfId="107">
      <pivotArea outline="0" collapsedLevelsAreSubtotals="1" fieldPosition="0"/>
    </format>
    <format dxfId="106">
      <pivotArea type="origin" dataOnly="0" labelOnly="1" outline="0" fieldPosition="0"/>
    </format>
    <format dxfId="105">
      <pivotArea type="topRight" dataOnly="0" labelOnly="1" outline="0" fieldPosition="0"/>
    </format>
    <format dxfId="104">
      <pivotArea field="-2" type="button" dataOnly="0" labelOnly="1" outline="0" axis="axisRow" fieldPosition="0"/>
    </format>
    <format dxfId="103">
      <pivotArea type="all" dataOnly="0" outline="0" fieldPosition="0"/>
    </format>
    <format dxfId="102">
      <pivotArea outline="0" collapsedLevelsAreSubtotals="1" fieldPosition="0"/>
    </format>
    <format dxfId="101">
      <pivotArea dataOnly="0" labelOnly="1" outline="0" fieldPosition="0">
        <references count="1">
          <reference field="4294967294" count="1">
            <x v="0"/>
          </reference>
        </references>
      </pivotArea>
    </format>
    <format dxfId="100">
      <pivotArea field="4" type="button" dataOnly="0" labelOnly="1" outline="0" axis="axisPage" fieldPosition="1"/>
    </format>
    <format dxfId="99">
      <pivotArea dataOnly="0" labelOnly="1" outline="0" fieldPosition="0">
        <references count="1">
          <reference field="4" count="1">
            <x v="1"/>
          </reference>
        </references>
      </pivotArea>
    </format>
    <format dxfId="98">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6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rowHeaderCaption="State" colHeaderCaption=" ">
  <location ref="B98:D107" firstHeaderRow="0" firstDataRow="1" firstDataCol="1" rowPageCount="4" colPageCount="1"/>
  <pivotFields count="84">
    <pivotField axis="axisPage" subtotalTop="0" multipleItemSelectionAllowed="1" showAll="0">
      <items count="14">
        <item m="1" x="11"/>
        <item m="1" x="4"/>
        <item h="1" m="1" x="6"/>
        <item h="1" m="1" x="2"/>
        <item m="1" x="12"/>
        <item m="1" x="3"/>
        <item h="1" m="1" x="10"/>
        <item h="1" m="1" x="7"/>
        <item h="1" m="1" x="8"/>
        <item m="1" x="9"/>
        <item h="1" m="1" x="5"/>
        <item h="1" x="0"/>
        <item x="1"/>
        <item t="default"/>
      </items>
    </pivotField>
    <pivotField showAll="0" defaultSubtotal="0"/>
    <pivotField showAll="0" defaultSubtotal="0"/>
    <pivotField subtotalTop="0" showAll="0"/>
    <pivotField axis="axisPage" subtotalTop="0" multipleItemSelectionAllowed="1" showAll="0">
      <items count="7">
        <item m="1" x="4"/>
        <item m="1" x="5"/>
        <item m="1" x="3"/>
        <item m="1" x="2"/>
        <item x="0"/>
        <item x="1"/>
        <item t="default"/>
      </items>
    </pivotField>
    <pivotField axis="axisRow" subtotalTop="0" showAll="0">
      <items count="42">
        <item m="1" x="17"/>
        <item m="1" x="20"/>
        <item x="1"/>
        <item m="1" x="33"/>
        <item m="1" x="29"/>
        <item m="1" x="32"/>
        <item m="1" x="26"/>
        <item m="1" x="12"/>
        <item x="3"/>
        <item x="7"/>
        <item m="1" x="16"/>
        <item m="1" x="35"/>
        <item m="1" x="14"/>
        <item m="1" x="19"/>
        <item x="2"/>
        <item x="5"/>
        <item m="1" x="24"/>
        <item m="1" x="34"/>
        <item m="1" x="27"/>
        <item x="9"/>
        <item m="1" x="18"/>
        <item x="6"/>
        <item m="1" x="28"/>
        <item m="1" x="21"/>
        <item m="1" x="25"/>
        <item m="1" x="30"/>
        <item m="1" x="15"/>
        <item x="0"/>
        <item m="1" x="31"/>
        <item m="1" x="22"/>
        <item m="1" x="38"/>
        <item x="8"/>
        <item m="1" x="39"/>
        <item x="4"/>
        <item m="1" x="40"/>
        <item m="1" x="37"/>
        <item m="1" x="36"/>
        <item m="1" x="11"/>
        <item m="1" x="13"/>
        <item m="1" x="10"/>
        <item m="1" x="23"/>
        <item t="default"/>
      </items>
    </pivotField>
    <pivotField axis="axisPage" multipleItemSelectionAllowed="1" showAll="0" defaultSubtotal="0">
      <items count="11">
        <item m="1" x="4"/>
        <item m="1" x="9"/>
        <item m="1" x="8"/>
        <item h="1" m="1" x="6"/>
        <item m="1" x="3"/>
        <item m="1" x="2"/>
        <item x="0"/>
        <item m="1" x="7"/>
        <item h="1" m="1" x="10"/>
        <item m="1" x="5"/>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9">
    <i>
      <x v="2"/>
    </i>
    <i>
      <x v="8"/>
    </i>
    <i>
      <x v="9"/>
    </i>
    <i>
      <x v="14"/>
    </i>
    <i>
      <x v="15"/>
    </i>
    <i>
      <x v="19"/>
    </i>
    <i>
      <x v="21"/>
    </i>
    <i>
      <x v="27"/>
    </i>
    <i>
      <x v="33"/>
    </i>
  </rowItems>
  <colFields count="1">
    <field x="-2"/>
  </colFields>
  <colItems count="2">
    <i>
      <x/>
    </i>
    <i i="1">
      <x v="1"/>
    </i>
  </colItems>
  <pageFields count="4">
    <pageField fld="0" hier="-1"/>
    <pageField fld="74" item="0" hier="-1"/>
    <pageField fld="4" hier="-1"/>
    <pageField fld="6" hier="-1"/>
  </pageFields>
  <dataFields count="2">
    <dataField name="  % Latrine Coverage" fld="82" baseField="0" baseItem="0" numFmtId="1"/>
    <dataField name="  % Latrine GAP" fld="83" baseField="0" baseItem="0" numFmtId="1"/>
  </dataFields>
  <formats count="12">
    <format dxfId="121">
      <pivotArea type="all" dataOnly="0" outline="0" fieldPosition="0"/>
    </format>
    <format dxfId="120">
      <pivotArea outline="0" collapsedLevelsAreSubtotals="1" fieldPosition="0"/>
    </format>
    <format dxfId="119">
      <pivotArea field="4" type="button" dataOnly="0" labelOnly="1" outline="0" axis="axisPage" fieldPosition="2"/>
    </format>
    <format dxfId="118">
      <pivotArea type="all" dataOnly="0" outline="0" fieldPosition="0"/>
    </format>
    <format dxfId="117">
      <pivotArea outline="0" collapsedLevelsAreSubtotals="1" fieldPosition="0"/>
    </format>
    <format dxfId="116">
      <pivotArea outline="0" collapsedLevelsAreSubtotals="1" fieldPosition="0"/>
    </format>
    <format dxfId="115">
      <pivotArea field="5" type="button" dataOnly="0" labelOnly="1" outline="0" axis="axisRow" fieldPosition="0"/>
    </format>
    <format dxfId="114">
      <pivotArea field="5" type="button" dataOnly="0" labelOnly="1" outline="0" axis="axisRow" fieldPosition="0"/>
    </format>
    <format dxfId="113">
      <pivotArea field="5" type="button" dataOnly="0" labelOnly="1" outline="0" axis="axisRow" fieldPosition="0"/>
    </format>
    <format dxfId="112">
      <pivotArea field="4" type="button" dataOnly="0" labelOnly="1" outline="0" axis="axisPage" fieldPosition="2"/>
    </format>
    <format dxfId="111">
      <pivotArea dataOnly="0" labelOnly="1" outline="0" fieldPosition="0">
        <references count="2">
          <reference field="4" count="1">
            <x v="0"/>
          </reference>
          <reference field="74" count="1" selected="0">
            <x v="0"/>
          </reference>
        </references>
      </pivotArea>
    </format>
    <format dxfId="110">
      <pivotArea dataOnly="0" labelOnly="1" outline="0" fieldPosition="0">
        <references count="2">
          <reference field="4" count="1">
            <x v="2"/>
          </reference>
          <reference field="74" count="1" selected="0">
            <x v="0"/>
          </reference>
        </references>
      </pivotArea>
    </format>
  </formats>
  <chartFormats count="4">
    <chartFormat chart="43" format="8" series="1">
      <pivotArea type="data" outline="0" fieldPosition="0">
        <references count="1">
          <reference field="4294967294" count="1" selected="0">
            <x v="0"/>
          </reference>
        </references>
      </pivotArea>
    </chartFormat>
    <chartFormat chart="43" format="9" series="1">
      <pivotArea type="data" outline="0" fieldPosition="0">
        <references count="1">
          <reference field="4294967294" count="1" selected="0">
            <x v="1"/>
          </reference>
        </references>
      </pivotArea>
    </chartFormat>
    <chartFormat chart="44" format="6" series="1">
      <pivotArea type="data" outline="0" fieldPosition="0">
        <references count="1">
          <reference field="4294967294" count="1" selected="0">
            <x v="0"/>
          </reference>
        </references>
      </pivotArea>
    </chartFormat>
    <chartFormat chart="44" format="7"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800-000023000000}" name="W_R_C_G_V" cacheId="6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3" rowHeaderCaption="State" colHeaderCaption=" ">
  <location ref="B50:D59" firstHeaderRow="0" firstDataRow="1" firstDataCol="1" rowPageCount="4" colPageCount="1"/>
  <pivotFields count="84">
    <pivotField axis="axisPage" subtotalTop="0" multipleItemSelectionAllowed="1" showAll="0">
      <items count="14">
        <item m="1" x="11"/>
        <item m="1" x="4"/>
        <item h="1" m="1" x="6"/>
        <item h="1" m="1" x="2"/>
        <item m="1" x="12"/>
        <item m="1" x="3"/>
        <item h="1" m="1" x="10"/>
        <item h="1" m="1" x="7"/>
        <item h="1" m="1" x="8"/>
        <item m="1" x="9"/>
        <item h="1" m="1" x="5"/>
        <item h="1"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axis="axisRow" subtotalTop="0" showAll="0">
      <items count="42">
        <item m="1" x="17"/>
        <item m="1" x="20"/>
        <item x="1"/>
        <item m="1" x="33"/>
        <item m="1" x="29"/>
        <item m="1" x="32"/>
        <item m="1" x="26"/>
        <item m="1" x="12"/>
        <item x="3"/>
        <item x="7"/>
        <item m="1" x="16"/>
        <item m="1" x="35"/>
        <item m="1" x="14"/>
        <item m="1" x="19"/>
        <item x="2"/>
        <item x="5"/>
        <item m="1" x="24"/>
        <item m="1" x="34"/>
        <item m="1" x="27"/>
        <item x="9"/>
        <item m="1" x="18"/>
        <item x="6"/>
        <item m="1" x="28"/>
        <item m="1" x="21"/>
        <item m="1" x="25"/>
        <item m="1" x="30"/>
        <item m="1" x="15"/>
        <item x="0"/>
        <item m="1" x="31"/>
        <item m="1" x="22"/>
        <item m="1" x="38"/>
        <item x="8"/>
        <item m="1" x="39"/>
        <item x="4"/>
        <item m="1" x="40"/>
        <item m="1" x="37"/>
        <item m="1" x="36"/>
        <item m="1" x="11"/>
        <item m="1" x="13"/>
        <item m="1" x="10"/>
        <item m="1" x="23"/>
        <item t="default"/>
      </items>
    </pivotField>
    <pivotField axis="axisPage" multipleItemSelectionAllowed="1" showAll="0" defaultSubtotal="0">
      <items count="11">
        <item h="1" m="1" x="4"/>
        <item h="1" m="1" x="9"/>
        <item m="1" x="8"/>
        <item h="1" m="1" x="6"/>
        <item m="1" x="3"/>
        <item m="1" x="2"/>
        <item x="0"/>
        <item m="1" x="7"/>
        <item h="1" m="1" x="10"/>
        <item m="1" x="5"/>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9">
    <i>
      <x v="2"/>
    </i>
    <i>
      <x v="8"/>
    </i>
    <i>
      <x v="9"/>
    </i>
    <i>
      <x v="14"/>
    </i>
    <i>
      <x v="15"/>
    </i>
    <i>
      <x v="19"/>
    </i>
    <i>
      <x v="21"/>
    </i>
    <i>
      <x v="27"/>
    </i>
    <i>
      <x v="33"/>
    </i>
  </rowItems>
  <colFields count="1">
    <field x="-2"/>
  </colFields>
  <colItems count="2">
    <i>
      <x/>
    </i>
    <i i="1">
      <x v="1"/>
    </i>
  </colItems>
  <pageFields count="4">
    <pageField fld="0" hier="-1"/>
    <pageField fld="74" item="0" hier="-1"/>
    <pageField fld="4" hier="-1"/>
    <pageField fld="6" hier="-1"/>
  </pageFields>
  <dataFields count="2">
    <dataField name=" % Water Coverage" fld="80" baseField="0" baseItem="0"/>
    <dataField name=" % Water GAP" fld="81" baseField="0" baseItem="0"/>
  </dataFields>
  <formats count="13">
    <format dxfId="134">
      <pivotArea field="4" type="button" dataOnly="0" labelOnly="1" outline="0" axis="axisPage" fieldPosition="2"/>
    </format>
    <format dxfId="133">
      <pivotArea type="all" dataOnly="0" outline="0" fieldPosition="0"/>
    </format>
    <format dxfId="132">
      <pivotArea outline="0" collapsedLevelsAreSubtotals="1" fieldPosition="0"/>
    </format>
    <format dxfId="131">
      <pivotArea field="4" type="button" dataOnly="0" labelOnly="1" outline="0" axis="axisPage" fieldPosition="2"/>
    </format>
    <format dxfId="130">
      <pivotArea type="all" dataOnly="0" outline="0" fieldPosition="0"/>
    </format>
    <format dxfId="129">
      <pivotArea outline="0" collapsedLevelsAreSubtotals="1" fieldPosition="0"/>
    </format>
    <format dxfId="128">
      <pivotArea outline="0" collapsedLevelsAreSubtotals="1" fieldPosition="0"/>
    </format>
    <format dxfId="127">
      <pivotArea field="5" type="button" dataOnly="0" labelOnly="1" outline="0" axis="axisRow" fieldPosition="0"/>
    </format>
    <format dxfId="126">
      <pivotArea field="5" type="button" dataOnly="0" labelOnly="1" outline="0" axis="axisRow" fieldPosition="0"/>
    </format>
    <format dxfId="125">
      <pivotArea field="5" type="button" dataOnly="0" labelOnly="1" outline="0" axis="axisRow" fieldPosition="0"/>
    </format>
    <format dxfId="124">
      <pivotArea field="4" type="button" dataOnly="0" labelOnly="1" outline="0" axis="axisPage" fieldPosition="2"/>
    </format>
    <format dxfId="123">
      <pivotArea dataOnly="0" labelOnly="1" outline="0" fieldPosition="0">
        <references count="2">
          <reference field="4" count="1">
            <x v="1"/>
          </reference>
          <reference field="74" count="1" selected="0">
            <x v="0"/>
          </reference>
        </references>
      </pivotArea>
    </format>
    <format dxfId="122">
      <pivotArea dataOnly="0" labelOnly="1" outline="0" fieldPosition="0">
        <references count="2">
          <reference field="4" count="1">
            <x v="2"/>
          </reference>
          <reference field="74" count="1" selected="0">
            <x v="0"/>
          </reference>
        </references>
      </pivotArea>
    </format>
  </formats>
  <chartFormats count="6">
    <chartFormat chart="44" format="3"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1"/>
          </reference>
        </references>
      </pivotArea>
    </chartFormat>
    <chartFormat chart="47" format="5" series="1">
      <pivotArea type="data" outline="0" fieldPosition="0">
        <references count="1">
          <reference field="4294967294" count="1" selected="0">
            <x v="0"/>
          </reference>
        </references>
      </pivotArea>
    </chartFormat>
    <chartFormat chart="47" format="6" series="1">
      <pivotArea type="data" outline="0" fieldPosition="0">
        <references count="1">
          <reference field="4294967294" count="1" selected="0">
            <x v="1"/>
          </reference>
        </references>
      </pivotArea>
    </chartFormat>
    <chartFormat chart="48" format="7" series="1">
      <pivotArea type="data" outline="0" fieldPosition="0">
        <references count="1">
          <reference field="4294967294" count="1" selected="0">
            <x v="0"/>
          </reference>
        </references>
      </pivotArea>
    </chartFormat>
    <chartFormat chart="48" format="8"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6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7">
  <location ref="H181:J183" firstHeaderRow="1" firstDataRow="2" firstDataCol="1" rowPageCount="2" colPageCount="1"/>
  <pivotFields count="84">
    <pivotField axis="axisPage" subtotalTop="0" showAll="0">
      <items count="14">
        <item m="1" x="11"/>
        <item m="1" x="4"/>
        <item m="1" x="12"/>
        <item m="1" x="6"/>
        <item m="1" x="3"/>
        <item m="1" x="2"/>
        <item m="1" x="10"/>
        <item m="1" x="7"/>
        <item m="1" x="8"/>
        <item m="1" x="9"/>
        <item m="1" x="5"/>
        <item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subtotalTop="0" showAll="0"/>
    <pivotField axis="axisRow" showAll="0" defaultSubtotal="0">
      <items count="11">
        <item m="1" x="4"/>
        <item m="1" x="9"/>
        <item m="1" x="8"/>
        <item m="1" x="3"/>
        <item m="1" x="2"/>
        <item x="0"/>
        <item m="1" x="7"/>
        <item m="1" x="10"/>
        <item m="1" x="5"/>
        <item m="1" x="6"/>
        <item m="1" x="1"/>
      </items>
    </pivotField>
    <pivotField dataField="1"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v="5"/>
    </i>
  </rowItems>
  <colFields count="1">
    <field x="74"/>
  </colFields>
  <colItems count="2">
    <i>
      <x/>
    </i>
    <i>
      <x v="1"/>
    </i>
  </colItems>
  <pageFields count="2">
    <pageField fld="0" item="12" hier="-1"/>
    <pageField fld="4" hier="-1"/>
  </pageFields>
  <dataFields count="1">
    <dataField name="Count of Village  Name" fld="7" subtotal="count" baseField="6" baseItem="5"/>
  </dataFields>
  <formats count="18">
    <format dxfId="152">
      <pivotArea type="all" dataOnly="0" outline="0" fieldPosition="0"/>
    </format>
    <format dxfId="151">
      <pivotArea outline="0" collapsedLevelsAreSubtotals="1" fieldPosition="0"/>
    </format>
    <format dxfId="150">
      <pivotArea field="4" type="button" dataOnly="0" labelOnly="1" outline="0" axis="axisPage" fieldPosition="1"/>
    </format>
    <format dxfId="149">
      <pivotArea dataOnly="0" labelOnly="1" fieldPosition="0">
        <references count="1">
          <reference field="4" count="0"/>
        </references>
      </pivotArea>
    </format>
    <format dxfId="148">
      <pivotArea dataOnly="0" labelOnly="1" grandRow="1" outline="0" fieldPosition="0"/>
    </format>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74" type="button" dataOnly="0" labelOnly="1" outline="0" axis="axisCol" fieldPosition="0"/>
    </format>
    <format dxfId="143">
      <pivotArea type="topRight" dataOnly="0" labelOnly="1" outline="0" fieldPosition="0"/>
    </format>
    <format dxfId="142">
      <pivotArea dataOnly="0" labelOnly="1" fieldPosition="0">
        <references count="1">
          <reference field="74" count="0"/>
        </references>
      </pivotArea>
    </format>
    <format dxfId="141">
      <pivotArea type="all" dataOnly="0" outline="0" fieldPosition="0"/>
    </format>
    <format dxfId="140">
      <pivotArea outline="0" collapsedLevelsAreSubtotals="1" fieldPosition="0"/>
    </format>
    <format dxfId="139">
      <pivotArea dataOnly="0" labelOnly="1" fieldPosition="0">
        <references count="1">
          <reference field="74" count="0"/>
        </references>
      </pivotArea>
    </format>
    <format dxfId="138">
      <pivotArea field="4" type="button" dataOnly="0" labelOnly="1" outline="0" axis="axisPage" fieldPosition="1"/>
    </format>
    <format dxfId="137">
      <pivotArea dataOnly="0" labelOnly="1" outline="0" fieldPosition="0">
        <references count="2">
          <reference field="0" count="1" selected="0">
            <x v="7"/>
          </reference>
          <reference field="4" count="0"/>
        </references>
      </pivotArea>
    </format>
    <format dxfId="136">
      <pivotArea dataOnly="0" labelOnly="1" outline="0" fieldPosition="0">
        <references count="2">
          <reference field="0" count="1" selected="0">
            <x v="8"/>
          </reference>
          <reference field="4" count="0"/>
        </references>
      </pivotArea>
    </format>
    <format dxfId="135">
      <pivotArea dataOnly="0" labelOnly="1" outline="0" fieldPosition="0">
        <references count="2">
          <reference field="0" count="1" selected="0">
            <x v="9"/>
          </reference>
          <reference field="4" count="0"/>
        </references>
      </pivotArea>
    </format>
  </formats>
  <chartFormats count="12">
    <chartFormat chart="9" format="11" series="1">
      <pivotArea type="data" outline="0" fieldPosition="0">
        <references count="1">
          <reference field="74" count="1" selected="0">
            <x v="0"/>
          </reference>
        </references>
      </pivotArea>
    </chartFormat>
    <chartFormat chart="9" format="12" series="1">
      <pivotArea type="data" outline="0" fieldPosition="0">
        <references count="1">
          <reference field="74" count="1" selected="0">
            <x v="1"/>
          </reference>
        </references>
      </pivotArea>
    </chartFormat>
    <chartFormat chart="16" format="11" series="1">
      <pivotArea type="data" outline="0" fieldPosition="0">
        <references count="1">
          <reference field="74" count="1" selected="0">
            <x v="0"/>
          </reference>
        </references>
      </pivotArea>
    </chartFormat>
    <chartFormat chart="16" format="12" series="1">
      <pivotArea type="data" outline="0" fieldPosition="0">
        <references count="1">
          <reference field="74" count="1" selected="0">
            <x v="1"/>
          </reference>
        </references>
      </pivotArea>
    </chartFormat>
    <chartFormat chart="16" format="13" series="1">
      <pivotArea type="data" outline="0" fieldPosition="0"/>
    </chartFormat>
    <chartFormat chart="9" format="13" series="1">
      <pivotArea type="data" outline="0" fieldPosition="0"/>
    </chartFormat>
    <chartFormat chart="16" format="14" series="1">
      <pivotArea type="data" outline="0" fieldPosition="0">
        <references count="1">
          <reference field="4294967294" count="1" selected="0">
            <x v="0"/>
          </reference>
        </references>
      </pivotArea>
    </chartFormat>
    <chartFormat chart="9" format="14" series="1">
      <pivotArea type="data" outline="0" fieldPosition="0">
        <references count="1">
          <reference field="4294967294" count="1" selected="0">
            <x v="0"/>
          </reference>
        </references>
      </pivotArea>
    </chartFormat>
    <chartFormat chart="16" format="15" series="1">
      <pivotArea type="data" outline="0" fieldPosition="0">
        <references count="2">
          <reference field="4294967294" count="1" selected="0">
            <x v="0"/>
          </reference>
          <reference field="74" count="1" selected="0">
            <x v="0"/>
          </reference>
        </references>
      </pivotArea>
    </chartFormat>
    <chartFormat chart="16" format="16" series="1">
      <pivotArea type="data" outline="0" fieldPosition="0">
        <references count="2">
          <reference field="4294967294" count="1" selected="0">
            <x v="0"/>
          </reference>
          <reference field="74" count="1" selected="0">
            <x v="1"/>
          </reference>
        </references>
      </pivotArea>
    </chartFormat>
    <chartFormat chart="9" format="15" series="1">
      <pivotArea type="data" outline="0" fieldPosition="0">
        <references count="2">
          <reference field="4294967294" count="1" selected="0">
            <x v="0"/>
          </reference>
          <reference field="74" count="1" selected="0">
            <x v="0"/>
          </reference>
        </references>
      </pivotArea>
    </chartFormat>
    <chartFormat chart="9" format="16" series="1">
      <pivotArea type="data" outline="0" fieldPosition="0">
        <references count="2">
          <reference field="4294967294" count="1" selected="0">
            <x v="0"/>
          </reference>
          <reference field="74"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6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4">
  <location ref="B129:C134" firstHeaderRow="1" firstDataRow="1" firstDataCol="1" rowPageCount="3" colPageCount="1"/>
  <pivotFields count="84">
    <pivotField axis="axisPage" subtotalTop="0" multipleItemSelectionAllowed="1" showAll="0">
      <items count="14">
        <item h="1" m="1" x="11"/>
        <item m="1" x="4"/>
        <item m="1" x="12"/>
        <item h="1" m="1" x="6"/>
        <item m="1" x="3"/>
        <item h="1" m="1" x="2"/>
        <item h="1" m="1" x="10"/>
        <item h="1" m="1" x="7"/>
        <item h="1" m="1" x="8"/>
        <item m="1" x="9"/>
        <item h="1" m="1" x="5"/>
        <item h="1" x="0"/>
        <item x="1"/>
        <item t="default"/>
      </items>
    </pivotField>
    <pivotField showAll="0" defaultSubtotal="0"/>
    <pivotField showAll="0" defaultSubtotal="0"/>
    <pivotField subtotalTop="0" showAll="0"/>
    <pivotField subtotalTop="0" showAll="0">
      <items count="7">
        <item m="1" x="4"/>
        <item m="1" x="5"/>
        <item m="1" x="3"/>
        <item m="1" x="2"/>
        <item x="0"/>
        <item x="1"/>
        <item t="default"/>
      </items>
    </pivotField>
    <pivotField subtotalTop="0" showAll="0"/>
    <pivotField axis="axisPage" multipleItemSelectionAllowed="1" showAll="0" defaultSubtotal="0">
      <items count="11">
        <item m="1" x="4"/>
        <item m="1" x="9"/>
        <item m="1" x="8"/>
        <item h="1" m="1" x="6"/>
        <item m="1" x="3"/>
        <item m="1" x="2"/>
        <item x="0"/>
        <item m="1" x="7"/>
        <item h="1" m="1" x="10"/>
        <item m="1" x="5"/>
        <item h="1" m="1" x="1"/>
      </items>
    </pivotField>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5">
    <i>
      <x/>
    </i>
    <i i="1">
      <x v="1"/>
    </i>
    <i i="2">
      <x v="2"/>
    </i>
    <i i="3">
      <x v="3"/>
    </i>
    <i i="4">
      <x v="4"/>
    </i>
  </rowItems>
  <colItems count="1">
    <i/>
  </colItems>
  <pageFields count="3">
    <pageField fld="0" hier="-1"/>
    <pageField fld="74" item="0" hier="-1"/>
    <pageField fld="6" hier="-1"/>
  </pageFields>
  <dataFields count="5">
    <dataField name="Sum of Total PoP " fld="9" baseField="0" baseItem="0"/>
    <dataField name="Men" fld="28" baseField="0" baseItem="0"/>
    <dataField name="Women" fld="29" baseField="0" baseItem="0"/>
    <dataField name="Boys" fld="30" baseField="0" baseItem="0"/>
    <dataField name="Girls" fld="31" baseField="0" baseItem="0"/>
  </dataFields>
  <formats count="9">
    <format dxfId="161">
      <pivotArea type="all" dataOnly="0" outline="0" fieldPosition="0"/>
    </format>
    <format dxfId="160">
      <pivotArea type="all" dataOnly="0" outline="0" fieldPosition="0"/>
    </format>
    <format dxfId="159">
      <pivotArea outline="0" collapsedLevelsAreSubtotals="1" fieldPosition="0"/>
    </format>
    <format dxfId="158">
      <pivotArea field="4" type="button" dataOnly="0" labelOnly="1" outline="0"/>
    </format>
    <format dxfId="157">
      <pivotArea dataOnly="0" labelOnly="1" grandRow="1" outline="0" fieldPosition="0"/>
    </format>
    <format dxfId="156">
      <pivotArea type="all" dataOnly="0" outline="0" fieldPosition="0"/>
    </format>
    <format dxfId="155">
      <pivotArea outline="0" collapsedLevelsAreSubtotals="1" fieldPosition="0"/>
    </format>
    <format dxfId="154">
      <pivotArea field="4" type="button" dataOnly="0" labelOnly="1" outline="0"/>
    </format>
    <format dxfId="153">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6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230:E231" firstHeaderRow="0" firstDataRow="1" firstDataCol="0" rowPageCount="2" colPageCount="1"/>
  <pivotFields count="84">
    <pivotField axis="axisPage" subtotalTop="0" showAll="0">
      <items count="14">
        <item m="1" x="11"/>
        <item m="1" x="4"/>
        <item m="1" x="12"/>
        <item m="1" x="6"/>
        <item m="1" x="3"/>
        <item m="1" x="2"/>
        <item m="1" x="10"/>
        <item m="1" x="7"/>
        <item m="1" x="8"/>
        <item m="1" x="9"/>
        <item m="1" x="5"/>
        <item x="0"/>
        <item x="1"/>
        <item t="default"/>
      </items>
    </pivotField>
    <pivotField showAll="0" defaultSubtotal="0"/>
    <pivotField showAll="0" defaultSubtotal="0"/>
    <pivotField subtotalTop="0" showAll="0"/>
    <pivotField subtotalTop="0" multipleItemSelectionAllowed="1" showAll="0">
      <items count="7">
        <item m="1" x="4"/>
        <item m="1" x="5"/>
        <item m="1" x="3"/>
        <item h="1" m="1" x="2"/>
        <item x="0"/>
        <item x="1"/>
        <item t="default"/>
      </items>
    </pivotField>
    <pivotField subtotalTop="0" showAll="0"/>
    <pivotField showAll="0" defaultSubtotal="0"/>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3">
    <i>
      <x/>
    </i>
    <i i="1">
      <x v="1"/>
    </i>
    <i i="2">
      <x v="2"/>
    </i>
  </colItems>
  <pageFields count="2">
    <pageField fld="0" item="12" hier="-1"/>
    <pageField fld="74" hier="-1"/>
  </pageFields>
  <dataFields count="3">
    <dataField name="Sum of #_of_functional_handwashing_facilities_at_school" fld="35" baseField="0" baseItem="0"/>
    <dataField name="Sum of #_of_Functioning_latrines_in_school" fld="22" baseField="0" baseItem="0"/>
    <dataField name="Sum of #_Functioning_water_points_at_school" fld="18" baseField="0" baseItem="0"/>
  </dataFields>
  <formats count="17">
    <format dxfId="178">
      <pivotArea type="all" dataOnly="0" outline="0" fieldPosition="0"/>
    </format>
    <format dxfId="177">
      <pivotArea outline="0" collapsedLevelsAreSubtotals="1" fieldPosition="0"/>
    </format>
    <format dxfId="176">
      <pivotArea field="4" type="button" dataOnly="0" labelOnly="1" outline="0"/>
    </format>
    <format dxfId="175">
      <pivotArea dataOnly="0" labelOnly="1" grandRow="1" outline="0" fieldPosition="0"/>
    </format>
    <format dxfId="174">
      <pivotArea type="all" dataOnly="0" outline="0" fieldPosition="0"/>
    </format>
    <format dxfId="173">
      <pivotArea outline="0" collapsedLevelsAreSubtotals="1" fieldPosition="0"/>
    </format>
    <format dxfId="172">
      <pivotArea type="origin" dataOnly="0" labelOnly="1" outline="0" fieldPosition="0"/>
    </format>
    <format dxfId="171">
      <pivotArea field="74" type="button" dataOnly="0" labelOnly="1" outline="0" axis="axisPage" fieldPosition="1"/>
    </format>
    <format dxfId="170">
      <pivotArea type="topRight" dataOnly="0" labelOnly="1" outline="0" fieldPosition="0"/>
    </format>
    <format dxfId="169">
      <pivotArea dataOnly="0" labelOnly="1" fieldPosition="0">
        <references count="1">
          <reference field="74" count="0"/>
        </references>
      </pivotArea>
    </format>
    <format dxfId="168">
      <pivotArea type="all" dataOnly="0" outline="0" fieldPosition="0"/>
    </format>
    <format dxfId="167">
      <pivotArea outline="0" collapsedLevelsAreSubtotals="1" fieldPosition="0"/>
    </format>
    <format dxfId="166">
      <pivotArea field="4" type="button" dataOnly="0" labelOnly="1" outline="0"/>
    </format>
    <format dxfId="165">
      <pivotArea outline="0" collapsedLevelsAreSubtotals="1" fieldPosition="0"/>
    </format>
    <format dxfId="164">
      <pivotArea field="4" type="button" dataOnly="0" labelOnly="1" outline="0"/>
    </format>
    <format dxfId="163">
      <pivotArea field="4" type="button" dataOnly="0" labelOnly="1" outline="0"/>
    </format>
    <format dxfId="162">
      <pivotArea field="4" type="button" dataOnly="0" labelOnly="1" outline="0"/>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BB69935-A2AC-49B8-9F2C-F7765F4C3CC2}" name="PivotTable1" cacheId="6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H73:K75" firstHeaderRow="1" firstDataRow="2" firstDataCol="1" rowPageCount="5" colPageCount="1"/>
  <pivotFields count="84">
    <pivotField axis="axisPage" subtotalTop="0" multipleItemSelectionAllowed="1" showAll="0">
      <items count="14">
        <item m="1" x="11"/>
        <item m="1" x="4"/>
        <item m="1" x="12"/>
        <item h="1" m="1" x="6"/>
        <item m="1" x="3"/>
        <item h="1" m="1" x="2"/>
        <item h="1" m="1" x="10"/>
        <item h="1" m="1" x="7"/>
        <item h="1" m="1" x="8"/>
        <item m="1" x="9"/>
        <item h="1" m="1" x="5"/>
        <item h="1"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subtotalTop="0" showAll="0"/>
    <pivotField axis="axisPage" multipleItemSelectionAllowed="1" showAll="0" defaultSubtotal="0">
      <items count="11">
        <item m="1" x="4"/>
        <item m="1" x="9"/>
        <item m="1" x="8"/>
        <item m="1" x="6"/>
        <item m="1" x="3"/>
        <item m="1" x="2"/>
        <item x="0"/>
        <item m="1" x="7"/>
        <item h="1" m="1" x="10"/>
        <item m="1" x="5"/>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axis="axisCol" dataField="1" showAll="0">
      <items count="8">
        <item x="2"/>
        <item x="1"/>
        <item x="3"/>
        <item x="0"/>
        <item x="4"/>
        <item m="1"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axis="axisPage" showAll="0">
      <items count="3">
        <item x="0"/>
        <item x="1"/>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1"/>
  </colFields>
  <colItems count="3">
    <i>
      <x/>
    </i>
    <i>
      <x v="1"/>
    </i>
    <i>
      <x v="3"/>
    </i>
  </colItems>
  <pageFields count="5">
    <pageField fld="0" hier="-1"/>
    <pageField fld="4" hier="-1"/>
    <pageField fld="74" hier="-1"/>
    <pageField fld="6" hier="-1"/>
    <pageField fld="67" item="1" hier="-1"/>
  </pageFields>
  <dataFields count="1">
    <dataField name="Count of Availability_of_drainage_in_school_compound_(Yes_or_No)" fld="21" subtotal="count" baseField="0" baseItem="0"/>
  </dataFields>
  <formats count="11">
    <format dxfId="189">
      <pivotArea field="4" type="button" dataOnly="0" labelOnly="1" outline="0" axis="axisPage" fieldPosition="1"/>
    </format>
    <format dxfId="188">
      <pivotArea type="all" dataOnly="0" outline="0" fieldPosition="0"/>
    </format>
    <format dxfId="187">
      <pivotArea outline="0" collapsedLevelsAreSubtotals="1" fieldPosition="0"/>
    </format>
    <format dxfId="186">
      <pivotArea type="origin" dataOnly="0" labelOnly="1" outline="0" fieldPosition="0"/>
    </format>
    <format dxfId="185">
      <pivotArea type="topRight" dataOnly="0" labelOnly="1" outline="0" fieldPosition="0"/>
    </format>
    <format dxfId="184">
      <pivotArea field="-2" type="button" dataOnly="0" labelOnly="1" outline="0" axis="axisValues" fieldPosition="0"/>
    </format>
    <format dxfId="183">
      <pivotArea type="all" dataOnly="0" outline="0" fieldPosition="0"/>
    </format>
    <format dxfId="182">
      <pivotArea outline="0" collapsedLevelsAreSubtotals="1" fieldPosition="0"/>
    </format>
    <format dxfId="181">
      <pivotArea field="4" type="button" dataOnly="0" labelOnly="1" outline="0" axis="axisPage" fieldPosition="1"/>
    </format>
    <format dxfId="180">
      <pivotArea dataOnly="0" labelOnly="1" outline="0" fieldPosition="0">
        <references count="1">
          <reference field="4" count="1">
            <x v="1"/>
          </reference>
        </references>
      </pivotArea>
    </format>
    <format dxfId="179">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800-000014000000}" name="R_H_CG_V" cacheId="6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2" rowHeaderCaption="State" colHeaderCaption=" ">
  <location ref="B158:D167" firstHeaderRow="0" firstDataRow="1" firstDataCol="1" rowPageCount="4" colPageCount="1"/>
  <pivotFields count="84">
    <pivotField axis="axisPage" subtotalTop="0" multipleItemSelectionAllowed="1" showAll="0">
      <items count="14">
        <item m="1" x="11"/>
        <item m="1" x="4"/>
        <item h="1" m="1" x="6"/>
        <item h="1" m="1" x="2"/>
        <item m="1" x="12"/>
        <item m="1" x="3"/>
        <item h="1" m="1" x="10"/>
        <item h="1" m="1" x="7"/>
        <item h="1" m="1" x="8"/>
        <item m="1" x="9"/>
        <item h="1" m="1" x="5"/>
        <item h="1"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axis="axisRow" subtotalTop="0" showAll="0">
      <items count="42">
        <item m="1" x="17"/>
        <item m="1" x="20"/>
        <item x="1"/>
        <item m="1" x="33"/>
        <item m="1" x="29"/>
        <item m="1" x="32"/>
        <item m="1" x="26"/>
        <item m="1" x="12"/>
        <item x="3"/>
        <item x="7"/>
        <item m="1" x="16"/>
        <item m="1" x="35"/>
        <item m="1" x="14"/>
        <item m="1" x="19"/>
        <item x="2"/>
        <item x="5"/>
        <item m="1" x="24"/>
        <item m="1" x="34"/>
        <item m="1" x="27"/>
        <item x="9"/>
        <item m="1" x="18"/>
        <item x="6"/>
        <item m="1" x="28"/>
        <item m="1" x="21"/>
        <item m="1" x="25"/>
        <item m="1" x="30"/>
        <item m="1" x="15"/>
        <item x="0"/>
        <item m="1" x="31"/>
        <item m="1" x="22"/>
        <item m="1" x="38"/>
        <item x="8"/>
        <item m="1" x="39"/>
        <item x="4"/>
        <item m="1" x="40"/>
        <item m="1" x="37"/>
        <item m="1" x="36"/>
        <item m="1" x="11"/>
        <item m="1" x="13"/>
        <item m="1" x="10"/>
        <item m="1" x="23"/>
        <item t="default"/>
      </items>
    </pivotField>
    <pivotField axis="axisPage" multipleItemSelectionAllowed="1" showAll="0" defaultSubtotal="0">
      <items count="11">
        <item h="1" m="1" x="4"/>
        <item h="1" m="1" x="9"/>
        <item m="1" x="8"/>
        <item h="1" m="1" x="6"/>
        <item m="1" x="3"/>
        <item m="1" x="2"/>
        <item x="0"/>
        <item m="1" x="7"/>
        <item h="1" m="1" x="10"/>
        <item m="1" x="5"/>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9">
    <i>
      <x v="2"/>
    </i>
    <i>
      <x v="8"/>
    </i>
    <i>
      <x v="9"/>
    </i>
    <i>
      <x v="14"/>
    </i>
    <i>
      <x v="15"/>
    </i>
    <i>
      <x v="19"/>
    </i>
    <i>
      <x v="21"/>
    </i>
    <i>
      <x v="27"/>
    </i>
    <i>
      <x v="33"/>
    </i>
  </rowItems>
  <colFields count="1">
    <field x="-2"/>
  </colFields>
  <colItems count="2">
    <i>
      <x/>
    </i>
    <i i="1">
      <x v="1"/>
    </i>
  </colItems>
  <pageFields count="4">
    <pageField fld="0" hier="-1"/>
    <pageField fld="74" item="0" hier="-1"/>
    <pageField fld="4" hier="-1"/>
    <pageField fld="6" hier="-1"/>
  </pageFields>
  <dataFields count="2">
    <dataField name="  % Hygiene Coverage" fld="79" baseField="0" baseItem="0" numFmtId="1"/>
    <dataField name="  % Hygiene Gap" fld="78" baseField="0" baseItem="0" numFmtId="1"/>
  </dataFields>
  <formats count="11">
    <format dxfId="200">
      <pivotArea type="all" dataOnly="0" outline="0" fieldPosition="0"/>
    </format>
    <format dxfId="199">
      <pivotArea outline="0" collapsedLevelsAreSubtotals="1" fieldPosition="0"/>
    </format>
    <format dxfId="198">
      <pivotArea field="4" type="button" dataOnly="0" labelOnly="1" outline="0" axis="axisPage" fieldPosition="2"/>
    </format>
    <format dxfId="197">
      <pivotArea type="all" dataOnly="0" outline="0" fieldPosition="0"/>
    </format>
    <format dxfId="196">
      <pivotArea outline="0" collapsedLevelsAreSubtotals="1" fieldPosition="0"/>
    </format>
    <format dxfId="195">
      <pivotArea outline="0" collapsedLevelsAreSubtotals="1" fieldPosition="0"/>
    </format>
    <format dxfId="194">
      <pivotArea field="5" type="button" dataOnly="0" labelOnly="1" outline="0" axis="axisRow" fieldPosition="0"/>
    </format>
    <format dxfId="193">
      <pivotArea field="5" type="button" dataOnly="0" labelOnly="1" outline="0" axis="axisRow" fieldPosition="0"/>
    </format>
    <format dxfId="192">
      <pivotArea field="5" type="button" dataOnly="0" labelOnly="1" outline="0" axis="axisRow" fieldPosition="0"/>
    </format>
    <format dxfId="191">
      <pivotArea field="4" type="button" dataOnly="0" labelOnly="1" outline="0" axis="axisPage" fieldPosition="2"/>
    </format>
    <format dxfId="190">
      <pivotArea dataOnly="0" labelOnly="1" outline="0" fieldPosition="0">
        <references count="2">
          <reference field="4" count="0"/>
          <reference field="74" count="1" selected="0">
            <x v="0"/>
          </reference>
        </references>
      </pivotArea>
    </format>
  </formats>
  <chartFormats count="2">
    <chartFormat chart="49" format="4" series="1">
      <pivotArea type="data" outline="0" fieldPosition="0">
        <references count="1">
          <reference field="4294967294" count="1" selected="0">
            <x v="0"/>
          </reference>
        </references>
      </pivotArea>
    </chartFormat>
    <chartFormat chart="49" format="5"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HRP_2" cacheId="6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7:H10" firstHeaderRow="0" firstDataRow="1" firstDataCol="1" rowPageCount="3" colPageCount="1"/>
  <pivotFields count="84">
    <pivotField axis="axisPage" subtotalTop="0" showAll="0">
      <items count="14">
        <item m="1" x="11"/>
        <item m="1" x="6"/>
        <item m="1" x="2"/>
        <item m="1" x="4"/>
        <item m="1" x="12"/>
        <item m="1" x="3"/>
        <item m="1" x="10"/>
        <item m="1" x="7"/>
        <item m="1" x="8"/>
        <item m="1" x="9"/>
        <item m="1" x="5"/>
        <item x="0"/>
        <item x="1"/>
        <item t="default"/>
      </items>
    </pivotField>
    <pivotField showAll="0" defaultSubtotal="0"/>
    <pivotField showAll="0" defaultSubtotal="0"/>
    <pivotField subtotalTop="0" showAll="0"/>
    <pivotField axis="axisRow" subtotalTop="0" showAll="0">
      <items count="7">
        <item m="1" x="4"/>
        <item m="1" x="5"/>
        <item m="1" x="3"/>
        <item m="1" x="2"/>
        <item x="0"/>
        <item x="1"/>
        <item t="default"/>
      </items>
    </pivotField>
    <pivotField subtotalTop="0" showAll="0"/>
    <pivotField axis="axisPage" multipleItemSelectionAllowed="1" showAll="0" defaultSubtotal="0">
      <items count="11">
        <item h="1" m="1" x="4"/>
        <item h="1" m="1" x="9"/>
        <item h="1" m="1" x="8"/>
        <item x="0"/>
        <item h="1" m="1" x="10"/>
        <item h="1" m="1" x="3"/>
        <item m="1" x="7"/>
        <item m="1" x="2"/>
        <item h="1" m="1" x="5"/>
        <item m="1" x="6"/>
        <item h="1" m="1" x="1"/>
      </items>
    </pivotField>
    <pivotField showAll="0"/>
    <pivotField subtotalTop="0" showAll="0"/>
    <pivotField dataField="1" subtotalTop="0" showAll="0"/>
    <pivotField showAll="0" defaultSubtotal="0"/>
    <pivotField showAll="0" defaultSubtotal="0"/>
    <pivotField dataField="1"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9" showAll="0"/>
    <pivotField dataField="1" numFmtId="1" showAll="0" defaultSubtotal="0"/>
    <pivotField showAll="0" defaultSubtotal="0"/>
    <pivotField subtotalTop="0" showAll="0"/>
    <pivotField subtotalTop="0" showAll="0"/>
    <pivotField subtotalTop="0" showAll="0"/>
    <pivotField numFmtId="1" showAll="0"/>
    <pivotField numFmtId="1" showAll="0"/>
    <pivotField dataField="1" numFmtId="1" showAll="0" defaultSubtotal="0"/>
    <pivotField subtotalTop="0" showAll="0"/>
    <pivotField subtotalTop="0" showAll="0"/>
    <pivotField subtotalTop="0" showAll="0"/>
    <pivotField numFmtId="1" showAll="0"/>
    <pivotField numFmtId="1" showAll="0"/>
    <pivotField dataField="1"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v="4"/>
    </i>
    <i>
      <x v="5"/>
    </i>
    <i t="grand">
      <x/>
    </i>
  </rowItems>
  <colFields count="1">
    <field x="-2"/>
  </colFields>
  <colItems count="6">
    <i>
      <x/>
    </i>
    <i i="1">
      <x v="1"/>
    </i>
    <i i="2">
      <x v="2"/>
    </i>
    <i i="3">
      <x v="3"/>
    </i>
    <i i="4">
      <x v="4"/>
    </i>
    <i i="5">
      <x v="5"/>
    </i>
  </colItems>
  <pageFields count="3">
    <pageField fld="0" item="12" hier="-1"/>
    <pageField fld="74" item="0" hier="-1"/>
    <pageField fld="6" hier="-1"/>
  </pageFields>
  <dataFields count="6">
    <dataField name="Total Population reached" fld="9" baseField="2" baseItem="0" numFmtId="164"/>
    <dataField name=" HRP1" fld="46" baseField="4" baseItem="0" numFmtId="164"/>
    <dataField name=" HRP2" fld="53" baseField="4" baseItem="0" numFmtId="164"/>
    <dataField name=" HRP3" fld="60" baseField="4" baseItem="0" numFmtId="164"/>
    <dataField name=" # People received regular supply of hygiene items" fld="66" baseField="0" baseItem="0" numFmtId="164"/>
    <dataField name="  #of students in school" fld="12" baseField="0" baseItem="0" numFmtId="164"/>
  </dataFields>
  <formats count="42">
    <format dxfId="368">
      <pivotArea field="4" type="button" dataOnly="0" labelOnly="1" outline="0" axis="axisRow" fieldPosition="0"/>
    </format>
    <format dxfId="367">
      <pivotArea type="all" dataOnly="0" outline="0" fieldPosition="0"/>
    </format>
    <format dxfId="366">
      <pivotArea outline="0" fieldPosition="0">
        <references count="1">
          <reference field="4294967294" count="1">
            <x v="0"/>
          </reference>
        </references>
      </pivotArea>
    </format>
    <format dxfId="365">
      <pivotArea dataOnly="0" labelOnly="1" outline="0" fieldPosition="0">
        <references count="1">
          <reference field="4294967294" count="1">
            <x v="0"/>
          </reference>
        </references>
      </pivotArea>
    </format>
    <format dxfId="364">
      <pivotArea type="all" dataOnly="0" outline="0" fieldPosition="0"/>
    </format>
    <format dxfId="363">
      <pivotArea outline="0" collapsedLevelsAreSubtotals="1" fieldPosition="0"/>
    </format>
    <format dxfId="362">
      <pivotArea field="4" type="button" dataOnly="0" labelOnly="1" outline="0" axis="axisRow" fieldPosition="0"/>
    </format>
    <format dxfId="361">
      <pivotArea dataOnly="0" labelOnly="1" fieldPosition="0">
        <references count="1">
          <reference field="4" count="1">
            <x v="1"/>
          </reference>
        </references>
      </pivotArea>
    </format>
    <format dxfId="360">
      <pivotArea dataOnly="0" labelOnly="1" grandRow="1" outline="0" fieldPosition="0"/>
    </format>
    <format dxfId="359">
      <pivotArea dataOnly="0" labelOnly="1" outline="0" fieldPosition="0">
        <references count="1">
          <reference field="4294967294" count="1">
            <x v="0"/>
          </reference>
        </references>
      </pivotArea>
    </format>
    <format dxfId="358">
      <pivotArea type="all" dataOnly="0" outline="0" fieldPosition="0"/>
    </format>
    <format dxfId="357">
      <pivotArea outline="0" collapsedLevelsAreSubtotals="1" fieldPosition="0"/>
    </format>
    <format dxfId="356">
      <pivotArea field="4" type="button" dataOnly="0" labelOnly="1" outline="0" axis="axisRow" fieldPosition="0"/>
    </format>
    <format dxfId="355">
      <pivotArea dataOnly="0" labelOnly="1" fieldPosition="0">
        <references count="1">
          <reference field="4" count="1">
            <x v="1"/>
          </reference>
        </references>
      </pivotArea>
    </format>
    <format dxfId="354">
      <pivotArea dataOnly="0" labelOnly="1" grandRow="1" outline="0" fieldPosition="0"/>
    </format>
    <format dxfId="353">
      <pivotArea dataOnly="0" labelOnly="1" outline="0" fieldPosition="0">
        <references count="1">
          <reference field="4294967294" count="1">
            <x v="0"/>
          </reference>
        </references>
      </pivotArea>
    </format>
    <format dxfId="352">
      <pivotArea field="0" type="button" dataOnly="0" labelOnly="1" outline="0" axis="axisPage" fieldPosition="0"/>
    </format>
    <format dxfId="351">
      <pivotArea field="0" type="button" dataOnly="0" labelOnly="1" outline="0" axis="axisPage" fieldPosition="0"/>
    </format>
    <format dxfId="350">
      <pivotArea outline="0" collapsedLevelsAreSubtotals="1" fieldPosition="0">
        <references count="1">
          <reference field="4294967294" count="3" selected="0">
            <x v="1"/>
            <x v="2"/>
            <x v="3"/>
          </reference>
        </references>
      </pivotArea>
    </format>
    <format dxfId="349">
      <pivotArea dataOnly="0" labelOnly="1" outline="0" fieldPosition="0">
        <references count="1">
          <reference field="4294967294" count="1">
            <x v="0"/>
          </reference>
        </references>
      </pivotArea>
    </format>
    <format dxfId="348">
      <pivotArea outline="0" collapsedLevelsAreSubtotals="1" fieldPosition="0">
        <references count="1">
          <reference field="4294967294" count="3" selected="0">
            <x v="1"/>
            <x v="2"/>
            <x v="3"/>
          </reference>
        </references>
      </pivotArea>
    </format>
    <format dxfId="347">
      <pivotArea dataOnly="0" labelOnly="1" outline="0" fieldPosition="0">
        <references count="1">
          <reference field="4294967294" count="3">
            <x v="1"/>
            <x v="2"/>
            <x v="3"/>
          </reference>
        </references>
      </pivotArea>
    </format>
    <format dxfId="346">
      <pivotArea outline="0" collapsedLevelsAreSubtotals="1" fieldPosition="0">
        <references count="1">
          <reference field="4294967294" count="1" selected="0">
            <x v="0"/>
          </reference>
        </references>
      </pivotArea>
    </format>
    <format dxfId="345">
      <pivotArea outline="0" collapsedLevelsAreSubtotals="1" fieldPosition="0">
        <references count="1">
          <reference field="4294967294" count="3" selected="0">
            <x v="1"/>
            <x v="2"/>
            <x v="3"/>
          </reference>
        </references>
      </pivotArea>
    </format>
    <format dxfId="344">
      <pivotArea dataOnly="0" labelOnly="1" outline="0" fieldPosition="0">
        <references count="1">
          <reference field="4294967294" count="4">
            <x v="0"/>
            <x v="1"/>
            <x v="2"/>
            <x v="3"/>
          </reference>
        </references>
      </pivotArea>
    </format>
    <format dxfId="343">
      <pivotArea dataOnly="0" labelOnly="1" outline="0" fieldPosition="0">
        <references count="1">
          <reference field="4294967294" count="1">
            <x v="3"/>
          </reference>
        </references>
      </pivotArea>
    </format>
    <format dxfId="342">
      <pivotArea dataOnly="0" labelOnly="1" outline="0" fieldPosition="0">
        <references count="1">
          <reference field="4294967294" count="1">
            <x v="2"/>
          </reference>
        </references>
      </pivotArea>
    </format>
    <format dxfId="341">
      <pivotArea outline="0" collapsedLevelsAreSubtotals="1" fieldPosition="0">
        <references count="1">
          <reference field="4294967294" count="1" selected="0">
            <x v="2"/>
          </reference>
        </references>
      </pivotArea>
    </format>
    <format dxfId="340">
      <pivotArea dataOnly="0" labelOnly="1" outline="0" fieldPosition="0">
        <references count="1">
          <reference field="4294967294" count="1">
            <x v="2"/>
          </reference>
        </references>
      </pivotArea>
    </format>
    <format dxfId="339">
      <pivotArea outline="0" collapsedLevelsAreSubtotals="1" fieldPosition="0">
        <references count="1">
          <reference field="4294967294" count="1" selected="0">
            <x v="3"/>
          </reference>
        </references>
      </pivotArea>
    </format>
    <format dxfId="338">
      <pivotArea dataOnly="0" labelOnly="1" outline="0" fieldPosition="0">
        <references count="1">
          <reference field="4294967294" count="1">
            <x v="3"/>
          </reference>
        </references>
      </pivotArea>
    </format>
    <format dxfId="337">
      <pivotArea outline="0" collapsedLevelsAreSubtotals="1" fieldPosition="0">
        <references count="1">
          <reference field="4294967294" count="1" selected="0">
            <x v="5"/>
          </reference>
        </references>
      </pivotArea>
    </format>
    <format dxfId="336">
      <pivotArea dataOnly="0" labelOnly="1" outline="0" fieldPosition="0">
        <references count="1">
          <reference field="4294967294" count="1">
            <x v="5"/>
          </reference>
        </references>
      </pivotArea>
    </format>
    <format dxfId="335">
      <pivotArea dataOnly="0" labelOnly="1" outline="0" fieldPosition="0">
        <references count="1">
          <reference field="4294967294" count="1">
            <x v="5"/>
          </reference>
        </references>
      </pivotArea>
    </format>
    <format dxfId="334">
      <pivotArea dataOnly="0" labelOnly="1" outline="0" fieldPosition="0">
        <references count="1">
          <reference field="4294967294" count="1">
            <x v="4"/>
          </reference>
        </references>
      </pivotArea>
    </format>
    <format dxfId="333">
      <pivotArea dataOnly="0" labelOnly="1" outline="0" fieldPosition="0">
        <references count="1">
          <reference field="4294967294" count="1">
            <x v="5"/>
          </reference>
        </references>
      </pivotArea>
    </format>
    <format dxfId="332">
      <pivotArea dataOnly="0" labelOnly="1" outline="0" fieldPosition="0">
        <references count="1">
          <reference field="4294967294" count="1">
            <x v="4"/>
          </reference>
        </references>
      </pivotArea>
    </format>
    <format dxfId="331">
      <pivotArea collapsedLevelsAreSubtotals="1" fieldPosition="0">
        <references count="2">
          <reference field="4294967294" count="1" selected="0">
            <x v="4"/>
          </reference>
          <reference field="4" count="1">
            <x v="4"/>
          </reference>
        </references>
      </pivotArea>
    </format>
    <format dxfId="330">
      <pivotArea outline="0" collapsedLevelsAreSubtotals="1" fieldPosition="0">
        <references count="1">
          <reference field="4294967294" count="1" selected="0">
            <x v="4"/>
          </reference>
        </references>
      </pivotArea>
    </format>
    <format dxfId="329">
      <pivotArea outline="0" collapsedLevelsAreSubtotals="1" fieldPosition="0">
        <references count="1">
          <reference field="4294967294" count="1" selected="0">
            <x v="5"/>
          </reference>
        </references>
      </pivotArea>
    </format>
    <format dxfId="328">
      <pivotArea collapsedLevelsAreSubtotals="1" fieldPosition="0">
        <references count="2">
          <reference field="4294967294" count="1" selected="0">
            <x v="4"/>
          </reference>
          <reference field="4" count="1">
            <x v="5"/>
          </reference>
        </references>
      </pivotArea>
    </format>
    <format dxfId="327">
      <pivotArea field="4" grandRow="1" outline="0" collapsedLevelsAreSubtotals="1" axis="axisRow" fieldPosition="0">
        <references count="1">
          <reference field="4294967294" count="1" selected="0">
            <x v="4"/>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60"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205:J211" firstHeaderRow="0" firstDataRow="1" firstDataCol="3" rowPageCount="2" colPageCount="1"/>
  <pivotFields count="84">
    <pivotField axis="axisPage" compact="0" outline="0" subtotalTop="0" showAll="0" defaultSubtotal="0">
      <items count="13">
        <item m="1" x="11"/>
        <item m="1" x="4"/>
        <item m="1" x="12"/>
        <item m="1" x="6"/>
        <item m="1" x="3"/>
        <item m="1" x="2"/>
        <item m="1" x="10"/>
        <item m="1" x="7"/>
        <item m="1" x="8"/>
        <item m="1" x="9"/>
        <item m="1" x="5"/>
        <item x="0"/>
        <item x="1"/>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4"/>
        <item m="1" x="5"/>
        <item m="1" x="3"/>
        <item m="1" x="2"/>
        <item x="0"/>
        <item x="1"/>
        <item t="default"/>
      </items>
    </pivotField>
    <pivotField axis="axisRow" compact="0" outline="0" subtotalTop="0" showAll="0" defaultSubtotal="0">
      <items count="41">
        <item m="1" x="17"/>
        <item m="1" x="20"/>
        <item x="1"/>
        <item m="1" x="33"/>
        <item m="1" x="29"/>
        <item m="1" x="32"/>
        <item m="1" x="26"/>
        <item m="1" x="12"/>
        <item x="3"/>
        <item x="7"/>
        <item m="1" x="16"/>
        <item m="1" x="35"/>
        <item m="1" x="14"/>
        <item m="1" x="19"/>
        <item x="2"/>
        <item x="5"/>
        <item m="1" x="24"/>
        <item m="1" x="34"/>
        <item m="1" x="27"/>
        <item x="9"/>
        <item m="1" x="18"/>
        <item x="6"/>
        <item m="1" x="28"/>
        <item m="1" x="25"/>
        <item m="1" x="30"/>
        <item m="1" x="15"/>
        <item x="0"/>
        <item m="1" x="31"/>
        <item m="1" x="22"/>
        <item m="1" x="38"/>
        <item x="8"/>
        <item m="1" x="39"/>
        <item x="4"/>
        <item m="1" x="40"/>
        <item m="1" x="37"/>
        <item m="1" x="36"/>
        <item m="1" x="21"/>
        <item m="1" x="11"/>
        <item m="1" x="13"/>
        <item m="1" x="10"/>
        <item m="1" x="23"/>
      </items>
    </pivotField>
    <pivotField compact="0" outline="0" showAll="0" defaultSubtotal="0"/>
    <pivotField compact="0" outline="0" showAll="0"/>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defaultSubtotal="0"/>
    <pivotField compact="0" outline="0" subtotalTop="0" showAll="0" defaultSubtotal="0"/>
    <pivotField compact="0" outline="0" subtotalTop="0" showAll="0" defaultSubtotal="0"/>
    <pivotField dataField="1" compact="0" outline="0" subtotalTop="0" showAll="0" defaultSubtotal="0"/>
    <pivotField compact="0" numFmtId="1" outline="0" showAll="0"/>
    <pivotField compact="0" numFmtId="1" outline="0" showAl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1" outline="0" showAll="0"/>
    <pivotField compact="0" numFmtId="1" outline="0" showAll="0"/>
    <pivotField compact="0" numFmtId="164" outline="0" showAll="0"/>
    <pivotField compact="0" outline="0" showAll="0"/>
    <pivotField compact="0" outline="0" subtotalTop="0" showAll="0" defaultSubtotal="0"/>
    <pivotField axis="axisRow" compact="0" outline="0" subtotalTop="0" showAll="0" defaultSubtotal="0">
      <items count="4">
        <item m="1" x="3"/>
        <item x="0"/>
        <item x="1"/>
        <item x="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4">
        <item x="0"/>
        <item n="Gap" x="1"/>
        <item h="1" m="1" x="3"/>
        <item h="1" m="1" x="2"/>
      </items>
    </pivotField>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4"/>
    <field x="5"/>
    <field x="69"/>
  </rowFields>
  <rowItems count="6">
    <i>
      <x v="4"/>
      <x v="9"/>
      <x v="2"/>
    </i>
    <i r="2">
      <x v="3"/>
    </i>
    <i r="1">
      <x v="15"/>
      <x v="3"/>
    </i>
    <i t="default">
      <x v="4"/>
    </i>
    <i>
      <x v="5"/>
      <x v="30"/>
      <x v="3"/>
    </i>
    <i t="default">
      <x v="5"/>
    </i>
  </rowItems>
  <colFields count="1">
    <field x="-2"/>
  </colFields>
  <colItems count="5">
    <i>
      <x/>
    </i>
    <i i="1">
      <x v="1"/>
    </i>
    <i i="2">
      <x v="2"/>
    </i>
    <i i="3">
      <x v="3"/>
    </i>
    <i i="4">
      <x v="4"/>
    </i>
  </colItems>
  <pageFields count="2">
    <pageField fld="0" item="12" hier="-1"/>
    <pageField fld="74" item="1" hier="-1"/>
  </pageFields>
  <dataFields count="5">
    <dataField name="HHs" fld="8" baseField="0" baseItem="0" numFmtId="164"/>
    <dataField name="Pops" fld="9" baseField="0" baseItem="0" numFmtId="164"/>
    <dataField name="% WATER GAP" fld="48" subtotal="average" baseField="0" baseItem="0" numFmtId="9"/>
    <dataField name="% LATRINE GAP" fld="57" subtotal="average" baseField="0" baseItem="0" numFmtId="9"/>
    <dataField name="% HYGIENE GAP" fld="62" subtotal="average" baseField="0" baseItem="0" numFmtId="9"/>
  </dataFields>
  <formats count="28">
    <format dxfId="228">
      <pivotArea type="all" dataOnly="0" outline="0" fieldPosition="0"/>
    </format>
    <format dxfId="227">
      <pivotArea outline="0" collapsedLevelsAreSubtotals="1" fieldPosition="0"/>
    </format>
    <format dxfId="226">
      <pivotArea field="4" type="button" dataOnly="0" labelOnly="1" outline="0" axis="axisRow" fieldPosition="0"/>
    </format>
    <format dxfId="225">
      <pivotArea dataOnly="0" labelOnly="1" grandRow="1" outline="0" fieldPosition="0"/>
    </format>
    <format dxfId="224">
      <pivotArea type="all" dataOnly="0" outline="0" fieldPosition="0"/>
    </format>
    <format dxfId="223">
      <pivotArea dataOnly="0" labelOnly="1" grandRow="1" outline="0" fieldPosition="0"/>
    </format>
    <format dxfId="222">
      <pivotArea type="all" dataOnly="0" outline="0" fieldPosition="0"/>
    </format>
    <format dxfId="221">
      <pivotArea type="origin" dataOnly="0" labelOnly="1" outline="0" fieldPosition="0"/>
    </format>
    <format dxfId="220">
      <pivotArea field="74" type="button" dataOnly="0" labelOnly="1" outline="0" axis="axisPage" fieldPosition="1"/>
    </format>
    <format dxfId="219">
      <pivotArea type="topRight" dataOnly="0" labelOnly="1" outline="0"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74" type="button" dataOnly="0" labelOnly="1" outline="0" axis="axisPage" fieldPosition="1"/>
    </format>
    <format dxfId="214">
      <pivotArea type="topRight" dataOnly="0" labelOnly="1" outline="0" fieldPosition="0"/>
    </format>
    <format dxfId="213">
      <pivotArea outline="0" fieldPosition="0">
        <references count="1">
          <reference field="4294967294" count="3" selected="0">
            <x v="2"/>
            <x v="3"/>
            <x v="4"/>
          </reference>
        </references>
      </pivotArea>
    </format>
    <format dxfId="212">
      <pivotArea outline="0" fieldPosition="0">
        <references count="1">
          <reference field="4294967294" count="2" selected="0">
            <x v="0"/>
            <x v="1"/>
          </reference>
        </references>
      </pivotArea>
    </format>
    <format dxfId="211">
      <pivotArea type="all" dataOnly="0" outline="0" fieldPosition="0"/>
    </format>
    <format dxfId="210">
      <pivotArea outline="0" collapsedLevelsAreSubtotals="1" fieldPosition="0"/>
    </format>
    <format dxfId="209">
      <pivotArea field="4" type="button" dataOnly="0" labelOnly="1" outline="0" axis="axisRow" fieldPosition="0"/>
    </format>
    <format dxfId="208">
      <pivotArea field="5" type="button" dataOnly="0" labelOnly="1" outline="0" axis="axisRow" fieldPosition="1"/>
    </format>
    <format dxfId="207">
      <pivotArea field="69" type="button" dataOnly="0" labelOnly="1" outline="0" axis="axisRow" fieldPosition="2"/>
    </format>
    <format dxfId="206">
      <pivotArea dataOnly="0" labelOnly="1" outline="0" fieldPosition="0">
        <references count="1">
          <reference field="4" count="0"/>
        </references>
      </pivotArea>
    </format>
    <format dxfId="205">
      <pivotArea dataOnly="0" labelOnly="1" outline="0" fieldPosition="0">
        <references count="1">
          <reference field="4" count="0" defaultSubtotal="1"/>
        </references>
      </pivotArea>
    </format>
    <format dxfId="204">
      <pivotArea dataOnly="0" labelOnly="1" outline="0" fieldPosition="0">
        <references count="2">
          <reference field="4" count="1" selected="0">
            <x v="0"/>
          </reference>
          <reference field="5" count="8">
            <x v="1"/>
            <x v="12"/>
            <x v="17"/>
            <x v="18"/>
            <x v="28"/>
            <x v="31"/>
            <x v="33"/>
            <x v="35"/>
          </reference>
        </references>
      </pivotArea>
    </format>
    <format dxfId="203">
      <pivotArea dataOnly="0" labelOnly="1" outline="0" fieldPosition="0">
        <references count="2">
          <reference field="4" count="1" selected="0">
            <x v="1"/>
          </reference>
          <reference field="5" count="7">
            <x v="8"/>
            <x v="9"/>
            <x v="15"/>
            <x v="19"/>
            <x v="27"/>
            <x v="30"/>
            <x v="32"/>
          </reference>
        </references>
      </pivotArea>
    </format>
    <format dxfId="202">
      <pivotArea dataOnly="0" labelOnly="1" outline="0" fieldPosition="0">
        <references count="2">
          <reference field="4" count="1" selected="0">
            <x v="2"/>
          </reference>
          <reference field="5" count="4">
            <x v="6"/>
            <x v="7"/>
            <x v="13"/>
            <x v="20"/>
          </reference>
        </references>
      </pivotArea>
    </format>
    <format dxfId="201">
      <pivotArea dataOnly="0" labelOnly="1" outline="0" fieldPosition="0">
        <references count="1">
          <reference field="4294967294" count="5">
            <x v="0"/>
            <x v="1"/>
            <x v="2"/>
            <x v="3"/>
            <x v="4"/>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46988A54-75B2-41DB-ADCC-569F1645EC75}" name="PivotTable9" cacheId="6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9:F19" firstHeaderRow="0" firstDataRow="1" firstDataCol="1" rowPageCount="4" colPageCount="1"/>
  <pivotFields count="84">
    <pivotField axis="axisPage" subtotalTop="0" showAll="0">
      <items count="14">
        <item m="1" x="11"/>
        <item m="1" x="4"/>
        <item m="1" x="6"/>
        <item m="1" x="2"/>
        <item m="1" x="12"/>
        <item m="1" x="3"/>
        <item m="1" x="10"/>
        <item m="1" x="7"/>
        <item m="1" x="8"/>
        <item m="1" x="9"/>
        <item m="1" x="5"/>
        <item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axis="axisRow" subtotalTop="0" showAll="0" sortType="ascending">
      <items count="42">
        <item m="1" x="17"/>
        <item m="1" x="20"/>
        <item x="1"/>
        <item m="1" x="23"/>
        <item m="1" x="33"/>
        <item m="1" x="29"/>
        <item m="1" x="32"/>
        <item m="1" x="26"/>
        <item m="1" x="12"/>
        <item x="3"/>
        <item x="7"/>
        <item m="1" x="16"/>
        <item m="1" x="35"/>
        <item m="1" x="14"/>
        <item m="1" x="19"/>
        <item x="2"/>
        <item x="5"/>
        <item m="1" x="24"/>
        <item m="1" x="34"/>
        <item m="1" x="11"/>
        <item m="1" x="27"/>
        <item x="9"/>
        <item m="1" x="18"/>
        <item x="6"/>
        <item m="1" x="28"/>
        <item m="1" x="21"/>
        <item m="1" x="25"/>
        <item m="1" x="30"/>
        <item m="1" x="13"/>
        <item m="1" x="15"/>
        <item x="0"/>
        <item m="1" x="31"/>
        <item m="1" x="22"/>
        <item m="1" x="38"/>
        <item x="8"/>
        <item m="1" x="39"/>
        <item x="4"/>
        <item m="1" x="40"/>
        <item m="1" x="37"/>
        <item m="1" x="36"/>
        <item m="1" x="10"/>
        <item t="default"/>
      </items>
    </pivotField>
    <pivotField axis="axisPage" multipleItemSelectionAllowed="1" showAll="0" defaultSubtotal="0">
      <items count="11">
        <item h="1" m="1" x="4"/>
        <item h="1" m="1" x="9"/>
        <item m="1" x="8"/>
        <item m="1" x="3"/>
        <item h="1" m="1" x="2"/>
        <item x="0"/>
        <item h="1" m="1" x="7"/>
        <item h="1" m="1" x="10"/>
        <item m="1" x="5"/>
        <item h="1" m="1" x="6"/>
        <item h="1" m="1" x="1"/>
      </items>
    </pivotField>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10">
    <i>
      <x v="2"/>
    </i>
    <i>
      <x v="9"/>
    </i>
    <i>
      <x v="10"/>
    </i>
    <i>
      <x v="15"/>
    </i>
    <i>
      <x v="16"/>
    </i>
    <i>
      <x v="21"/>
    </i>
    <i>
      <x v="23"/>
    </i>
    <i>
      <x v="30"/>
    </i>
    <i>
      <x v="36"/>
    </i>
    <i t="grand">
      <x/>
    </i>
  </rowItems>
  <colFields count="1">
    <field x="-2"/>
  </colFields>
  <colItems count="4">
    <i>
      <x/>
    </i>
    <i i="1">
      <x v="1"/>
    </i>
    <i i="2">
      <x v="2"/>
    </i>
    <i i="3">
      <x v="3"/>
    </i>
  </colItems>
  <pageFields count="4">
    <pageField fld="0" item="12" hier="-1"/>
    <pageField fld="74" hier="-1"/>
    <pageField fld="4" hier="-1"/>
    <pageField fld="6" hier="-1"/>
  </pageFields>
  <dataFields count="4">
    <dataField name="PoP " fld="9" baseField="0" baseItem="0" numFmtId="164"/>
    <dataField name=" % Water GAP" fld="81" baseField="0" baseItem="0" numFmtId="9"/>
    <dataField name=" % Sanitation GAP" fld="83" baseField="0" baseItem="0" numFmtId="9"/>
    <dataField name=" % Hygiene Gap" fld="78" baseField="0" baseItem="0" numFmtId="9"/>
  </dataFields>
  <formats count="35">
    <format dxfId="263">
      <pivotArea type="all" dataOnly="0" outline="0" fieldPosition="0"/>
    </format>
    <format dxfId="262">
      <pivotArea outline="0" collapsedLevelsAreSubtotals="1" fieldPosition="0"/>
    </format>
    <format dxfId="261">
      <pivotArea field="5" type="button" dataOnly="0" labelOnly="1" outline="0" axis="axisRow" fieldPosition="0"/>
    </format>
    <format dxfId="260">
      <pivotArea dataOnly="0" labelOnly="1" outline="0" axis="axisValues" fieldPosition="0"/>
    </format>
    <format dxfId="259">
      <pivotArea dataOnly="0" labelOnly="1" fieldPosition="0">
        <references count="1">
          <reference field="5" count="0"/>
        </references>
      </pivotArea>
    </format>
    <format dxfId="258">
      <pivotArea dataOnly="0" labelOnly="1" grandRow="1" outline="0" fieldPosition="0"/>
    </format>
    <format dxfId="257">
      <pivotArea dataOnly="0" labelOnly="1" outline="0" axis="axisValues" fieldPosition="0"/>
    </format>
    <format dxfId="256">
      <pivotArea type="all" dataOnly="0" outline="0" fieldPosition="0"/>
    </format>
    <format dxfId="255">
      <pivotArea field="5" type="button" dataOnly="0" labelOnly="1" outline="0" axis="axisRow" fieldPosition="0"/>
    </format>
    <format dxfId="254">
      <pivotArea dataOnly="0" labelOnly="1" outline="0" axis="axisValues" fieldPosition="0"/>
    </format>
    <format dxfId="253">
      <pivotArea dataOnly="0" labelOnly="1" fieldPosition="0">
        <references count="1">
          <reference field="5" count="0"/>
        </references>
      </pivotArea>
    </format>
    <format dxfId="252">
      <pivotArea dataOnly="0" labelOnly="1" outline="0" axis="axisValues" fieldPosition="0"/>
    </format>
    <format dxfId="251">
      <pivotArea field="5" type="button" dataOnly="0" labelOnly="1" outline="0" axis="axisRow" fieldPosition="0"/>
    </format>
    <format dxfId="250">
      <pivotArea type="all" dataOnly="0" outline="0" fieldPosition="0"/>
    </format>
    <format dxfId="249">
      <pivotArea field="5" type="button" dataOnly="0" labelOnly="1" outline="0" axis="axisRow" fieldPosition="0"/>
    </format>
    <format dxfId="248">
      <pivotArea dataOnly="0" labelOnly="1" outline="0" fieldPosition="0">
        <references count="1">
          <reference field="4294967294" count="1">
            <x v="0"/>
          </reference>
        </references>
      </pivotArea>
    </format>
    <format dxfId="247">
      <pivotArea type="all" dataOnly="0" outline="0" fieldPosition="0"/>
    </format>
    <format dxfId="246">
      <pivotArea outline="0" collapsedLevelsAreSubtotals="1" fieldPosition="0"/>
    </format>
    <format dxfId="245">
      <pivotArea field="5" type="button" dataOnly="0" labelOnly="1" outline="0" axis="axisRow" fieldPosition="0"/>
    </format>
    <format dxfId="244">
      <pivotArea dataOnly="0" labelOnly="1" fieldPosition="0">
        <references count="1">
          <reference field="5" count="2">
            <x v="30"/>
            <x v="36"/>
          </reference>
        </references>
      </pivotArea>
    </format>
    <format dxfId="243">
      <pivotArea dataOnly="0" labelOnly="1" outline="0" fieldPosition="0">
        <references count="1">
          <reference field="4294967294" count="1">
            <x v="0"/>
          </reference>
        </references>
      </pivotArea>
    </format>
    <format dxfId="242">
      <pivotArea field="5" type="button" dataOnly="0" labelOnly="1" outline="0" axis="axisRow" fieldPosition="0"/>
    </format>
    <format dxfId="241">
      <pivotArea dataOnly="0" labelOnly="1" outline="0" fieldPosition="0">
        <references count="1">
          <reference field="4294967294" count="1">
            <x v="0"/>
          </reference>
        </references>
      </pivotArea>
    </format>
    <format dxfId="240">
      <pivotArea type="all" dataOnly="0" outline="0" fieldPosition="0"/>
    </format>
    <format dxfId="239">
      <pivotArea outline="0" collapsedLevelsAreSubtotals="1" fieldPosition="0"/>
    </format>
    <format dxfId="238">
      <pivotArea field="5" type="button" dataOnly="0" labelOnly="1" outline="0" axis="axisRow" fieldPosition="0"/>
    </format>
    <format dxfId="237">
      <pivotArea dataOnly="0" labelOnly="1" fieldPosition="0">
        <references count="1">
          <reference field="5" count="5">
            <x v="9"/>
            <x v="10"/>
            <x v="23"/>
            <x v="30"/>
            <x v="36"/>
          </reference>
        </references>
      </pivotArea>
    </format>
    <format dxfId="236">
      <pivotArea dataOnly="0" labelOnly="1" grandRow="1" outline="0" fieldPosition="0"/>
    </format>
    <format dxfId="235">
      <pivotArea dataOnly="0" labelOnly="1" outline="0" fieldPosition="0">
        <references count="1">
          <reference field="4294967294" count="1">
            <x v="0"/>
          </reference>
        </references>
      </pivotArea>
    </format>
    <format dxfId="234">
      <pivotArea field="4" type="button" dataOnly="0" labelOnly="1" outline="0" axis="axisPage" fieldPosition="2"/>
    </format>
    <format dxfId="233">
      <pivotArea dataOnly="0" labelOnly="1" outline="0" fieldPosition="0">
        <references count="2">
          <reference field="0" count="1" selected="0">
            <x v="7"/>
          </reference>
          <reference field="4" count="1">
            <x v="1"/>
          </reference>
        </references>
      </pivotArea>
    </format>
    <format dxfId="232">
      <pivotArea outline="0" collapsedLevelsAreSubtotals="1" fieldPosition="0">
        <references count="1">
          <reference field="4294967294" count="1" selected="0">
            <x v="0"/>
          </reference>
        </references>
      </pivotArea>
    </format>
    <format dxfId="231">
      <pivotArea dataOnly="0" labelOnly="1" outline="0" fieldPosition="0">
        <references count="2">
          <reference field="0" count="1" selected="0">
            <x v="8"/>
          </reference>
          <reference field="4" count="1">
            <x v="1"/>
          </reference>
        </references>
      </pivotArea>
    </format>
    <format dxfId="230">
      <pivotArea dataOnly="0" labelOnly="1" outline="0" fieldPosition="0">
        <references count="2">
          <reference field="0" count="1" selected="0">
            <x v="10"/>
          </reference>
          <reference field="4" count="0"/>
        </references>
      </pivotArea>
    </format>
    <format dxfId="229">
      <pivotArea outline="0" collapsedLevelsAreSubtotals="1" fieldPosition="0">
        <references count="1">
          <reference field="4294967294" count="3" selected="0">
            <x v="1"/>
            <x v="2"/>
            <x v="3"/>
          </reference>
        </references>
      </pivotArea>
    </format>
  </formats>
  <conditionalFormats count="1">
    <conditionalFormat priority="3">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0F000000}" name="PivotTable2" cacheId="6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rowHeaderCaption="State">
  <location ref="C262:D264" firstHeaderRow="1" firstDataRow="1" firstDataCol="1" rowPageCount="3" colPageCount="1"/>
  <pivotFields count="84">
    <pivotField axis="axisPage" subtotalTop="0" showAll="0">
      <items count="14">
        <item m="1" x="11"/>
        <item m="1" x="4"/>
        <item m="1" x="12"/>
        <item m="1" x="6"/>
        <item m="1" x="3"/>
        <item m="1" x="2"/>
        <item m="1" x="10"/>
        <item m="1" x="7"/>
        <item m="1" x="8"/>
        <item m="1" x="9"/>
        <item m="1" x="5"/>
        <item x="0"/>
        <item x="1"/>
        <item t="default"/>
      </items>
    </pivotField>
    <pivotField showAll="0" defaultSubtotal="0"/>
    <pivotField showAll="0" defaultSubtotal="0"/>
    <pivotField subtotalTop="0" showAll="0"/>
    <pivotField subtotalTop="0" multipleItemSelectionAllowed="1" showAll="0">
      <items count="7">
        <item m="1" x="4"/>
        <item m="1" x="5"/>
        <item m="1" x="3"/>
        <item m="1" x="2"/>
        <item x="0"/>
        <item x="1"/>
        <item t="default"/>
      </items>
    </pivotField>
    <pivotField subtotalTop="0" showAll="0"/>
    <pivotField axis="axisPage" multipleItemSelectionAllowed="1" showAll="0" defaultSubtotal="0">
      <items count="11">
        <item m="1" x="4"/>
        <item m="1" x="9"/>
        <item m="1" x="8"/>
        <item h="1" m="1" x="6"/>
        <item m="1" x="3"/>
        <item m="1" x="2"/>
        <item x="0"/>
        <item m="1" x="7"/>
        <item h="1" m="1" x="10"/>
        <item m="1" x="5"/>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axis="axisRow" dataField="1" showAll="0" sortType="descending">
      <items count="3">
        <item x="1"/>
        <item x="0"/>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7"/>
  </rowFields>
  <rowItems count="2">
    <i>
      <x/>
    </i>
    <i>
      <x v="1"/>
    </i>
  </rowItems>
  <colItems count="1">
    <i/>
  </colItems>
  <pageFields count="3">
    <pageField fld="0" item="12" hier="-1"/>
    <pageField fld="74" hier="-1"/>
    <pageField fld="6" hier="-1"/>
  </pageFields>
  <dataFields count="1">
    <dataField name="Count of Village with School" fld="67" subtotal="count" baseField="62" baseItem="1" numFmtId="164"/>
  </dataFields>
  <formats count="15">
    <format dxfId="278">
      <pivotArea type="all" dataOnly="0" outline="0" fieldPosition="0"/>
    </format>
    <format dxfId="277">
      <pivotArea outline="0" collapsedLevelsAreSubtotals="1" fieldPosition="0"/>
    </format>
    <format dxfId="276">
      <pivotArea field="4" type="button" dataOnly="0" labelOnly="1" outline="0"/>
    </format>
    <format dxfId="275">
      <pivotArea dataOnly="0" labelOnly="1" grandRow="1" outline="0" fieldPosition="0"/>
    </format>
    <format dxfId="274">
      <pivotArea type="all" dataOnly="0" outline="0" fieldPosition="0"/>
    </format>
    <format dxfId="273">
      <pivotArea outline="0" collapsedLevelsAreSubtotals="1" fieldPosition="0"/>
    </format>
    <format dxfId="272">
      <pivotArea type="origin" dataOnly="0" labelOnly="1" outline="0" fieldPosition="0"/>
    </format>
    <format dxfId="271">
      <pivotArea field="74" type="button" dataOnly="0" labelOnly="1" outline="0" axis="axisPage" fieldPosition="1"/>
    </format>
    <format dxfId="270">
      <pivotArea type="topRight" dataOnly="0" labelOnly="1" outline="0" fieldPosition="0"/>
    </format>
    <format dxfId="269">
      <pivotArea dataOnly="0" labelOnly="1" fieldPosition="0">
        <references count="1">
          <reference field="74" count="0"/>
        </references>
      </pivotArea>
    </format>
    <format dxfId="268">
      <pivotArea type="all" dataOnly="0" outline="0" fieldPosition="0"/>
    </format>
    <format dxfId="267">
      <pivotArea outline="0" collapsedLevelsAreSubtotals="1" fieldPosition="0"/>
    </format>
    <format dxfId="266">
      <pivotArea field="4" type="button" dataOnly="0" labelOnly="1" outline="0"/>
    </format>
    <format dxfId="265">
      <pivotArea outline="0" fieldPosition="0">
        <references count="1">
          <reference field="4294967294" count="1">
            <x v="0"/>
          </reference>
        </references>
      </pivotArea>
    </format>
    <format dxfId="264">
      <pivotArea outline="0" collapsedLevelsAreSubtotals="1" fieldPosition="0"/>
    </format>
  </formats>
  <chartFormats count="6">
    <chartFormat chart="12" format="0" series="1">
      <pivotArea type="data" outline="0" fieldPosition="0">
        <references count="1">
          <reference field="4294967294" count="1" selected="0">
            <x v="0"/>
          </reference>
        </references>
      </pivotArea>
    </chartFormat>
    <chartFormat chart="12" format="1">
      <pivotArea type="data" outline="0" fieldPosition="0">
        <references count="2">
          <reference field="4294967294" count="1" selected="0">
            <x v="0"/>
          </reference>
          <reference field="67" count="1" selected="0">
            <x v="0"/>
          </reference>
        </references>
      </pivotArea>
    </chartFormat>
    <chartFormat chart="12" format="2">
      <pivotArea type="data" outline="0" fieldPosition="0">
        <references count="2">
          <reference field="4294967294" count="1" selected="0">
            <x v="0"/>
          </reference>
          <reference field="67" count="1" selected="0">
            <x v="1"/>
          </reference>
        </references>
      </pivotArea>
    </chartFormat>
    <chartFormat chart="15" format="6" series="1">
      <pivotArea type="data" outline="0" fieldPosition="0">
        <references count="1">
          <reference field="4294967294" count="1" selected="0">
            <x v="0"/>
          </reference>
        </references>
      </pivotArea>
    </chartFormat>
    <chartFormat chart="15" format="7">
      <pivotArea type="data" outline="0" fieldPosition="0">
        <references count="2">
          <reference field="4294967294" count="1" selected="0">
            <x v="0"/>
          </reference>
          <reference field="67" count="1" selected="0">
            <x v="0"/>
          </reference>
        </references>
      </pivotArea>
    </chartFormat>
    <chartFormat chart="15" format="8">
      <pivotArea type="data" outline="0" fieldPosition="0">
        <references count="2">
          <reference field="4294967294" count="1" selected="0">
            <x v="0"/>
          </reference>
          <reference field="67"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6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5">
  <location ref="B31:C34" firstHeaderRow="1" firstDataRow="2" firstDataCol="1" rowPageCount="3" colPageCount="1"/>
  <pivotFields count="84">
    <pivotField axis="axisPage" subtotalTop="0" multipleItemSelectionAllowed="1" showAll="0">
      <items count="14">
        <item m="1" x="11"/>
        <item m="1" x="4"/>
        <item h="1" m="1" x="6"/>
        <item h="1" m="1" x="2"/>
        <item m="1" x="12"/>
        <item m="1" x="3"/>
        <item h="1" m="1" x="10"/>
        <item h="1" m="1" x="7"/>
        <item h="1" m="1" x="8"/>
        <item m="1" x="9"/>
        <item h="1" m="1" x="5"/>
        <item h="1"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subtotalTop="0" showAll="0"/>
    <pivotField axis="axisCol" multipleItemSelectionAllowed="1" showAll="0" defaultSubtotal="0">
      <items count="11">
        <item m="1" x="4"/>
        <item m="1" x="9"/>
        <item h="1" m="1" x="8"/>
        <item m="1" x="3"/>
        <item h="1" m="1" x="2"/>
        <item x="0"/>
        <item h="1" m="1" x="7"/>
        <item h="1" m="1" x="10"/>
        <item h="1" m="1" x="5"/>
        <item h="1" m="1" x="6"/>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Fields count="1">
    <field x="6"/>
  </colFields>
  <colItems count="1">
    <i>
      <x v="5"/>
    </i>
  </colItems>
  <pageFields count="3">
    <pageField fld="0" hier="-1"/>
    <pageField fld="4" hier="-1"/>
    <pageField fld="74" hier="-1"/>
  </pageFields>
  <dataFields count="2">
    <dataField name="Coverage" fld="47" baseField="77" baseItem="1" numFmtId="1"/>
    <dataField name="Gap" fld="50" baseField="77" baseItem="1" numFmtId="1"/>
  </dataFields>
  <formats count="11">
    <format dxfId="289">
      <pivotArea type="all" dataOnly="0" outline="0" fieldPosition="0"/>
    </format>
    <format dxfId="288">
      <pivotArea outline="0" collapsedLevelsAreSubtotals="1" fieldPosition="0"/>
    </format>
    <format dxfId="287">
      <pivotArea type="all" dataOnly="0" outline="0" fieldPosition="0"/>
    </format>
    <format dxfId="286">
      <pivotArea dataOnly="0" labelOnly="1" outline="0" fieldPosition="0">
        <references count="1">
          <reference field="4294967294" count="2">
            <x v="0"/>
            <x v="1"/>
          </reference>
        </references>
      </pivotArea>
    </format>
    <format dxfId="285">
      <pivotArea outline="0" fieldPosition="0">
        <references count="1">
          <reference field="4294967294" count="1">
            <x v="0"/>
          </reference>
        </references>
      </pivotArea>
    </format>
    <format dxfId="284">
      <pivotArea outline="0" fieldPosition="0">
        <references count="1">
          <reference field="4294967294" count="1">
            <x v="1"/>
          </reference>
        </references>
      </pivotArea>
    </format>
    <format dxfId="283">
      <pivotArea type="all" dataOnly="0" outline="0" fieldPosition="0"/>
    </format>
    <format dxfId="282">
      <pivotArea outline="0" collapsedLevelsAreSubtotals="1" fieldPosition="0"/>
    </format>
    <format dxfId="281">
      <pivotArea dataOnly="0" labelOnly="1" outline="0" fieldPosition="0">
        <references count="1">
          <reference field="4294967294" count="2">
            <x v="0"/>
            <x v="1"/>
          </reference>
        </references>
      </pivotArea>
    </format>
    <format dxfId="280">
      <pivotArea field="4" type="button" dataOnly="0" labelOnly="1" outline="0" axis="axisPage" fieldPosition="1"/>
    </format>
    <format dxfId="279">
      <pivotArea dataOnly="0" labelOnly="1" outline="0" fieldPosition="0">
        <references count="1">
          <reference field="4" count="1">
            <x v="1"/>
          </reference>
        </references>
      </pivotArea>
    </format>
  </formats>
  <chartFormats count="6">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 chart="15" format="10">
      <pivotArea type="data" outline="0" fieldPosition="0">
        <references count="1">
          <reference field="4294967294" count="1" selected="0">
            <x v="1"/>
          </reference>
        </references>
      </pivotArea>
    </chartFormat>
    <chartFormat chart="15" format="11">
      <pivotArea type="data" outline="0" fieldPosition="0">
        <references count="1">
          <reference field="4294967294" count="1" selected="0">
            <x v="0"/>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B85B7807-1E1E-4E05-B412-22F3CC74F405}" name="PivotTable26" cacheId="6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0">
  <location ref="K129:L131" firstHeaderRow="1" firstDataRow="1" firstDataCol="1" rowPageCount="3" colPageCount="1"/>
  <pivotFields count="84">
    <pivotField axis="axisPage" subtotalTop="0" multipleItemSelectionAllowed="1" showAll="0">
      <items count="14">
        <item h="1" m="1" x="11"/>
        <item m="1" x="4"/>
        <item m="1" x="12"/>
        <item h="1" m="1" x="6"/>
        <item m="1" x="3"/>
        <item h="1" m="1" x="2"/>
        <item h="1" m="1" x="10"/>
        <item h="1" m="1" x="7"/>
        <item h="1" m="1" x="8"/>
        <item m="1" x="9"/>
        <item h="1" m="1" x="5"/>
        <item h="1" x="0"/>
        <item x="1"/>
        <item t="default"/>
      </items>
    </pivotField>
    <pivotField showAll="0" defaultSubtotal="0"/>
    <pivotField showAll="0" defaultSubtotal="0"/>
    <pivotField subtotalTop="0" showAll="0"/>
    <pivotField subtotalTop="0" showAll="0">
      <items count="7">
        <item m="1" x="4"/>
        <item m="1" x="5"/>
        <item m="1" x="3"/>
        <item m="1" x="2"/>
        <item x="0"/>
        <item x="1"/>
        <item t="default"/>
      </items>
    </pivotField>
    <pivotField subtotalTop="0" showAll="0"/>
    <pivotField axis="axisPage" multipleItemSelectionAllowed="1" showAll="0" defaultSubtotal="0">
      <items count="11">
        <item m="1" x="4"/>
        <item m="1" x="9"/>
        <item m="1" x="8"/>
        <item h="1" m="1" x="6"/>
        <item m="1" x="3"/>
        <item m="1" x="2"/>
        <item x="0"/>
        <item m="1" x="7"/>
        <item h="1" m="1" x="10"/>
        <item m="1" x="5"/>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3">
    <pageField fld="0" hier="-1"/>
    <pageField fld="74" item="0" hier="-1"/>
    <pageField fld="6" hier="-1"/>
  </pageFields>
  <dataFields count="2">
    <dataField name="Sum of #_of_functional_handwashing_facilities_at_HH_level" fld="34" baseField="0" baseItem="0"/>
    <dataField name="Sum of #_of_functional_handwashing_facilities_at_school" fld="35" baseField="0" baseItem="0"/>
  </dataFields>
  <formats count="9">
    <format dxfId="298">
      <pivotArea type="all" dataOnly="0" outline="0" fieldPosition="0"/>
    </format>
    <format dxfId="297">
      <pivotArea type="all" dataOnly="0" outline="0" fieldPosition="0"/>
    </format>
    <format dxfId="296">
      <pivotArea outline="0" collapsedLevelsAreSubtotals="1" fieldPosition="0"/>
    </format>
    <format dxfId="295">
      <pivotArea field="4" type="button" dataOnly="0" labelOnly="1" outline="0"/>
    </format>
    <format dxfId="294">
      <pivotArea dataOnly="0" labelOnly="1" grandRow="1" outline="0" fieldPosition="0"/>
    </format>
    <format dxfId="293">
      <pivotArea type="all" dataOnly="0" outline="0" fieldPosition="0"/>
    </format>
    <format dxfId="292">
      <pivotArea outline="0" collapsedLevelsAreSubtotals="1" fieldPosition="0"/>
    </format>
    <format dxfId="291">
      <pivotArea field="4" type="button" dataOnly="0" labelOnly="1" outline="0"/>
    </format>
    <format dxfId="290">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6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42" firstHeaderRow="0" firstDataRow="1" firstDataCol="2" rowPageCount="1" colPageCount="1"/>
  <pivotFields count="84">
    <pivotField axis="axisPage" compact="0" outline="0" multipleItemSelectionAllowed="1" showAll="0">
      <items count="14">
        <item h="1" m="1" x="10"/>
        <item h="1" m="1" x="11"/>
        <item h="1" m="1" x="4"/>
        <item h="1" m="1" x="12"/>
        <item h="1" m="1" x="6"/>
        <item h="1" m="1" x="3"/>
        <item h="1" m="1" x="2"/>
        <item h="1" m="1" x="7"/>
        <item h="1" m="1" x="8"/>
        <item h="1" m="1" x="9"/>
        <item h="1" m="1" x="5"/>
        <item h="1" x="0"/>
        <item x="1"/>
        <item t="default"/>
      </items>
    </pivotField>
    <pivotField compact="0" outline="0" showAll="0" defaultSubtotal="0">
      <items count="46">
        <item x="5"/>
        <item m="1" x="41"/>
        <item m="1" x="42"/>
        <item x="3"/>
        <item x="10"/>
        <item m="1" x="34"/>
        <item x="4"/>
        <item m="1" x="19"/>
        <item m="1" x="30"/>
        <item m="1" x="21"/>
        <item m="1" x="28"/>
        <item x="12"/>
        <item m="1" x="37"/>
        <item m="1" x="24"/>
        <item m="1" x="22"/>
        <item m="1" x="38"/>
        <item m="1" x="36"/>
        <item m="1" x="33"/>
        <item m="1" x="27"/>
        <item m="1" x="40"/>
        <item m="1" x="26"/>
        <item m="1" x="25"/>
        <item m="1" x="43"/>
        <item x="11"/>
        <item m="1" x="32"/>
        <item m="1" x="31"/>
        <item m="1" x="29"/>
        <item x="6"/>
        <item x="14"/>
        <item x="7"/>
        <item m="1" x="44"/>
        <item m="1" x="20"/>
        <item x="1"/>
        <item x="17"/>
        <item x="8"/>
        <item x="0"/>
        <item m="1" x="45"/>
        <item m="1" x="23"/>
        <item x="9"/>
        <item x="2"/>
        <item x="16"/>
        <item x="15"/>
        <item m="1" x="35"/>
        <item m="1" x="39"/>
        <item x="13"/>
        <item m="1" x="18"/>
      </items>
    </pivotField>
    <pivotField compact="0" outline="0" showAll="0" defaultSubtotal="0"/>
    <pivotField compact="0" outline="0" showAll="0"/>
    <pivotField axis="axisRow" compact="0" outline="0" showAll="0">
      <items count="7">
        <item m="1" x="4"/>
        <item m="1" x="5"/>
        <item m="1" x="3"/>
        <item m="1" x="2"/>
        <item x="0"/>
        <item x="1"/>
        <item t="default"/>
      </items>
    </pivotField>
    <pivotField axis="axisRow" compact="0" outline="0" showAll="0">
      <items count="42">
        <item m="1" x="17"/>
        <item m="1" x="20"/>
        <item x="1"/>
        <item m="1" x="33"/>
        <item m="1" x="29"/>
        <item m="1" x="32"/>
        <item m="1" x="26"/>
        <item m="1" x="12"/>
        <item x="3"/>
        <item x="7"/>
        <item m="1" x="16"/>
        <item m="1" x="35"/>
        <item m="1" x="14"/>
        <item m="1" x="19"/>
        <item x="2"/>
        <item x="5"/>
        <item m="1" x="24"/>
        <item m="1" x="34"/>
        <item m="1" x="27"/>
        <item x="9"/>
        <item m="1" x="18"/>
        <item x="6"/>
        <item m="1" x="28"/>
        <item m="1" x="25"/>
        <item m="1" x="30"/>
        <item m="1" x="15"/>
        <item x="0"/>
        <item m="1" x="31"/>
        <item m="1" x="22"/>
        <item m="1" x="38"/>
        <item x="8"/>
        <item m="1" x="39"/>
        <item x="4"/>
        <item m="1" x="40"/>
        <item m="1" x="37"/>
        <item m="1" x="36"/>
        <item m="1" x="21"/>
        <item m="1" x="11"/>
        <item m="1" x="13"/>
        <item m="1" x="10"/>
        <item m="1" x="23"/>
        <item t="default"/>
      </items>
    </pivotField>
    <pivotField compact="0" outline="0" showAll="0" defaultSubtotal="0">
      <items count="11">
        <item m="1" x="4"/>
        <item m="1" x="9"/>
        <item m="1" x="8"/>
        <item m="1" x="6"/>
        <item m="1" x="3"/>
        <item m="1" x="2"/>
        <item x="0"/>
        <item m="1" x="7"/>
        <item m="1" x="10"/>
        <item m="1" x="5"/>
        <item m="1" x="1"/>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defaultSubtotal="0"/>
    <pivotField compact="0" numFmtId="1" outline="0" showAll="0"/>
    <pivotField compact="0" numFmtId="1" outline="0" showAll="0"/>
    <pivotField compact="0" numFmtId="9"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1" outline="0" showAll="0"/>
    <pivotField compact="0" numFmtId="1"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13">
    <i>
      <x v="4"/>
      <x v="8"/>
    </i>
    <i r="1">
      <x v="9"/>
    </i>
    <i r="1">
      <x v="15"/>
    </i>
    <i r="1">
      <x v="19"/>
    </i>
    <i r="1">
      <x v="21"/>
    </i>
    <i r="1">
      <x v="26"/>
    </i>
    <i r="1">
      <x v="32"/>
    </i>
    <i t="default">
      <x v="4"/>
    </i>
    <i>
      <x v="5"/>
      <x v="2"/>
    </i>
    <i r="1">
      <x v="14"/>
    </i>
    <i r="1">
      <x v="30"/>
    </i>
    <i t="default">
      <x v="5"/>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60" baseField="0" baseItem="0"/>
    <dataField name="Number of people with equitable and continuous access to safe sanitation facilities" fld="53" baseField="0" baseItem="0"/>
    <dataField name="Number of people with equitable and continuous access to sufficient quantity of domestic water" fld="46" baseField="0" baseItem="0"/>
  </dataFields>
  <formats count="25">
    <format dxfId="66">
      <pivotArea field="4" type="button" dataOnly="0" labelOnly="1" outline="0" axis="axisRow" fieldPosition="0"/>
    </format>
    <format dxfId="65">
      <pivotArea field="5" type="button" dataOnly="0" labelOnly="1" outline="0" axis="axisRow" fieldPosition="1"/>
    </format>
    <format dxfId="64">
      <pivotArea dataOnly="0" labelOnly="1" outline="0" fieldPosition="0">
        <references count="1">
          <reference field="4294967294" count="1">
            <x v="0"/>
          </reference>
        </references>
      </pivotArea>
    </format>
    <format dxfId="63">
      <pivotArea field="4" type="button" dataOnly="0" labelOnly="1" outline="0" axis="axisRow" fieldPosition="0"/>
    </format>
    <format dxfId="62">
      <pivotArea field="5" type="button" dataOnly="0" labelOnly="1" outline="0" axis="axisRow" fieldPosition="1"/>
    </format>
    <format dxfId="61">
      <pivotArea dataOnly="0" labelOnly="1" outline="0" fieldPosition="0">
        <references count="1">
          <reference field="4294967294" count="1">
            <x v="0"/>
          </reference>
        </references>
      </pivotArea>
    </format>
    <format dxfId="60">
      <pivotArea field="4" type="button" dataOnly="0" labelOnly="1" outline="0" axis="axisRow" fieldPosition="0"/>
    </format>
    <format dxfId="59">
      <pivotArea field="5" type="button" dataOnly="0" labelOnly="1" outline="0" axis="axisRow" fieldPosition="1"/>
    </format>
    <format dxfId="58">
      <pivotArea dataOnly="0" labelOnly="1" outline="0" fieldPosition="0">
        <references count="1">
          <reference field="4294967294" count="1">
            <x v="0"/>
          </reference>
        </references>
      </pivotArea>
    </format>
    <format dxfId="57">
      <pivotArea dataOnly="0" labelOnly="1" outline="0" fieldPosition="0">
        <references count="1">
          <reference field="4294967294" count="1">
            <x v="0"/>
          </reference>
        </references>
      </pivotArea>
    </format>
    <format dxfId="56">
      <pivotArea dataOnly="0" labelOnly="1" outline="0" fieldPosition="0">
        <references count="1">
          <reference field="4294967294" count="1">
            <x v="0"/>
          </reference>
        </references>
      </pivotArea>
    </format>
    <format dxfId="55">
      <pivotArea type="all" dataOnly="0" outline="0" fieldPosition="0"/>
    </format>
    <format dxfId="54">
      <pivotArea outline="0" collapsedLevelsAreSubtotals="1" fieldPosition="0"/>
    </format>
    <format dxfId="53">
      <pivotArea field="4" type="button" dataOnly="0" labelOnly="1" outline="0" axis="axisRow" fieldPosition="0"/>
    </format>
    <format dxfId="52">
      <pivotArea field="5" type="button" dataOnly="0" labelOnly="1" outline="0" axis="axisRow" fieldPosition="1"/>
    </format>
    <format dxfId="51">
      <pivotArea dataOnly="0" labelOnly="1" outline="0" fieldPosition="0">
        <references count="1">
          <reference field="4" count="0"/>
        </references>
      </pivotArea>
    </format>
    <format dxfId="50">
      <pivotArea dataOnly="0" labelOnly="1" outline="0" fieldPosition="0">
        <references count="1">
          <reference field="4" count="0" defaultSubtotal="1"/>
        </references>
      </pivotArea>
    </format>
    <format dxfId="49">
      <pivotArea dataOnly="0" labelOnly="1" grandRow="1" outline="0" fieldPosition="0"/>
    </format>
    <format dxfId="48">
      <pivotArea dataOnly="0" labelOnly="1" outline="0" fieldPosition="0">
        <references count="2">
          <reference field="4" count="1" selected="0">
            <x v="0"/>
          </reference>
          <reference field="5" count="13">
            <x v="1"/>
            <x v="3"/>
            <x v="4"/>
            <x v="12"/>
            <x v="16"/>
            <x v="17"/>
            <x v="18"/>
            <x v="22"/>
            <x v="28"/>
            <x v="31"/>
            <x v="33"/>
            <x v="34"/>
            <x v="35"/>
          </reference>
        </references>
      </pivotArea>
    </format>
    <format dxfId="47">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46">
      <pivotArea dataOnly="0" labelOnly="1" outline="0" fieldPosition="0">
        <references count="2">
          <reference field="4" count="1" selected="0">
            <x v="1"/>
          </reference>
          <reference field="5" count="12">
            <x v="0"/>
            <x v="2"/>
            <x v="8"/>
            <x v="9"/>
            <x v="14"/>
            <x v="15"/>
            <x v="19"/>
            <x v="21"/>
            <x v="26"/>
            <x v="27"/>
            <x v="30"/>
            <x v="32"/>
          </reference>
        </references>
      </pivotArea>
    </format>
    <format dxfId="45">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44">
      <pivotArea dataOnly="0" labelOnly="1" outline="0" fieldPosition="0">
        <references count="2">
          <reference field="4" count="1" selected="0">
            <x v="2"/>
          </reference>
          <reference field="5" count="7">
            <x v="5"/>
            <x v="6"/>
            <x v="7"/>
            <x v="13"/>
            <x v="20"/>
            <x v="23"/>
            <x v="24"/>
          </reference>
        </references>
      </pivotArea>
    </format>
    <format dxfId="43">
      <pivotArea dataOnly="0" labelOnly="1" outline="0" fieldPosition="0">
        <references count="2">
          <reference field="4" count="1" selected="0">
            <x v="2"/>
          </reference>
          <reference field="5" count="7" defaultSubtotal="1">
            <x v="5"/>
            <x v="6"/>
            <x v="7"/>
            <x v="13"/>
            <x v="20"/>
            <x v="23"/>
            <x v="24"/>
          </reference>
        </references>
      </pivotArea>
    </format>
    <format dxfId="42">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6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87" firstHeaderRow="0" firstDataRow="1" firstDataCol="1" rowPageCount="3" colPageCount="1"/>
  <pivotFields count="84">
    <pivotField axis="axisPage" compact="0" outline="0" showAll="0">
      <items count="14">
        <item m="1" x="10"/>
        <item m="1" x="11"/>
        <item m="1" x="4"/>
        <item m="1" x="12"/>
        <item m="1" x="6"/>
        <item m="1" x="3"/>
        <item m="1" x="2"/>
        <item m="1" x="7"/>
        <item m="1" x="8"/>
        <item m="1" x="9"/>
        <item m="1" x="5"/>
        <item x="0"/>
        <item x="1"/>
        <item t="default"/>
      </items>
    </pivotField>
    <pivotField compact="0" outline="0" showAll="0" defaultSubtotal="0"/>
    <pivotField compact="0" outline="0" showAll="0" defaultSubtotal="0">
      <items count="44">
        <item x="5"/>
        <item m="1" x="40"/>
        <item m="1" x="41"/>
        <item x="3"/>
        <item x="10"/>
        <item m="1" x="31"/>
        <item x="4"/>
        <item m="1" x="17"/>
        <item m="1" x="27"/>
        <item m="1" x="19"/>
        <item m="1" x="25"/>
        <item x="12"/>
        <item m="1" x="36"/>
        <item m="1" x="22"/>
        <item x="1"/>
        <item m="1" x="20"/>
        <item m="1" x="32"/>
        <item m="1" x="37"/>
        <item m="1" x="35"/>
        <item m="1" x="30"/>
        <item m="1" x="43"/>
        <item m="1" x="24"/>
        <item m="1" x="38"/>
        <item m="1" x="23"/>
        <item x="11"/>
        <item m="1" x="29"/>
        <item m="1" x="28"/>
        <item m="1" x="26"/>
        <item x="6"/>
        <item x="13"/>
        <item x="7"/>
        <item m="1" x="18"/>
        <item x="8"/>
        <item x="0"/>
        <item m="1" x="42"/>
        <item m="1" x="21"/>
        <item x="9"/>
        <item x="15"/>
        <item x="14"/>
        <item m="1" x="34"/>
        <item m="1" x="33"/>
        <item x="2"/>
        <item m="1" x="39"/>
        <item m="1" x="16"/>
      </items>
    </pivotField>
    <pivotField compact="0" outline="0" showAll="0"/>
    <pivotField axis="axisPage" compact="0" outline="0" showAll="0">
      <items count="7">
        <item m="1" x="4"/>
        <item m="1" x="5"/>
        <item m="1" x="3"/>
        <item m="1" x="2"/>
        <item x="0"/>
        <item x="1"/>
        <item t="default"/>
      </items>
    </pivotField>
    <pivotField axis="axisPage" compact="0" outline="0" showAll="0">
      <items count="42">
        <item m="1" x="17"/>
        <item m="1" x="20"/>
        <item x="1"/>
        <item m="1" x="33"/>
        <item m="1" x="29"/>
        <item m="1" x="32"/>
        <item m="1" x="26"/>
        <item m="1" x="12"/>
        <item x="3"/>
        <item x="7"/>
        <item m="1" x="16"/>
        <item m="1" x="35"/>
        <item m="1" x="14"/>
        <item m="1" x="19"/>
        <item x="2"/>
        <item x="5"/>
        <item m="1" x="24"/>
        <item m="1" x="34"/>
        <item m="1" x="27"/>
        <item x="9"/>
        <item m="1" x="18"/>
        <item x="6"/>
        <item m="1" x="28"/>
        <item m="1" x="25"/>
        <item m="1" x="30"/>
        <item m="1" x="15"/>
        <item x="0"/>
        <item m="1" x="31"/>
        <item m="1" x="22"/>
        <item m="1" x="38"/>
        <item x="8"/>
        <item m="1" x="39"/>
        <item x="4"/>
        <item m="1" x="40"/>
        <item m="1" x="37"/>
        <item m="1" x="36"/>
        <item m="1" x="21"/>
        <item m="1" x="11"/>
        <item m="1" x="13"/>
        <item m="1" x="10"/>
        <item m="1" x="23"/>
        <item t="default"/>
      </items>
    </pivotField>
    <pivotField compact="0" outline="0" showAll="0" defaultSubtotal="0">
      <items count="11">
        <item m="1" x="4"/>
        <item m="1" x="9"/>
        <item m="1" x="8"/>
        <item m="1" x="6"/>
        <item m="1" x="3"/>
        <item m="1" x="2"/>
        <item x="0"/>
        <item m="1" x="7"/>
        <item m="1" x="10"/>
        <item m="1" x="5"/>
        <item m="1" x="1"/>
      </items>
    </pivotField>
    <pivotField axis="axisRow" compact="0" outline="0" showAll="0">
      <items count="271">
        <item x="148"/>
        <item x="42"/>
        <item x="222"/>
        <item x="168"/>
        <item x="226"/>
        <item x="146"/>
        <item x="158"/>
        <item x="108"/>
        <item x="3"/>
        <item x="105"/>
        <item x="4"/>
        <item x="125"/>
        <item x="227"/>
        <item x="119"/>
        <item x="47"/>
        <item x="5"/>
        <item x="6"/>
        <item x="170"/>
        <item x="80"/>
        <item x="7"/>
        <item x="8"/>
        <item x="117"/>
        <item x="94"/>
        <item x="236"/>
        <item x="127"/>
        <item x="171"/>
        <item x="221"/>
        <item x="223"/>
        <item x="70"/>
        <item x="229"/>
        <item x="95"/>
        <item x="96"/>
        <item x="213"/>
        <item x="82"/>
        <item x="83"/>
        <item x="123"/>
        <item x="172"/>
        <item x="54"/>
        <item x="207"/>
        <item x="159"/>
        <item x="9"/>
        <item x="10"/>
        <item x="11"/>
        <item x="131"/>
        <item x="0"/>
        <item x="114"/>
        <item x="100"/>
        <item x="206"/>
        <item x="55"/>
        <item x="41"/>
        <item x="44"/>
        <item x="12"/>
        <item x="235"/>
        <item x="149"/>
        <item x="173"/>
        <item x="174"/>
        <item x="13"/>
        <item x="14"/>
        <item x="56"/>
        <item x="115"/>
        <item x="71"/>
        <item x="72"/>
        <item x="237"/>
        <item x="145"/>
        <item x="175"/>
        <item x="151"/>
        <item x="150"/>
        <item x="51"/>
        <item x="90"/>
        <item x="160"/>
        <item x="15"/>
        <item x="45"/>
        <item x="99"/>
        <item x="2"/>
        <item x="1"/>
        <item x="103"/>
        <item x="78"/>
        <item x="76"/>
        <item x="199"/>
        <item x="176"/>
        <item x="177"/>
        <item x="233"/>
        <item x="205"/>
        <item x="75"/>
        <item x="74"/>
        <item x="16"/>
        <item x="89"/>
        <item x="163"/>
        <item x="32"/>
        <item x="161"/>
        <item x="113"/>
        <item x="53"/>
        <item x="84"/>
        <item x="57"/>
        <item x="230"/>
        <item x="214"/>
        <item x="212"/>
        <item x="58"/>
        <item x="215"/>
        <item x="126"/>
        <item x="33"/>
        <item x="17"/>
        <item x="232"/>
        <item x="178"/>
        <item x="224"/>
        <item x="107"/>
        <item x="106"/>
        <item x="211"/>
        <item x="59"/>
        <item x="210"/>
        <item x="154"/>
        <item x="204"/>
        <item x="60"/>
        <item x="179"/>
        <item x="61"/>
        <item x="180"/>
        <item x="18"/>
        <item x="169"/>
        <item x="220"/>
        <item x="93"/>
        <item x="88"/>
        <item x="62"/>
        <item x="209"/>
        <item x="203"/>
        <item x="134"/>
        <item x="231"/>
        <item x="19"/>
        <item x="194"/>
        <item x="198"/>
        <item x="157"/>
        <item x="197"/>
        <item x="152"/>
        <item x="85"/>
        <item x="20"/>
        <item x="208"/>
        <item x="63"/>
        <item x="50"/>
        <item x="91"/>
        <item x="64"/>
        <item x="181"/>
        <item x="97"/>
        <item x="118"/>
        <item x="156"/>
        <item x="182"/>
        <item x="98"/>
        <item x="155"/>
        <item x="65"/>
        <item x="112"/>
        <item x="135"/>
        <item x="136"/>
        <item x="104"/>
        <item x="46"/>
        <item x="79"/>
        <item x="137"/>
        <item x="130"/>
        <item x="138"/>
        <item x="139"/>
        <item x="21"/>
        <item x="22"/>
        <item x="202"/>
        <item x="23"/>
        <item x="183"/>
        <item x="162"/>
        <item x="228"/>
        <item x="24"/>
        <item x="102"/>
        <item x="129"/>
        <item x="133"/>
        <item x="34"/>
        <item x="121"/>
        <item x="35"/>
        <item x="36"/>
        <item x="122"/>
        <item x="164"/>
        <item x="225"/>
        <item x="111"/>
        <item x="184"/>
        <item x="196"/>
        <item x="195"/>
        <item x="193"/>
        <item x="132"/>
        <item x="234"/>
        <item x="217"/>
        <item x="120"/>
        <item x="185"/>
        <item x="25"/>
        <item x="167"/>
        <item x="66"/>
        <item x="67"/>
        <item x="200"/>
        <item x="201"/>
        <item x="26"/>
        <item x="216"/>
        <item x="140"/>
        <item x="27"/>
        <item x="110"/>
        <item x="128"/>
        <item x="165"/>
        <item x="186"/>
        <item x="28"/>
        <item x="29"/>
        <item x="141"/>
        <item x="142"/>
        <item x="77"/>
        <item x="187"/>
        <item x="188"/>
        <item x="101"/>
        <item x="144"/>
        <item x="166"/>
        <item x="143"/>
        <item x="109"/>
        <item x="116"/>
        <item x="86"/>
        <item x="37"/>
        <item x="192"/>
        <item x="73"/>
        <item x="68"/>
        <item x="52"/>
        <item x="218"/>
        <item x="30"/>
        <item x="38"/>
        <item x="39"/>
        <item x="124"/>
        <item x="31"/>
        <item x="87"/>
        <item x="40"/>
        <item x="48"/>
        <item x="147"/>
        <item x="219"/>
        <item x="69"/>
        <item x="153"/>
        <item x="189"/>
        <item x="190"/>
        <item x="92"/>
        <item x="49"/>
        <item x="81"/>
        <item x="43"/>
        <item x="191"/>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t="default"/>
      </items>
    </pivotField>
    <pivotField compact="0" outline="0" showAll="0"/>
    <pivotField dataField="1" compact="0" numFmtId="1"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defaultSubtotal="0"/>
    <pivotField compact="0" numFmtId="1" outline="0" showAll="0"/>
    <pivotField compact="0" numFmtId="1" outline="0" showAll="0"/>
    <pivotField compact="0" numFmtId="9"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1" outline="0" showAll="0"/>
    <pivotField compact="0" numFmtId="1"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49">
    <i>
      <x v="4"/>
    </i>
    <i>
      <x v="12"/>
    </i>
    <i>
      <x v="18"/>
    </i>
    <i>
      <x v="22"/>
    </i>
    <i>
      <x v="28"/>
    </i>
    <i>
      <x v="29"/>
    </i>
    <i>
      <x v="30"/>
    </i>
    <i>
      <x v="31"/>
    </i>
    <i>
      <x v="33"/>
    </i>
    <i>
      <x v="34"/>
    </i>
    <i>
      <x v="46"/>
    </i>
    <i>
      <x v="60"/>
    </i>
    <i>
      <x v="61"/>
    </i>
    <i>
      <x v="68"/>
    </i>
    <i>
      <x v="72"/>
    </i>
    <i>
      <x v="76"/>
    </i>
    <i>
      <x v="77"/>
    </i>
    <i>
      <x v="83"/>
    </i>
    <i>
      <x v="84"/>
    </i>
    <i>
      <x v="86"/>
    </i>
    <i>
      <x v="92"/>
    </i>
    <i>
      <x v="94"/>
    </i>
    <i>
      <x v="104"/>
    </i>
    <i>
      <x v="119"/>
    </i>
    <i>
      <x v="120"/>
    </i>
    <i>
      <x v="132"/>
    </i>
    <i>
      <x v="137"/>
    </i>
    <i>
      <x v="140"/>
    </i>
    <i>
      <x v="148"/>
    </i>
    <i>
      <x v="149"/>
    </i>
    <i>
      <x v="152"/>
    </i>
    <i>
      <x v="153"/>
    </i>
    <i>
      <x v="155"/>
    </i>
    <i>
      <x v="156"/>
    </i>
    <i>
      <x v="163"/>
    </i>
    <i>
      <x v="174"/>
    </i>
    <i>
      <x v="193"/>
    </i>
    <i>
      <x v="201"/>
    </i>
    <i>
      <x v="202"/>
    </i>
    <i>
      <x v="203"/>
    </i>
    <i>
      <x v="206"/>
    </i>
    <i>
      <x v="207"/>
    </i>
    <i>
      <x v="209"/>
    </i>
    <i>
      <x v="212"/>
    </i>
    <i>
      <x v="215"/>
    </i>
    <i>
      <x v="224"/>
    </i>
    <i>
      <x v="233"/>
    </i>
    <i>
      <x v="235"/>
    </i>
    <i t="grand">
      <x/>
    </i>
  </rowItems>
  <colFields count="1">
    <field x="-2"/>
  </colFields>
  <colItems count="4">
    <i>
      <x/>
    </i>
    <i i="1">
      <x v="1"/>
    </i>
    <i i="2">
      <x v="2"/>
    </i>
    <i i="3">
      <x v="3"/>
    </i>
  </colItems>
  <pageFields count="3">
    <pageField fld="0" item="12" hier="-1"/>
    <pageField fld="5" item="32" hier="-1"/>
    <pageField fld="4" hier="-1"/>
  </pageFields>
  <dataFields count="4">
    <dataField name="Total Population" fld="9" baseField="0" baseItem="0"/>
    <dataField name="# of People adopt basic personal and community hygiene practices" fld="60" baseField="0" baseItem="0"/>
    <dataField name="# of people access to functioning  sanitation facilities" fld="53" baseField="0" baseItem="0"/>
    <dataField name="# of people Equitable and continuous access to sufficient quantity of domestic water" fld="46"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6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7" firstHeaderRow="0" firstDataRow="1" firstDataCol="1" rowPageCount="1" colPageCount="1"/>
  <pivotFields count="84">
    <pivotField axis="axisRow" compact="0" outline="0" showAll="0">
      <items count="14">
        <item m="1" x="10"/>
        <item m="1" x="11"/>
        <item m="1" x="4"/>
        <item m="1" x="12"/>
        <item m="1" x="6"/>
        <item m="1" x="7"/>
        <item m="1" x="8"/>
        <item m="1" x="9"/>
        <item m="1" x="3"/>
        <item m="1" x="2"/>
        <item m="1" x="5"/>
        <item x="0"/>
        <item x="1"/>
        <item t="default"/>
      </items>
    </pivotField>
    <pivotField compact="0" outline="0" showAll="0" defaultSubtotal="0"/>
    <pivotField compact="0" outline="0" showAll="0" defaultSubtotal="0">
      <items count="44">
        <item h="1" x="5"/>
        <item h="1" m="1" x="40"/>
        <item h="1" m="1" x="41"/>
        <item h="1" x="3"/>
        <item h="1" x="10"/>
        <item h="1" m="1" x="31"/>
        <item h="1" x="4"/>
        <item h="1" m="1" x="17"/>
        <item h="1" m="1" x="27"/>
        <item h="1" m="1" x="19"/>
        <item h="1" m="1" x="25"/>
        <item h="1" x="12"/>
        <item h="1" m="1" x="36"/>
        <item h="1" m="1" x="22"/>
        <item x="1"/>
        <item h="1" m="1" x="20"/>
        <item h="1" m="1" x="32"/>
        <item h="1" m="1" x="37"/>
        <item h="1" m="1" x="35"/>
        <item h="1" m="1" x="30"/>
        <item h="1" m="1" x="43"/>
        <item h="1" m="1" x="24"/>
        <item h="1" m="1" x="38"/>
        <item h="1" m="1" x="23"/>
        <item h="1" x="11"/>
        <item h="1" m="1" x="29"/>
        <item h="1" m="1" x="28"/>
        <item h="1" m="1" x="26"/>
        <item h="1" x="6"/>
        <item h="1" x="13"/>
        <item h="1" x="7"/>
        <item h="1" m="1" x="18"/>
        <item h="1" x="8"/>
        <item h="1" x="0"/>
        <item h="1" m="1" x="42"/>
        <item h="1" m="1" x="21"/>
        <item h="1" x="9"/>
        <item h="1" x="15"/>
        <item h="1" x="14"/>
        <item h="1" m="1" x="34"/>
        <item h="1" m="1" x="33"/>
        <item h="1" x="2"/>
        <item h="1" m="1" x="39"/>
        <item h="1" m="1" x="16"/>
      </items>
    </pivotField>
    <pivotField compact="0" outline="0" showAll="0"/>
    <pivotField compact="0" outline="0" showAll="0">
      <items count="7">
        <item h="1" x="0"/>
        <item h="1" m="1" x="4"/>
        <item x="1"/>
        <item h="1" m="1" x="5"/>
        <item h="1" m="1" x="3"/>
        <item h="1" m="1" x="2"/>
        <item t="default"/>
      </items>
    </pivotField>
    <pivotField compact="0" outline="0" showAll="0">
      <items count="42">
        <item m="1" x="17"/>
        <item m="1" x="20"/>
        <item x="1"/>
        <item m="1" x="23"/>
        <item m="1" x="33"/>
        <item m="1" x="29"/>
        <item m="1" x="32"/>
        <item m="1" x="26"/>
        <item m="1" x="12"/>
        <item x="3"/>
        <item x="7"/>
        <item m="1" x="16"/>
        <item m="1" x="35"/>
        <item m="1" x="14"/>
        <item m="1" x="19"/>
        <item x="2"/>
        <item x="5"/>
        <item m="1" x="24"/>
        <item m="1" x="34"/>
        <item m="1" x="11"/>
        <item m="1" x="27"/>
        <item x="9"/>
        <item m="1" x="18"/>
        <item x="6"/>
        <item m="1" x="28"/>
        <item m="1" x="21"/>
        <item m="1" x="25"/>
        <item m="1" x="30"/>
        <item m="1" x="13"/>
        <item m="1" x="15"/>
        <item x="0"/>
        <item m="1" x="31"/>
        <item m="1" x="22"/>
        <item m="1" x="38"/>
        <item x="8"/>
        <item m="1" x="39"/>
        <item x="4"/>
        <item m="1" x="40"/>
        <item m="1" x="37"/>
        <item m="1" x="36"/>
        <item m="1" x="10"/>
        <item t="default"/>
      </items>
    </pivotField>
    <pivotField compact="0" outline="0" showAll="0" defaultSubtotal="0">
      <items count="11">
        <item h="1" m="1" x="4"/>
        <item h="1" m="1" x="9"/>
        <item h="1" m="1" x="8"/>
        <item h="1" m="1" x="6"/>
        <item h="1" m="1" x="3"/>
        <item h="1" m="1" x="2"/>
        <item x="0"/>
        <item h="1" m="1" x="7"/>
        <item h="1" m="1" x="10"/>
        <item h="1" m="1" x="5"/>
        <item h="1" m="1" x="1"/>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defaultSubtotal="0"/>
    <pivotField compact="0" numFmtId="1" outline="0" showAll="0"/>
    <pivotField compact="0" numFmtId="1" outline="0" showAll="0"/>
    <pivotField compact="0" numFmtId="9"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1" outline="0" showAll="0"/>
    <pivotField compact="0" numFmtId="1"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x="1"/>
        <item m="1" x="3"/>
        <item m="1"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3">
    <i>
      <x v="11"/>
    </i>
    <i>
      <x v="12"/>
    </i>
    <i t="grand">
      <x/>
    </i>
  </rowItems>
  <colFields count="1">
    <field x="-2"/>
  </colFields>
  <colItems count="4">
    <i>
      <x/>
    </i>
    <i i="1">
      <x v="1"/>
    </i>
    <i i="2">
      <x v="2"/>
    </i>
    <i i="3">
      <x v="3"/>
    </i>
  </colItems>
  <pageFields count="1">
    <pageField fld="74" hier="-1"/>
  </pageFields>
  <dataFields count="4">
    <dataField name="  Total PoP " fld="9" baseField="0" baseItem="0"/>
    <dataField name="# of People adopt basic personal and community hygiene practices" fld="60" baseField="0" baseItem="0"/>
    <dataField name="# of people access to functioning  sanitation facilities" fld="53" baseField="0" baseItem="0"/>
    <dataField name="# of people Equitable and continuous access to sufficient quantity of domestic water" fld="46" baseField="0" baseItem="0"/>
  </dataFields>
  <chartFormats count="4">
    <chartFormat chart="3" format="5" series="1">
      <pivotArea type="data" outline="0" fieldPosition="0">
        <references count="1">
          <reference field="4294967294" count="1" selected="0">
            <x v="1"/>
          </reference>
        </references>
      </pivotArea>
    </chartFormat>
    <chartFormat chart="3" format="6" series="1">
      <pivotArea type="data" outline="0" fieldPosition="0">
        <references count="1">
          <reference field="4294967294" count="1" selected="0">
            <x v="2"/>
          </reference>
        </references>
      </pivotArea>
    </chartFormat>
    <chartFormat chart="3" format="7" series="1">
      <pivotArea type="data" outline="0" fieldPosition="0">
        <references count="1">
          <reference field="4294967294" count="1" selected="0">
            <x v="3"/>
          </reference>
        </references>
      </pivotArea>
    </chartFormat>
    <chartFormat chart="3"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5000000}" name="PivotTable12" cacheId="6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Y7:AC10" firstHeaderRow="0" firstDataRow="1" firstDataCol="1" rowPageCount="3" colPageCount="1"/>
  <pivotFields count="84">
    <pivotField axis="axisRow" compact="0" outline="0" subtotalTop="0" showAll="0">
      <items count="14">
        <item m="1" x="11"/>
        <item m="1" x="6"/>
        <item m="1" x="2"/>
        <item m="1" x="4"/>
        <item m="1" x="12"/>
        <item m="1" x="3"/>
        <item m="1" x="10"/>
        <item m="1" x="7"/>
        <item m="1" x="8"/>
        <item m="1" x="9"/>
        <item m="1" x="5"/>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m="1" x="4"/>
        <item m="1" x="5"/>
        <item h="1" m="1" x="3"/>
        <item h="1" m="1" x="2"/>
        <item x="0"/>
        <item x="1"/>
        <item t="default"/>
      </items>
    </pivotField>
    <pivotField compact="0" outline="0" subtotalTop="0" showAll="0"/>
    <pivotField axis="axisPage" compact="0" outline="0" multipleItemSelectionAllowed="1" showAll="0" defaultSubtotal="0">
      <items count="11">
        <item h="1" m="1" x="4"/>
        <item h="1" m="1" x="9"/>
        <item m="1" x="8"/>
        <item x="0"/>
        <item h="1" m="1" x="10"/>
        <item m="1" x="3"/>
        <item m="1" x="7"/>
        <item m="1" x="2"/>
        <item h="1" m="1" x="5"/>
        <item h="1" m="1" x="6"/>
        <item h="1" m="1" x="1"/>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3">
    <i>
      <x v="11"/>
    </i>
    <i>
      <x v="12"/>
    </i>
    <i t="grand">
      <x/>
    </i>
  </rowItems>
  <colFields count="1">
    <field x="-2"/>
  </colFields>
  <colItems count="4">
    <i>
      <x/>
    </i>
    <i i="1">
      <x v="1"/>
    </i>
    <i i="2">
      <x v="2"/>
    </i>
    <i i="3">
      <x v="3"/>
    </i>
  </colItems>
  <pageFields count="3">
    <pageField fld="74" item="0" hier="-1"/>
    <pageField fld="4" hier="-1"/>
    <pageField fld="6" hier="-1"/>
  </pageFields>
  <dataFields count="4">
    <dataField name="Total Population reached" fld="9" baseField="2" baseItem="0" numFmtId="3"/>
    <dataField name=" HRP1" fld="46" baseField="0" baseItem="9"/>
    <dataField name=" HRP2" fld="53" baseField="0" baseItem="9"/>
    <dataField name=" HRP3" fld="60" baseField="0" baseItem="9"/>
  </dataFields>
  <formats count="16">
    <format dxfId="384">
      <pivotArea field="4" type="button" dataOnly="0" labelOnly="1" outline="0" axis="axisPage" fieldPosition="1"/>
    </format>
    <format dxfId="383">
      <pivotArea type="all" dataOnly="0" outline="0" fieldPosition="0"/>
    </format>
    <format dxfId="382">
      <pivotArea field="4" type="button" dataOnly="0" labelOnly="1" outline="0" axis="axisPage" fieldPosition="1"/>
    </format>
    <format dxfId="381">
      <pivotArea outline="0" fieldPosition="0">
        <references count="1">
          <reference field="4294967294" count="1">
            <x v="0"/>
          </reference>
        </references>
      </pivotArea>
    </format>
    <format dxfId="380">
      <pivotArea dataOnly="0" labelOnly="1" outline="0" fieldPosition="0">
        <references count="1">
          <reference field="4294967294" count="1">
            <x v="0"/>
          </reference>
        </references>
      </pivotArea>
    </format>
    <format dxfId="379">
      <pivotArea type="all" dataOnly="0" outline="0" fieldPosition="0"/>
    </format>
    <format dxfId="378">
      <pivotArea outline="0" collapsedLevelsAreSubtotals="1" fieldPosition="0"/>
    </format>
    <format dxfId="377">
      <pivotArea dataOnly="0" labelOnly="1" fieldPosition="0">
        <references count="1">
          <reference field="4" count="0"/>
        </references>
      </pivotArea>
    </format>
    <format dxfId="376">
      <pivotArea dataOnly="0" labelOnly="1" grandRow="1" outline="0" fieldPosition="0"/>
    </format>
    <format dxfId="375">
      <pivotArea dataOnly="0" labelOnly="1" outline="0" fieldPosition="0">
        <references count="1">
          <reference field="4294967294" count="1">
            <x v="0"/>
          </reference>
        </references>
      </pivotArea>
    </format>
    <format dxfId="374">
      <pivotArea type="all" dataOnly="0" outline="0" fieldPosition="0"/>
    </format>
    <format dxfId="373">
      <pivotArea outline="0" collapsedLevelsAreSubtotals="1" fieldPosition="0"/>
    </format>
    <format dxfId="372">
      <pivotArea dataOnly="0" labelOnly="1" fieldPosition="0">
        <references count="1">
          <reference field="4" count="0"/>
        </references>
      </pivotArea>
    </format>
    <format dxfId="371">
      <pivotArea dataOnly="0" labelOnly="1" grandRow="1" outline="0" fieldPosition="0"/>
    </format>
    <format dxfId="370">
      <pivotArea dataOnly="0" labelOnly="1" outline="0" fieldPosition="0">
        <references count="1">
          <reference field="4294967294" count="1">
            <x v="0"/>
          </reference>
        </references>
      </pivotArea>
    </format>
    <format dxfId="369">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1" cacheId="6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S7:W8" firstHeaderRow="0" firstDataRow="1" firstDataCol="1" rowPageCount="3" colPageCount="1"/>
  <pivotFields count="84">
    <pivotField axis="axisRow" compact="0" outline="0" subtotalTop="0" showAll="0">
      <items count="14">
        <item m="1" x="11"/>
        <item m="1" x="6"/>
        <item m="1" x="2"/>
        <item m="1" x="4"/>
        <item m="1" x="12"/>
        <item m="1" x="3"/>
        <item m="1" x="10"/>
        <item m="1" x="7"/>
        <item m="1" x="8"/>
        <item m="1" x="9"/>
        <item m="1" x="5"/>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m="1" x="4"/>
        <item m="1" x="5"/>
        <item h="1" m="1" x="3"/>
        <item h="1" m="1" x="2"/>
        <item x="0"/>
        <item x="1"/>
        <item t="default"/>
      </items>
    </pivotField>
    <pivotField compact="0" outline="0" subtotalTop="0" showAll="0"/>
    <pivotField axis="axisPage" compact="0" outline="0" multipleItemSelectionAllowed="1" showAll="0" defaultSubtotal="0">
      <items count="11">
        <item m="1" x="4"/>
        <item m="1" x="9"/>
        <item m="1" x="8"/>
        <item h="1" x="0"/>
        <item h="1" m="1" x="10"/>
        <item h="1" m="1" x="3"/>
        <item h="1" m="1" x="7"/>
        <item h="1" m="1" x="2"/>
        <item h="1" m="1" x="5"/>
        <item h="1" m="1" x="6"/>
        <item h="1" m="1" x="1"/>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
    <i t="grand">
      <x/>
    </i>
  </rowItems>
  <colFields count="1">
    <field x="-2"/>
  </colFields>
  <colItems count="4">
    <i>
      <x/>
    </i>
    <i i="1">
      <x v="1"/>
    </i>
    <i i="2">
      <x v="2"/>
    </i>
    <i i="3">
      <x v="3"/>
    </i>
  </colItems>
  <pageFields count="3">
    <pageField fld="74" item="0" hier="-1"/>
    <pageField fld="4" hier="-1"/>
    <pageField fld="6" hier="-1"/>
  </pageFields>
  <dataFields count="4">
    <dataField name="Total Population reached" fld="9" baseField="2" baseItem="0" numFmtId="3"/>
    <dataField name=" HRP1" fld="46" baseField="0" baseItem="9"/>
    <dataField name=" HRP2" fld="53" baseField="0" baseItem="9"/>
    <dataField name=" HRP3" fld="60" baseField="0" baseItem="9"/>
  </dataFields>
  <formats count="16">
    <format dxfId="400">
      <pivotArea field="4" type="button" dataOnly="0" labelOnly="1" outline="0" axis="axisPage" fieldPosition="1"/>
    </format>
    <format dxfId="399">
      <pivotArea type="all" dataOnly="0" outline="0" fieldPosition="0"/>
    </format>
    <format dxfId="398">
      <pivotArea field="4" type="button" dataOnly="0" labelOnly="1" outline="0" axis="axisPage" fieldPosition="1"/>
    </format>
    <format dxfId="397">
      <pivotArea outline="0" fieldPosition="0">
        <references count="1">
          <reference field="4294967294" count="1">
            <x v="0"/>
          </reference>
        </references>
      </pivotArea>
    </format>
    <format dxfId="396">
      <pivotArea dataOnly="0" labelOnly="1" outline="0" fieldPosition="0">
        <references count="1">
          <reference field="4294967294" count="1">
            <x v="0"/>
          </reference>
        </references>
      </pivotArea>
    </format>
    <format dxfId="395">
      <pivotArea type="all" dataOnly="0" outline="0" fieldPosition="0"/>
    </format>
    <format dxfId="394">
      <pivotArea outline="0" collapsedLevelsAreSubtotals="1" fieldPosition="0"/>
    </format>
    <format dxfId="393">
      <pivotArea dataOnly="0" labelOnly="1" fieldPosition="0">
        <references count="1">
          <reference field="4" count="0"/>
        </references>
      </pivotArea>
    </format>
    <format dxfId="392">
      <pivotArea dataOnly="0" labelOnly="1" grandRow="1" outline="0" fieldPosition="0"/>
    </format>
    <format dxfId="391">
      <pivotArea dataOnly="0" labelOnly="1" outline="0" fieldPosition="0">
        <references count="1">
          <reference field="4294967294" count="1">
            <x v="0"/>
          </reference>
        </references>
      </pivotArea>
    </format>
    <format dxfId="390">
      <pivotArea type="all" dataOnly="0" outline="0" fieldPosition="0"/>
    </format>
    <format dxfId="389">
      <pivotArea outline="0" collapsedLevelsAreSubtotals="1" fieldPosition="0"/>
    </format>
    <format dxfId="388">
      <pivotArea dataOnly="0" labelOnly="1" fieldPosition="0">
        <references count="1">
          <reference field="4" count="0"/>
        </references>
      </pivotArea>
    </format>
    <format dxfId="387">
      <pivotArea dataOnly="0" labelOnly="1" grandRow="1" outline="0" fieldPosition="0"/>
    </format>
    <format dxfId="386">
      <pivotArea dataOnly="0" labelOnly="1" outline="0" fieldPosition="0">
        <references count="1">
          <reference field="4294967294" count="1">
            <x v="0"/>
          </reference>
        </references>
      </pivotArea>
    </format>
    <format dxfId="385">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700-000003000000}" name="PivotTable10" cacheId="6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B79:C81" firstHeaderRow="0" firstDataRow="0" firstDataCol="1" rowPageCount="4" colPageCount="1"/>
  <pivotFields count="84">
    <pivotField axis="axisPage" subtotalTop="0" showAll="0">
      <items count="14">
        <item m="1" x="11"/>
        <item m="1" x="6"/>
        <item m="1" x="2"/>
        <item m="1" x="4"/>
        <item m="1" x="12"/>
        <item m="1" x="3"/>
        <item m="1" x="10"/>
        <item m="1" x="7"/>
        <item m="1" x="8"/>
        <item m="1" x="9"/>
        <item m="1" x="5"/>
        <item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subtotalTop="0" showAll="0"/>
    <pivotField axis="axisPage" multipleItemSelectionAllowed="1" showAll="0" defaultSubtotal="0">
      <items count="11">
        <item h="1" m="1" x="4"/>
        <item h="1" m="1" x="9"/>
        <item m="1" x="8"/>
        <item x="0"/>
        <item h="1" m="1" x="10"/>
        <item h="1" m="1" x="3"/>
        <item m="1" x="7"/>
        <item m="1" x="2"/>
        <item h="1" m="1" x="5"/>
        <item h="1" m="1" x="6"/>
        <item h="1" m="1" x="1"/>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9" showAll="0"/>
    <pivotField dataField="1" numFmtId="1" showAll="0" defaultSubtotal="0"/>
    <pivotField showAll="0" defaultSubtotal="0"/>
    <pivotField subtotalTop="0" showAll="0"/>
    <pivotField subtotalTop="0" showAll="0"/>
    <pivotField subtotalTop="0" showAll="0"/>
    <pivotField numFmtId="1" showAll="0"/>
    <pivotField numFmtId="1" showAll="0"/>
    <pivotField dataField="1" numFmtId="1" showAll="0" defaultSubtotal="0"/>
    <pivotField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4">
    <pageField fld="0" item="12" hier="-1"/>
    <pageField fld="74" item="0" hier="-1"/>
    <pageField fld="4" hier="-1"/>
    <pageField fld="6" hier="-1"/>
  </pageFields>
  <dataFields count="3">
    <dataField name=" HRP1" fld="46" baseField="0" baseItem="0"/>
    <dataField name=" HRP2" fld="53" baseField="0" baseItem="0"/>
    <dataField name=" HRP3" fld="60" baseField="0" baseItem="0"/>
  </dataFields>
  <formats count="16">
    <format dxfId="416">
      <pivotArea field="4" type="button" dataOnly="0" labelOnly="1" outline="0" axis="axisPage" fieldPosition="2"/>
    </format>
    <format dxfId="415">
      <pivotArea type="all" dataOnly="0" outline="0" fieldPosition="0"/>
    </format>
    <format dxfId="414">
      <pivotArea field="4" type="button" dataOnly="0" labelOnly="1" outline="0" axis="axisPage" fieldPosition="2"/>
    </format>
    <format dxfId="413">
      <pivotArea type="all" dataOnly="0" outline="0" fieldPosition="0"/>
    </format>
    <format dxfId="412">
      <pivotArea outline="0" collapsedLevelsAreSubtotals="1" fieldPosition="0"/>
    </format>
    <format dxfId="411">
      <pivotArea dataOnly="0" labelOnly="1" grandRow="1" outline="0" fieldPosition="0"/>
    </format>
    <format dxfId="410">
      <pivotArea type="all" dataOnly="0" outline="0" fieldPosition="0"/>
    </format>
    <format dxfId="409">
      <pivotArea outline="0" collapsedLevelsAreSubtotals="1" fieldPosition="0"/>
    </format>
    <format dxfId="408">
      <pivotArea dataOnly="0" labelOnly="1" grandRow="1" outline="0" fieldPosition="0"/>
    </format>
    <format dxfId="407">
      <pivotArea dataOnly="0" labelOnly="1" outline="0" fieldPosition="0">
        <references count="1">
          <reference field="4294967294" count="1">
            <x v="0"/>
          </reference>
        </references>
      </pivotArea>
    </format>
    <format dxfId="406">
      <pivotArea dataOnly="0" labelOnly="1" outline="0" fieldPosition="0">
        <references count="1">
          <reference field="4294967294" count="1">
            <x v="2"/>
          </reference>
        </references>
      </pivotArea>
    </format>
    <format dxfId="405">
      <pivotArea dataOnly="0" labelOnly="1" outline="0" fieldPosition="0">
        <references count="1">
          <reference field="4294967294" count="1">
            <x v="0"/>
          </reference>
        </references>
      </pivotArea>
    </format>
    <format dxfId="404">
      <pivotArea collapsedLevelsAreSubtotals="1" fieldPosition="0">
        <references count="1">
          <reference field="4294967294" count="1">
            <x v="1"/>
          </reference>
        </references>
      </pivotArea>
    </format>
    <format dxfId="403">
      <pivotArea dataOnly="0" labelOnly="1" outline="0" fieldPosition="0">
        <references count="1">
          <reference field="4294967294" count="1">
            <x v="1"/>
          </reference>
        </references>
      </pivotArea>
    </format>
    <format dxfId="402">
      <pivotArea fieldPosition="0">
        <references count="1">
          <reference field="4294967294" count="1">
            <x v="0"/>
          </reference>
        </references>
      </pivotArea>
    </format>
    <format dxfId="401">
      <pivotArea collapsedLevelsAreSubtotals="1" fieldPosition="0">
        <references count="1">
          <reference field="4294967294" count="1">
            <x v="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700-00000D000000}" name="PivotTable9" cacheId="6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M7:Q10" firstHeaderRow="0" firstDataRow="1" firstDataCol="1" rowPageCount="3" colPageCount="1"/>
  <pivotFields count="84">
    <pivotField axis="axisRow" compact="0" outline="0" subtotalTop="0" showAll="0">
      <items count="14">
        <item m="1" x="11"/>
        <item m="1" x="6"/>
        <item m="1" x="2"/>
        <item m="1" x="4"/>
        <item m="1" x="12"/>
        <item m="1" x="3"/>
        <item m="1" x="10"/>
        <item m="1" x="7"/>
        <item m="1" x="8"/>
        <item m="1" x="9"/>
        <item m="1" x="5"/>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m="1" x="4"/>
        <item m="1" x="5"/>
        <item h="1" m="1" x="3"/>
        <item h="1" m="1" x="2"/>
        <item x="0"/>
        <item x="1"/>
        <item t="default"/>
      </items>
    </pivotField>
    <pivotField compact="0" outline="0" subtotalTop="0" showAll="0"/>
    <pivotField axis="axisPage" compact="0" outline="0" multipleItemSelectionAllowed="1" showAll="0" defaultSubtotal="0">
      <items count="11">
        <item m="1" x="4"/>
        <item m="1" x="9"/>
        <item m="1" x="8"/>
        <item x="0"/>
        <item h="1" m="1" x="10"/>
        <item h="1" m="1" x="3"/>
        <item m="1" x="7"/>
        <item m="1" x="2"/>
        <item h="1" m="1" x="5"/>
        <item h="1" m="1" x="6"/>
        <item h="1" m="1" x="1"/>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3">
    <i>
      <x v="11"/>
    </i>
    <i>
      <x v="12"/>
    </i>
    <i t="grand">
      <x/>
    </i>
  </rowItems>
  <colFields count="1">
    <field x="-2"/>
  </colFields>
  <colItems count="4">
    <i>
      <x/>
    </i>
    <i i="1">
      <x v="1"/>
    </i>
    <i i="2">
      <x v="2"/>
    </i>
    <i i="3">
      <x v="3"/>
    </i>
  </colItems>
  <pageFields count="3">
    <pageField fld="74" item="0" hier="-1"/>
    <pageField fld="4" hier="-1"/>
    <pageField fld="6" hier="-1"/>
  </pageFields>
  <dataFields count="4">
    <dataField name="Total Population reached" fld="9" baseField="2" baseItem="0" numFmtId="3"/>
    <dataField name=" HRP1" fld="46" baseField="0" baseItem="9"/>
    <dataField name=" HRP2" fld="53" baseField="0" baseItem="9"/>
    <dataField name=" HRP3" fld="60" baseField="0" baseItem="9"/>
  </dataFields>
  <formats count="17">
    <format dxfId="433">
      <pivotArea field="4" type="button" dataOnly="0" labelOnly="1" outline="0" axis="axisPage" fieldPosition="1"/>
    </format>
    <format dxfId="432">
      <pivotArea type="all" dataOnly="0" outline="0" fieldPosition="0"/>
    </format>
    <format dxfId="431">
      <pivotArea field="4" type="button" dataOnly="0" labelOnly="1" outline="0" axis="axisPage" fieldPosition="1"/>
    </format>
    <format dxfId="430">
      <pivotArea outline="0" fieldPosition="0">
        <references count="1">
          <reference field="4294967294" count="1">
            <x v="0"/>
          </reference>
        </references>
      </pivotArea>
    </format>
    <format dxfId="429">
      <pivotArea dataOnly="0" labelOnly="1" outline="0" fieldPosition="0">
        <references count="1">
          <reference field="4294967294" count="1">
            <x v="0"/>
          </reference>
        </references>
      </pivotArea>
    </format>
    <format dxfId="428">
      <pivotArea type="all" dataOnly="0" outline="0" fieldPosition="0"/>
    </format>
    <format dxfId="427">
      <pivotArea outline="0" collapsedLevelsAreSubtotals="1" fieldPosition="0"/>
    </format>
    <format dxfId="426">
      <pivotArea dataOnly="0" labelOnly="1" fieldPosition="0">
        <references count="1">
          <reference field="4" count="0"/>
        </references>
      </pivotArea>
    </format>
    <format dxfId="425">
      <pivotArea dataOnly="0" labelOnly="1" grandRow="1" outline="0" fieldPosition="0"/>
    </format>
    <format dxfId="424">
      <pivotArea dataOnly="0" labelOnly="1" outline="0" fieldPosition="0">
        <references count="1">
          <reference field="4294967294" count="1">
            <x v="0"/>
          </reference>
        </references>
      </pivotArea>
    </format>
    <format dxfId="423">
      <pivotArea type="all" dataOnly="0" outline="0" fieldPosition="0"/>
    </format>
    <format dxfId="422">
      <pivotArea outline="0" collapsedLevelsAreSubtotals="1" fieldPosition="0"/>
    </format>
    <format dxfId="421">
      <pivotArea dataOnly="0" labelOnly="1" fieldPosition="0">
        <references count="1">
          <reference field="4" count="0"/>
        </references>
      </pivotArea>
    </format>
    <format dxfId="420">
      <pivotArea dataOnly="0" labelOnly="1" grandRow="1" outline="0" fieldPosition="0"/>
    </format>
    <format dxfId="419">
      <pivotArea dataOnly="0" labelOnly="1" outline="0" fieldPosition="0">
        <references count="1">
          <reference field="4294967294" count="1">
            <x v="0"/>
          </reference>
        </references>
      </pivotArea>
    </format>
    <format dxfId="418">
      <pivotArea dataOnly="0" labelOnly="1" outline="0" fieldPosition="0">
        <references count="1">
          <reference field="4294967294" count="1">
            <x v="1"/>
          </reference>
        </references>
      </pivotArea>
    </format>
    <format dxfId="417">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53205A5-E92E-460D-8B6D-42700C55E7F7}" name="PivotTable13" cacheId="6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AE7:AI8" firstHeaderRow="0" firstDataRow="1" firstDataCol="1" rowPageCount="3" colPageCount="1"/>
  <pivotFields count="84">
    <pivotField axis="axisRow" compact="0" outline="0" subtotalTop="0" showAll="0">
      <items count="14">
        <item m="1" x="11"/>
        <item m="1" x="6"/>
        <item m="1" x="2"/>
        <item m="1" x="4"/>
        <item m="1" x="12"/>
        <item m="1" x="3"/>
        <item m="1" x="10"/>
        <item m="1" x="7"/>
        <item m="1" x="8"/>
        <item m="1" x="9"/>
        <item m="1" x="5"/>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m="1" x="4"/>
        <item m="1" x="5"/>
        <item h="1" m="1" x="3"/>
        <item h="1" m="1" x="2"/>
        <item x="0"/>
        <item x="1"/>
        <item t="default"/>
      </items>
    </pivotField>
    <pivotField compact="0" outline="0" subtotalTop="0" showAll="0"/>
    <pivotField axis="axisPage" compact="0" outline="0" multipleItemSelectionAllowed="1" showAll="0" defaultSubtotal="0">
      <items count="11">
        <item h="1" m="1" x="4"/>
        <item h="1" m="1" x="9"/>
        <item m="1" x="8"/>
        <item h="1" x="0"/>
        <item h="1" m="1" x="10"/>
        <item m="1" x="3"/>
        <item m="1" x="7"/>
        <item m="1" x="2"/>
        <item h="1" m="1" x="5"/>
        <item h="1" m="1" x="6"/>
        <item h="1" m="1" x="1"/>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
    <i t="grand">
      <x/>
    </i>
  </rowItems>
  <colFields count="1">
    <field x="-2"/>
  </colFields>
  <colItems count="4">
    <i>
      <x/>
    </i>
    <i i="1">
      <x v="1"/>
    </i>
    <i i="2">
      <x v="2"/>
    </i>
    <i i="3">
      <x v="3"/>
    </i>
  </colItems>
  <pageFields count="3">
    <pageField fld="74" item="0" hier="-1"/>
    <pageField fld="4" hier="-1"/>
    <pageField fld="6" hier="-1"/>
  </pageFields>
  <dataFields count="4">
    <dataField name="Total Population reached" fld="9" baseField="2" baseItem="0" numFmtId="3"/>
    <dataField name=" HRP1" fld="46" baseField="0" baseItem="9"/>
    <dataField name=" HRP2" fld="53" baseField="0" baseItem="9"/>
    <dataField name=" HRP3" fld="60" baseField="0" baseItem="9"/>
  </dataFields>
  <formats count="16">
    <format dxfId="449">
      <pivotArea field="4" type="button" dataOnly="0" labelOnly="1" outline="0" axis="axisPage" fieldPosition="1"/>
    </format>
    <format dxfId="448">
      <pivotArea type="all" dataOnly="0" outline="0" fieldPosition="0"/>
    </format>
    <format dxfId="447">
      <pivotArea field="4" type="button" dataOnly="0" labelOnly="1" outline="0" axis="axisPage" fieldPosition="1"/>
    </format>
    <format dxfId="446">
      <pivotArea outline="0" fieldPosition="0">
        <references count="1">
          <reference field="4294967294" count="1">
            <x v="0"/>
          </reference>
        </references>
      </pivotArea>
    </format>
    <format dxfId="445">
      <pivotArea dataOnly="0" labelOnly="1" outline="0" fieldPosition="0">
        <references count="1">
          <reference field="4294967294" count="1">
            <x v="0"/>
          </reference>
        </references>
      </pivotArea>
    </format>
    <format dxfId="444">
      <pivotArea type="all" dataOnly="0" outline="0" fieldPosition="0"/>
    </format>
    <format dxfId="443">
      <pivotArea outline="0" collapsedLevelsAreSubtotals="1" fieldPosition="0"/>
    </format>
    <format dxfId="442">
      <pivotArea dataOnly="0" labelOnly="1" fieldPosition="0">
        <references count="1">
          <reference field="4" count="0"/>
        </references>
      </pivotArea>
    </format>
    <format dxfId="441">
      <pivotArea dataOnly="0" labelOnly="1" grandRow="1" outline="0" fieldPosition="0"/>
    </format>
    <format dxfId="440">
      <pivotArea dataOnly="0" labelOnly="1" outline="0" fieldPosition="0">
        <references count="1">
          <reference field="4294967294" count="1">
            <x v="0"/>
          </reference>
        </references>
      </pivotArea>
    </format>
    <format dxfId="439">
      <pivotArea type="all" dataOnly="0" outline="0" fieldPosition="0"/>
    </format>
    <format dxfId="438">
      <pivotArea outline="0" collapsedLevelsAreSubtotals="1" fieldPosition="0"/>
    </format>
    <format dxfId="437">
      <pivotArea dataOnly="0" labelOnly="1" fieldPosition="0">
        <references count="1">
          <reference field="4" count="0"/>
        </references>
      </pivotArea>
    </format>
    <format dxfId="436">
      <pivotArea dataOnly="0" labelOnly="1" grandRow="1" outline="0" fieldPosition="0"/>
    </format>
    <format dxfId="435">
      <pivotArea dataOnly="0" labelOnly="1" outline="0" fieldPosition="0">
        <references count="1">
          <reference field="4294967294" count="1">
            <x v="0"/>
          </reference>
        </references>
      </pivotArea>
    </format>
    <format dxfId="434">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F315799-61F1-4D5F-97DF-F99E196AC441}" name="PivotTable19" cacheId="60"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rowHeaderCaption="Township">
  <location ref="A7:C24" firstHeaderRow="1" firstDataRow="1" firstDataCol="3" rowPageCount="4" colPageCount="1"/>
  <pivotFields count="84">
    <pivotField axis="axisPage" compact="0" outline="0" subtotalTop="0" multipleItemSelectionAllowed="1" showAll="0" defaultSubtotal="0">
      <items count="13">
        <item m="1" x="11"/>
        <item m="1" x="4"/>
        <item h="1" m="1" x="6"/>
        <item m="1" x="2"/>
        <item m="1" x="12"/>
        <item m="1" x="3"/>
        <item m="1" x="10"/>
        <item h="1" m="1" x="7"/>
        <item h="1" m="1" x="8"/>
        <item m="1" x="9"/>
        <item m="1" x="5"/>
        <item x="0"/>
        <item h="1" x="1"/>
      </items>
      <extLst>
        <ext xmlns:x14="http://schemas.microsoft.com/office/spreadsheetml/2009/9/main" uri="{2946ED86-A175-432a-8AC1-64E0C546D7DE}">
          <x14:pivotField fillDownLabels="1"/>
        </ext>
      </extLst>
    </pivotField>
    <pivotField axis="axisRow" compact="0" outline="0" showAll="0" defaultSubtotal="0">
      <items count="46">
        <item x="5"/>
        <item m="1" x="41"/>
        <item m="1" x="42"/>
        <item x="3"/>
        <item x="10"/>
        <item m="1" x="34"/>
        <item x="4"/>
        <item m="1" x="19"/>
        <item m="1" x="30"/>
        <item m="1" x="21"/>
        <item m="1" x="28"/>
        <item x="12"/>
        <item m="1" x="37"/>
        <item m="1" x="24"/>
        <item m="1" x="22"/>
        <item m="1" x="38"/>
        <item m="1" x="36"/>
        <item m="1" x="33"/>
        <item m="1" x="27"/>
        <item m="1" x="40"/>
        <item m="1" x="26"/>
        <item m="1" x="25"/>
        <item m="1" x="43"/>
        <item x="11"/>
        <item m="1" x="32"/>
        <item m="1" x="31"/>
        <item m="1" x="29"/>
        <item x="6"/>
        <item x="14"/>
        <item x="7"/>
        <item m="1" x="44"/>
        <item m="1" x="20"/>
        <item x="1"/>
        <item x="8"/>
        <item x="0"/>
        <item m="1" x="45"/>
        <item m="1" x="23"/>
        <item x="9"/>
        <item x="2"/>
        <item m="1" x="35"/>
        <item m="1" x="39"/>
        <item x="13"/>
        <item m="1" x="18"/>
        <item x="15"/>
        <item x="16"/>
        <item x="17"/>
      </items>
      <extLst>
        <ext xmlns:x14="http://schemas.microsoft.com/office/spreadsheetml/2009/9/main" uri="{2946ED86-A175-432a-8AC1-64E0C546D7DE}">
          <x14:pivotField fillDownLabels="1"/>
        </ext>
      </extLst>
    </pivotField>
    <pivotField axis="axisRow" compact="0" outline="0" showAll="0" defaultSubtotal="0">
      <items count="44">
        <item x="5"/>
        <item x="3"/>
        <item x="10"/>
        <item m="1" x="31"/>
        <item x="4"/>
        <item m="1" x="17"/>
        <item m="1" x="27"/>
        <item m="1" x="19"/>
        <item m="1" x="25"/>
        <item x="12"/>
        <item m="1" x="36"/>
        <item m="1" x="22"/>
        <item x="1"/>
        <item m="1" x="20"/>
        <item x="11"/>
        <item x="6"/>
        <item x="7"/>
        <item m="1" x="18"/>
        <item x="8"/>
        <item x="0"/>
        <item m="1" x="42"/>
        <item m="1" x="21"/>
        <item x="9"/>
        <item x="15"/>
        <item x="2"/>
        <item m="1" x="39"/>
        <item m="1" x="33"/>
        <item m="1" x="38"/>
        <item m="1" x="43"/>
        <item m="1" x="23"/>
        <item m="1" x="29"/>
        <item m="1" x="40"/>
        <item m="1" x="35"/>
        <item m="1" x="37"/>
        <item m="1" x="24"/>
        <item m="1" x="16"/>
        <item m="1" x="30"/>
        <item m="1" x="32"/>
        <item m="1" x="34"/>
        <item m="1" x="41"/>
        <item m="1" x="26"/>
        <item m="1" x="28"/>
        <item x="13"/>
        <item x="1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6">
        <item h="1" m="1" x="4"/>
        <item h="1" m="1" x="5"/>
        <item h="1" m="1" x="3"/>
        <item h="1" m="1" x="2"/>
        <item x="0"/>
        <item x="1"/>
      </items>
      <extLst>
        <ext xmlns:x14="http://schemas.microsoft.com/office/spreadsheetml/2009/9/main" uri="{2946ED86-A175-432a-8AC1-64E0C546D7DE}">
          <x14:pivotField fillDownLabels="1"/>
        </ext>
      </extLst>
    </pivotField>
    <pivotField axis="axisRow" compact="0" outline="0" subtotalTop="0" showAll="0" sortType="ascending" defaultSubtotal="0">
      <items count="41">
        <item m="1" x="17"/>
        <item m="1" x="20"/>
        <item x="1"/>
        <item m="1" x="23"/>
        <item m="1" x="33"/>
        <item m="1" x="29"/>
        <item m="1" x="32"/>
        <item m="1" x="26"/>
        <item m="1" x="12"/>
        <item x="3"/>
        <item x="7"/>
        <item m="1" x="16"/>
        <item m="1" x="35"/>
        <item m="1" x="14"/>
        <item m="1" x="19"/>
        <item x="2"/>
        <item x="5"/>
        <item m="1" x="24"/>
        <item m="1" x="34"/>
        <item m="1" x="11"/>
        <item m="1" x="27"/>
        <item x="9"/>
        <item m="1" x="18"/>
        <item x="6"/>
        <item m="1" x="28"/>
        <item m="1" x="21"/>
        <item m="1" x="25"/>
        <item m="1" x="30"/>
        <item m="1" x="13"/>
        <item m="1" x="15"/>
        <item x="0"/>
        <item m="1" x="31"/>
        <item m="1" x="22"/>
        <item m="1" x="38"/>
        <item x="8"/>
        <item m="1" x="39"/>
        <item x="4"/>
        <item m="1" x="40"/>
        <item m="1" x="37"/>
        <item m="1" x="36"/>
        <item m="1" x="10"/>
      </items>
      <extLst>
        <ext xmlns:x14="http://schemas.microsoft.com/office/spreadsheetml/2009/9/main" uri="{2946ED86-A175-432a-8AC1-64E0C546D7DE}">
          <x14:pivotField fillDownLabels="1"/>
        </ext>
      </extLst>
    </pivotField>
    <pivotField axis="axisPage" compact="0" outline="0" multipleItemSelectionAllowed="1" showAll="0" defaultSubtotal="0">
      <items count="11">
        <item h="1" m="1" x="4"/>
        <item h="1" m="1" x="9"/>
        <item m="1" x="8"/>
        <item m="1" x="3"/>
        <item h="1" m="1" x="2"/>
        <item x="0"/>
        <item h="1" m="1" x="7"/>
        <item h="1" m="1" x="10"/>
        <item m="1" x="5"/>
        <item m="1" x="6"/>
        <item h="1" m="1"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showAll="0" defaultSubtotal="0">
      <items count="4">
        <item x="0"/>
        <item x="1"/>
        <item m="1" x="3"/>
        <item m="1"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5"/>
    <field x="1"/>
    <field x="2"/>
  </rowFields>
  <rowItems count="17">
    <i>
      <x v="2"/>
      <x v="32"/>
      <x v="12"/>
    </i>
    <i r="1">
      <x v="38"/>
      <x v="24"/>
    </i>
    <i r="1">
      <x v="41"/>
      <x v="12"/>
    </i>
    <i>
      <x v="9"/>
      <x v="3"/>
      <x v="1"/>
    </i>
    <i>
      <x v="10"/>
      <x v="4"/>
      <x v="2"/>
    </i>
    <i>
      <x v="15"/>
      <x v="11"/>
      <x v="9"/>
    </i>
    <i r="1">
      <x v="32"/>
      <x v="12"/>
    </i>
    <i r="1">
      <x v="38"/>
      <x v="24"/>
    </i>
    <i r="1">
      <x v="41"/>
      <x v="12"/>
    </i>
    <i>
      <x v="16"/>
      <x/>
      <x/>
    </i>
    <i>
      <x v="23"/>
      <x v="33"/>
      <x v="18"/>
    </i>
    <i>
      <x v="30"/>
      <x v="6"/>
      <x v="4"/>
    </i>
    <i r="1">
      <x v="34"/>
      <x v="19"/>
    </i>
    <i r="1">
      <x v="37"/>
      <x v="22"/>
    </i>
    <i>
      <x v="36"/>
      <x/>
      <x/>
    </i>
    <i r="1">
      <x v="27"/>
      <x v="15"/>
    </i>
    <i r="1">
      <x v="29"/>
      <x v="16"/>
    </i>
  </rowItems>
  <colItems count="1">
    <i/>
  </colItems>
  <pageFields count="4">
    <pageField fld="0" hier="-1"/>
    <pageField fld="74" item="0" hier="-1"/>
    <pageField fld="6" hier="-1"/>
    <pageField fld="4" hier="-1"/>
  </pageFields>
  <formats count="28">
    <format dxfId="326">
      <pivotArea type="all" dataOnly="0" outline="0" fieldPosition="0"/>
    </format>
    <format dxfId="325">
      <pivotArea outline="0" collapsedLevelsAreSubtotals="1" fieldPosition="0"/>
    </format>
    <format dxfId="324">
      <pivotArea field="5" type="button" dataOnly="0" labelOnly="1" outline="0" axis="axisRow" fieldPosition="0"/>
    </format>
    <format dxfId="323">
      <pivotArea dataOnly="0" labelOnly="1" outline="0" axis="axisValues" fieldPosition="0"/>
    </format>
    <format dxfId="322">
      <pivotArea dataOnly="0" labelOnly="1" fieldPosition="0">
        <references count="1">
          <reference field="5" count="0"/>
        </references>
      </pivotArea>
    </format>
    <format dxfId="321">
      <pivotArea dataOnly="0" labelOnly="1" grandRow="1" outline="0" fieldPosition="0"/>
    </format>
    <format dxfId="320">
      <pivotArea dataOnly="0" labelOnly="1" outline="0" axis="axisValues" fieldPosition="0"/>
    </format>
    <format dxfId="319">
      <pivotArea type="all" dataOnly="0" outline="0" fieldPosition="0"/>
    </format>
    <format dxfId="318">
      <pivotArea field="5" type="button" dataOnly="0" labelOnly="1" outline="0" axis="axisRow" fieldPosition="0"/>
    </format>
    <format dxfId="317">
      <pivotArea dataOnly="0" labelOnly="1" outline="0" axis="axisValues" fieldPosition="0"/>
    </format>
    <format dxfId="316">
      <pivotArea dataOnly="0" labelOnly="1" fieldPosition="0">
        <references count="1">
          <reference field="5" count="0"/>
        </references>
      </pivotArea>
    </format>
    <format dxfId="315">
      <pivotArea dataOnly="0" labelOnly="1" outline="0" axis="axisValues" fieldPosition="0"/>
    </format>
    <format dxfId="314">
      <pivotArea field="5" type="button" dataOnly="0" labelOnly="1" outline="0" axis="axisRow" fieldPosition="0"/>
    </format>
    <format dxfId="313">
      <pivotArea type="all" dataOnly="0" outline="0" fieldPosition="0"/>
    </format>
    <format dxfId="312">
      <pivotArea field="5" type="button" dataOnly="0" labelOnly="1" outline="0" axis="axisRow" fieldPosition="0"/>
    </format>
    <format dxfId="311">
      <pivotArea dataOnly="0" labelOnly="1" fieldPosition="0">
        <references count="1">
          <reference field="5" count="0"/>
        </references>
      </pivotArea>
    </format>
    <format dxfId="310">
      <pivotArea type="all" dataOnly="0" outline="0" fieldPosition="0"/>
    </format>
    <format dxfId="309">
      <pivotArea outline="0" collapsedLevelsAreSubtotals="1" fieldPosition="0"/>
    </format>
    <format dxfId="308">
      <pivotArea field="5" type="button" dataOnly="0" labelOnly="1" outline="0" axis="axisRow" fieldPosition="0"/>
    </format>
    <format dxfId="307">
      <pivotArea dataOnly="0" labelOnly="1" fieldPosition="0">
        <references count="1">
          <reference field="5" count="0"/>
        </references>
      </pivotArea>
    </format>
    <format dxfId="306">
      <pivotArea field="5" type="button" dataOnly="0" labelOnly="1" outline="0" axis="axisRow" fieldPosition="0"/>
    </format>
    <format dxfId="305">
      <pivotArea type="all" dataOnly="0" outline="0" fieldPosition="0"/>
    </format>
    <format dxfId="304">
      <pivotArea outline="0" collapsedLevelsAreSubtotals="1" fieldPosition="0"/>
    </format>
    <format dxfId="303">
      <pivotArea field="5" type="button" dataOnly="0" labelOnly="1" outline="0" axis="axisRow" fieldPosition="0"/>
    </format>
    <format dxfId="302">
      <pivotArea dataOnly="0" labelOnly="1" fieldPosition="0">
        <references count="1">
          <reference field="5" count="13">
            <x v="1"/>
            <x v="4"/>
            <x v="5"/>
            <x v="13"/>
            <x v="17"/>
            <x v="18"/>
            <x v="20"/>
            <x v="24"/>
            <x v="32"/>
            <x v="35"/>
            <x v="37"/>
            <x v="38"/>
            <x v="39"/>
          </reference>
        </references>
      </pivotArea>
    </format>
    <format dxfId="301">
      <pivotArea dataOnly="0" labelOnly="1" grandRow="1" outline="0" fieldPosition="0"/>
    </format>
    <format dxfId="300">
      <pivotArea field="4" type="button" dataOnly="0" labelOnly="1" outline="0" axis="axisPage" fieldPosition="3"/>
    </format>
    <format dxfId="299">
      <pivotArea dataOnly="0" labelOnly="1" outline="0" fieldPosition="0">
        <references count="2">
          <reference field="4" count="1">
            <x v="0"/>
          </reference>
          <reference field="74"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7D8611E-D9D7-4442-B182-B1A118D1E03A}" name="PivotTable4" cacheId="6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15:C117" firstHeaderRow="1" firstDataRow="1" firstDataCol="1" rowPageCount="4" colPageCount="1"/>
  <pivotFields count="84">
    <pivotField axis="axisPage" subtotalTop="0" multipleItemSelectionAllowed="1" showAll="0">
      <items count="14">
        <item m="1" x="11"/>
        <item m="1" x="4"/>
        <item m="1" x="12"/>
        <item h="1" m="1" x="6"/>
        <item m="1" x="3"/>
        <item h="1" m="1" x="2"/>
        <item h="1" m="1" x="10"/>
        <item h="1" m="1" x="7"/>
        <item h="1" m="1" x="8"/>
        <item m="1" x="9"/>
        <item h="1" m="1" x="5"/>
        <item h="1" x="0"/>
        <item x="1"/>
        <item t="default"/>
      </items>
    </pivotField>
    <pivotField showAll="0" defaultSubtotal="0"/>
    <pivotField showAll="0" defaultSubtotal="0"/>
    <pivotField subtotalTop="0" showAll="0"/>
    <pivotField axis="axisPage" subtotalTop="0" multipleItemSelectionAllowed="1" showAll="0">
      <items count="7">
        <item h="1" m="1" x="4"/>
        <item m="1" x="5"/>
        <item h="1" m="1" x="3"/>
        <item m="1" x="2"/>
        <item x="0"/>
        <item x="1"/>
        <item t="default"/>
      </items>
    </pivotField>
    <pivotField subtotalTop="0" showAll="0"/>
    <pivotField axis="axisPage" multipleItemSelectionAllowed="1" showAll="0" defaultSubtotal="0">
      <items count="11">
        <item m="1" x="4"/>
        <item m="1" x="9"/>
        <item m="1" x="8"/>
        <item m="1" x="6"/>
        <item m="1" x="3"/>
        <item m="1" x="2"/>
        <item x="0"/>
        <item m="1" x="7"/>
        <item h="1" m="1" x="10"/>
        <item m="1" x="5"/>
        <item h="1" m="1" x="1"/>
      </items>
    </pivotField>
    <pivotField showAll="0"/>
    <pivotField subtotalTop="0" showAll="0"/>
    <pivotField subtotalTop="0" showAll="0"/>
    <pivotField showAll="0" defaultSubtotal="0"/>
    <pivotField showAll="0" defaultSubtotal="0"/>
    <pivotField dataField="1" showAll="0"/>
    <pivotField subtotalTop="0"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4">
    <pageField fld="0" hier="-1"/>
    <pageField fld="4" hier="-1"/>
    <pageField fld="74" hier="-1"/>
    <pageField fld="6" hier="-1"/>
  </pageFields>
  <dataFields count="2">
    <dataField name="Sum of #of students in school" fld="12" baseField="0" baseItem="0"/>
    <dataField name="Sum of #_of_Functioning_latrines_in_school" fld="22" baseField="0" baseItem="0"/>
  </dataFields>
  <formats count="11">
    <format dxfId="77">
      <pivotArea field="4" type="button" dataOnly="0" labelOnly="1" outline="0" axis="axisPage" fieldPosition="1"/>
    </format>
    <format dxfId="76">
      <pivotArea type="all" dataOnly="0" outline="0" fieldPosition="0"/>
    </format>
    <format dxfId="75">
      <pivotArea outline="0" collapsedLevelsAreSubtotals="1" fieldPosition="0"/>
    </format>
    <format dxfId="74">
      <pivotArea type="origin" dataOnly="0" labelOnly="1" outline="0" fieldPosition="0"/>
    </format>
    <format dxfId="73">
      <pivotArea type="topRight" dataOnly="0" labelOnly="1" outline="0" fieldPosition="0"/>
    </format>
    <format dxfId="72">
      <pivotArea field="-2" type="button" dataOnly="0" labelOnly="1" outline="0" axis="axisRow" fieldPosition="0"/>
    </format>
    <format dxfId="71">
      <pivotArea type="all" dataOnly="0" outline="0" fieldPosition="0"/>
    </format>
    <format dxfId="70">
      <pivotArea outline="0" collapsedLevelsAreSubtotals="1" fieldPosition="0"/>
    </format>
    <format dxfId="69">
      <pivotArea field="4" type="button" dataOnly="0" labelOnly="1" outline="0" axis="axisPage" fieldPosition="1"/>
    </format>
    <format dxfId="68">
      <pivotArea dataOnly="0" labelOnly="1" outline="0" fieldPosition="0">
        <references count="1">
          <reference field="4" count="1">
            <x v="1"/>
          </reference>
        </references>
      </pivotArea>
    </format>
    <format dxfId="67">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0" s="1"/>
        <i x="1" s="1"/>
        <i x="4" s="1" nd="1"/>
        <i x="5" s="1" nd="1"/>
        <i x="3" s="1" nd="1"/>
        <i x="2"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6">
        <i x="5" s="1"/>
        <i x="3" s="1"/>
        <i x="10" s="1"/>
        <i x="4" s="1"/>
        <i x="12" s="1"/>
        <i x="11" s="1"/>
        <i x="6" s="1"/>
        <i x="14" s="1"/>
        <i x="7" s="1"/>
        <i x="1" s="1"/>
        <i x="17" s="1"/>
        <i x="8" s="1"/>
        <i x="0" s="1"/>
        <i x="9" s="1"/>
        <i x="2" s="1"/>
        <i x="16" s="1"/>
        <i x="15" s="1"/>
        <i x="13" s="1"/>
        <i x="41" s="1" nd="1"/>
        <i x="42" s="1" nd="1"/>
        <i x="34" s="1" nd="1"/>
        <i x="19" s="1" nd="1"/>
        <i x="30" s="1" nd="1"/>
        <i x="21" s="1" nd="1"/>
        <i x="28" s="1" nd="1"/>
        <i x="37" s="1" nd="1"/>
        <i x="24" s="1" nd="1"/>
        <i x="22" s="1" nd="1"/>
        <i x="38" s="1" nd="1"/>
        <i x="36" s="1" nd="1"/>
        <i x="33" s="1" nd="1"/>
        <i x="27" s="1" nd="1"/>
        <i x="40" s="1" nd="1"/>
        <i x="26" s="1" nd="1"/>
        <i x="25" s="1" nd="1"/>
        <i x="43" s="1" nd="1"/>
        <i x="32" s="1" nd="1"/>
        <i x="31" s="1" nd="1"/>
        <i x="29" s="1" nd="1"/>
        <i x="44" s="1" nd="1"/>
        <i x="20" s="1" nd="1"/>
        <i x="45" s="1" nd="1"/>
        <i x="23" s="1" nd="1"/>
        <i x="35" s="1" nd="1"/>
        <i x="39" s="1" nd="1"/>
        <i x="18"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1">
        <i x="0" s="1"/>
        <i x="4" s="1" nd="1"/>
        <i x="9" s="1" nd="1"/>
        <i x="8" s="1" nd="1"/>
        <i x="6" s="1" nd="1"/>
        <i x="3" s="1" nd="1"/>
        <i x="2" s="1" nd="1"/>
        <i x="7" s="1" nd="1"/>
        <i x="10" s="1" nd="1"/>
        <i x="5" s="1" nd="1"/>
        <i x="1"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1">
        <i x="0" s="1"/>
        <i x="4" nd="1"/>
        <i x="9" nd="1"/>
        <i x="8" nd="1"/>
        <i x="6" nd="1"/>
        <i x="3" nd="1"/>
        <i x="2" nd="1"/>
        <i x="7" nd="1"/>
        <i x="10" nd="1"/>
        <i x="5" nd="1"/>
        <i x="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4">
        <i x="12"/>
        <i x="1" s="1"/>
        <i x="11"/>
        <i x="2"/>
        <i x="5" nd="1"/>
        <i x="40" nd="1"/>
        <i x="41" nd="1"/>
        <i x="3" nd="1"/>
        <i x="10" nd="1"/>
        <i x="31" nd="1"/>
        <i x="4" nd="1"/>
        <i x="17" nd="1"/>
        <i x="27" nd="1"/>
        <i x="19" nd="1"/>
        <i x="25" nd="1"/>
        <i x="36" nd="1"/>
        <i x="22" nd="1"/>
        <i x="20" nd="1"/>
        <i x="32" nd="1"/>
        <i x="37" nd="1"/>
        <i x="35" nd="1"/>
        <i x="30" nd="1"/>
        <i x="43" nd="1"/>
        <i x="24" nd="1"/>
        <i x="38" nd="1"/>
        <i x="23" nd="1"/>
        <i x="29" nd="1"/>
        <i x="28" nd="1"/>
        <i x="26" nd="1"/>
        <i x="6" nd="1"/>
        <i x="13" nd="1"/>
        <i x="7" nd="1"/>
        <i x="18" nd="1"/>
        <i x="8" nd="1"/>
        <i x="0" nd="1"/>
        <i x="42" nd="1"/>
        <i x="21" nd="1"/>
        <i x="9" nd="1"/>
        <i x="15" nd="1"/>
        <i x="14" nd="1"/>
        <i x="34" nd="1"/>
        <i x="33" nd="1"/>
        <i x="39" nd="1"/>
        <i x="16"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4">
        <i x="5" s="1"/>
        <i x="6" s="1"/>
        <i x="13" s="1"/>
        <i x="7" s="1"/>
        <i x="15" s="1"/>
        <i x="40" s="1" nd="1"/>
        <i x="41" s="1" nd="1"/>
        <i x="3" s="1" nd="1"/>
        <i x="10" s="1" nd="1"/>
        <i x="31" s="1" nd="1"/>
        <i x="4" s="1" nd="1"/>
        <i x="17" s="1" nd="1"/>
        <i x="27" s="1" nd="1"/>
        <i x="19" s="1" nd="1"/>
        <i x="25" s="1" nd="1"/>
        <i x="12" s="1" nd="1"/>
        <i x="36" s="1" nd="1"/>
        <i x="22" s="1" nd="1"/>
        <i x="1" s="1" nd="1"/>
        <i x="20" s="1" nd="1"/>
        <i x="32" s="1" nd="1"/>
        <i x="37" s="1" nd="1"/>
        <i x="35" s="1" nd="1"/>
        <i x="30" s="1" nd="1"/>
        <i x="43" s="1" nd="1"/>
        <i x="24" s="1" nd="1"/>
        <i x="38" s="1" nd="1"/>
        <i x="23" s="1" nd="1"/>
        <i x="11" s="1" nd="1"/>
        <i x="29" s="1" nd="1"/>
        <i x="28" s="1" nd="1"/>
        <i x="26" s="1" nd="1"/>
        <i x="18" s="1" nd="1"/>
        <i x="8" s="1" nd="1"/>
        <i x="0" s="1" nd="1"/>
        <i x="42" s="1" nd="1"/>
        <i x="21" s="1" nd="1"/>
        <i x="9" s="1" nd="1"/>
        <i x="14" s="1" nd="1"/>
        <i x="34" s="1" nd="1"/>
        <i x="33" s="1" nd="1"/>
        <i x="2" s="1" nd="1"/>
        <i x="39" s="1" nd="1"/>
        <i x="16"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1">
        <i x="0" s="1"/>
        <i x="4" s="1" nd="1"/>
        <i x="9" s="1" nd="1"/>
        <i x="8" s="1" nd="1"/>
        <i x="6" s="1" nd="1"/>
        <i x="3" s="1" nd="1"/>
        <i x="2" s="1" nd="1"/>
        <i x="7" s="1" nd="1"/>
        <i x="10" s="1" nd="1"/>
        <i x="5" s="1" nd="1"/>
        <i x="1"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0" s="1"/>
        <i x="1" s="1"/>
        <i x="4" s="1" nd="1"/>
        <i x="5" s="1" nd="1"/>
        <i x="3" s="1" nd="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1" s="1"/>
        <i x="3" s="1"/>
        <i x="7" s="1"/>
        <i x="2" s="1"/>
        <i x="5" s="1"/>
        <i x="9" s="1"/>
        <i x="6" s="1"/>
        <i x="0" s="1"/>
        <i x="8" s="1"/>
        <i x="4" s="1"/>
        <i x="17" s="1" nd="1"/>
        <i x="20" s="1" nd="1"/>
        <i x="23" s="1" nd="1"/>
        <i x="33" s="1" nd="1"/>
        <i x="29" s="1" nd="1"/>
        <i x="32" s="1" nd="1"/>
        <i x="26" s="1" nd="1"/>
        <i x="12" s="1" nd="1"/>
        <i x="16" s="1" nd="1"/>
        <i x="35" s="1" nd="1"/>
        <i x="14" s="1" nd="1"/>
        <i x="19" s="1" nd="1"/>
        <i x="24" s="1" nd="1"/>
        <i x="34" s="1" nd="1"/>
        <i x="11" s="1" nd="1"/>
        <i x="27" s="1" nd="1"/>
        <i x="18" s="1" nd="1"/>
        <i x="28" s="1" nd="1"/>
        <i x="21" s="1" nd="1"/>
        <i x="25" s="1" nd="1"/>
        <i x="30" s="1" nd="1"/>
        <i x="13" s="1" nd="1"/>
        <i x="15" s="1" nd="1"/>
        <i x="31" s="1" nd="1"/>
        <i x="22" s="1" nd="1"/>
        <i x="38" s="1" nd="1"/>
        <i x="39" s="1" nd="1"/>
        <i x="40" s="1" nd="1"/>
        <i x="37" s="1" nd="1"/>
        <i x="36" s="1" nd="1"/>
        <i x="10"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0" s="1"/>
        <i x="4" s="1" nd="1"/>
        <i x="1" s="1" nd="1"/>
        <i x="5" s="1" nd="1"/>
        <i x="3"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1"/>
        <i x="3"/>
        <i x="7"/>
        <i x="2"/>
        <i x="5"/>
        <i x="9"/>
        <i x="6"/>
        <i x="0"/>
        <i x="8"/>
        <i x="4" s="1"/>
        <i x="17" nd="1"/>
        <i x="20" nd="1"/>
        <i x="23" nd="1"/>
        <i x="33" nd="1"/>
        <i x="29" nd="1"/>
        <i x="32" nd="1"/>
        <i x="26" nd="1"/>
        <i x="12" nd="1"/>
        <i x="16" nd="1"/>
        <i x="35" nd="1"/>
        <i x="14" nd="1"/>
        <i x="19" nd="1"/>
        <i x="24" nd="1"/>
        <i x="34" nd="1"/>
        <i x="11" nd="1"/>
        <i x="27" nd="1"/>
        <i x="18" nd="1"/>
        <i x="28" nd="1"/>
        <i x="21" nd="1"/>
        <i x="25" nd="1"/>
        <i x="30" nd="1"/>
        <i x="13" nd="1"/>
        <i x="15" nd="1"/>
        <i x="31" nd="1"/>
        <i x="22" nd="1"/>
        <i x="38" nd="1"/>
        <i x="39" nd="1"/>
        <i x="40" nd="1"/>
        <i x="37" nd="1"/>
        <i x="36" nd="1"/>
        <i x="10"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4">
        <i x="1" s="1"/>
        <i x="2" s="1"/>
        <i x="3" s="1" nd="1"/>
        <i x="0"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13">
        <i x="0"/>
        <i x="1" s="1"/>
        <i x="10" nd="1"/>
        <i x="11" nd="1"/>
        <i x="4" nd="1"/>
        <i x="12" nd="1"/>
        <i x="6" nd="1"/>
        <i x="7" nd="1"/>
        <i x="8" nd="1"/>
        <i x="9" nd="1"/>
        <i x="3" nd="1"/>
        <i x="5" nd="1"/>
        <i x="2"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1" s="1"/>
        <i x="0" nd="1"/>
        <i x="4" nd="1"/>
        <i x="5" nd="1"/>
        <i x="3" nd="1"/>
        <i x="2"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1" s="1"/>
        <i x="2" s="1"/>
        <i x="17" s="1" nd="1"/>
        <i x="20" s="1" nd="1"/>
        <i x="23" s="1" nd="1"/>
        <i x="33" s="1" nd="1"/>
        <i x="29" s="1" nd="1"/>
        <i x="32" s="1" nd="1"/>
        <i x="26" s="1" nd="1"/>
        <i x="12" s="1" nd="1"/>
        <i x="3" s="1" nd="1"/>
        <i x="7" s="1" nd="1"/>
        <i x="16" s="1" nd="1"/>
        <i x="35" s="1" nd="1"/>
        <i x="14" s="1" nd="1"/>
        <i x="19" s="1" nd="1"/>
        <i x="5" s="1" nd="1"/>
        <i x="24" s="1" nd="1"/>
        <i x="34" s="1" nd="1"/>
        <i x="11" s="1" nd="1"/>
        <i x="27" s="1" nd="1"/>
        <i x="9" s="1" nd="1"/>
        <i x="18" s="1" nd="1"/>
        <i x="6" s="1" nd="1"/>
        <i x="28" s="1" nd="1"/>
        <i x="21" s="1" nd="1"/>
        <i x="25" s="1" nd="1"/>
        <i x="30" s="1" nd="1"/>
        <i x="13" s="1" nd="1"/>
        <i x="15" s="1" nd="1"/>
        <i x="0" s="1" nd="1"/>
        <i x="31" s="1" nd="1"/>
        <i x="22" s="1" nd="1"/>
        <i x="38" s="1" nd="1"/>
        <i x="8" s="1" nd="1"/>
        <i x="39" s="1" nd="1"/>
        <i x="4" s="1" nd="1"/>
        <i x="40" s="1" nd="1"/>
        <i x="37" s="1" nd="1"/>
        <i x="36" s="1" nd="1"/>
        <i x="10"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BX489" totalsRowShown="0" headerRowDxfId="666" dataDxfId="664" headerRowBorderDxfId="665" tableBorderDxfId="663">
  <autoFilter ref="A6:BX489" xr:uid="{D1C7F7AB-E90B-481F-8D0C-DFD35E748051}">
    <filterColumn colId="0">
      <filters>
        <filter val="2019_Q3"/>
      </filters>
    </filterColumn>
    <filterColumn colId="1">
      <filters>
        <filter val="ACF"/>
        <filter val="CDA"/>
        <filter val="CDN"/>
        <filter val="GIZ"/>
        <filter val="Malteser"/>
        <filter val="OXSI (Oxfam)"/>
        <filter val="OXSI (Oxfam),ACF"/>
        <filter val="OXSI (SI)"/>
        <filter val="PIN"/>
        <filter val="PIN,WVI"/>
        <filter val="RI"/>
        <filter val="SCI"/>
        <filter val="SI"/>
        <filter val="UNICEF"/>
        <filter val="UNICEF,"/>
        <filter val="UNICEF,CDN"/>
        <filter val="WVI"/>
      </filters>
    </filterColumn>
  </autoFilter>
  <sortState ref="A235:BX241">
    <sortCondition ref="H235"/>
  </sortState>
  <tableColumns count="76">
    <tableColumn id="1" xr3:uid="{00000000-0010-0000-0000-000001000000}" name="Reporting Period" dataDxfId="662" totalsRowDxfId="661"/>
    <tableColumn id="75" xr3:uid="{00000000-0010-0000-0000-00004B000000}" name="WASH project agency" dataDxfId="660" totalsRowDxfId="659"/>
    <tableColumn id="2" xr3:uid="{00000000-0010-0000-0000-000002000000}" name="WASH implementing agency" dataDxfId="658" totalsRowDxfId="657"/>
    <tableColumn id="8" xr3:uid="{00000000-0010-0000-0000-000008000000}" name="Primary Donor covering WASH activities at site " dataDxfId="656" totalsRowDxfId="655"/>
    <tableColumn id="3" xr3:uid="{00000000-0010-0000-0000-000003000000}" name="State" dataDxfId="654" totalsRowDxfId="653"/>
    <tableColumn id="4" xr3:uid="{00000000-0010-0000-0000-000004000000}" name="Township" dataDxfId="652" totalsRowDxfId="651"/>
    <tableColumn id="82" xr3:uid="{00000000-0010-0000-0000-000052000000}" name="Location Type" dataDxfId="650" totalsRowDxfId="649" dataCellStyle="Percent">
      <calculatedColumnFormula>VLOOKUP(WWWW[[#This Row],[Village  Name]],SiteDB6[[Site Name]:[Location Type]],8,FALSE)</calculatedColumnFormula>
    </tableColumn>
    <tableColumn id="5" xr3:uid="{00000000-0010-0000-0000-000005000000}" name="Village  Name" dataDxfId="648" totalsRowDxfId="647"/>
    <tableColumn id="6" xr3:uid="{00000000-0010-0000-0000-000006000000}" name="Total HH" dataDxfId="646" totalsRowDxfId="645" dataCellStyle="Comma"/>
    <tableColumn id="7" xr3:uid="{00000000-0010-0000-0000-000007000000}" name="Total PoP " dataDxfId="644" totalsRowDxfId="643" dataCellStyle="Comma"/>
    <tableColumn id="77" xr3:uid="{00000000-0010-0000-0000-00004D000000}" name="Project start date" dataDxfId="642" totalsRowDxfId="641"/>
    <tableColumn id="9" xr3:uid="{00000000-0010-0000-0000-000009000000}" name="Project end date" dataDxfId="640" totalsRowDxfId="639"/>
    <tableColumn id="104" xr3:uid="{00000000-0010-0000-0000-000068000000}" name="#of students in school" dataDxfId="638" totalsRowDxfId="637" dataCellStyle="Comma"/>
    <tableColumn id="10" xr3:uid="{00000000-0010-0000-0000-00000A000000}" name="# Work days (approx) lost in this site due to access restrictions" dataDxfId="636" totalsRowDxfId="635" dataCellStyle="Comma"/>
    <tableColumn id="14" xr3:uid="{00000000-0010-0000-0000-00000E000000}" name="#_Functioning_protected_hand_dug_well/open_well" dataDxfId="634" totalsRowDxfId="633" dataCellStyle="Comma"/>
    <tableColumn id="102" xr3:uid="{00000000-0010-0000-0000-000066000000}" name="#_Functioning_Tube_wells/boreholes/hand_pumps_including_community's_own_hand_pumps" dataDxfId="632" totalsRowDxfId="631" dataCellStyle="Comma"/>
    <tableColumn id="103" xr3:uid="{00000000-0010-0000-0000-000067000000}" name="#_Existing_protected/fenced_ponds" dataDxfId="630" totalsRowDxfId="629" dataCellStyle="Comma"/>
    <tableColumn id="15" xr3:uid="{00000000-0010-0000-0000-00000F000000}" name="#_of_people_accessing_to_other_types_of_un-improved_water_sources_(river,_spring)" dataDxfId="628" totalsRowDxfId="627" dataCellStyle="Comma"/>
    <tableColumn id="106" xr3:uid="{00000000-0010-0000-0000-00006A000000}" name="#_Functioning_water_points_at_school" dataDxfId="626" totalsRowDxfId="625" dataCellStyle="Comma"/>
    <tableColumn id="107" xr3:uid="{00000000-0010-0000-0000-00006B000000}" name="WATER_Comments" dataDxfId="624" totalsRowDxfId="623" dataCellStyle="Comma"/>
    <tableColumn id="87" xr3:uid="{00000000-0010-0000-0000-000057000000}" name="#_of_sanitary_fly-proof_HH_latrines" dataDxfId="622" totalsRowDxfId="621" dataCellStyle="Comma"/>
    <tableColumn id="39" xr3:uid="{00000000-0010-0000-0000-000027000000}" name="Availability_of_drainage_in_school_compound_(Yes_or_No)" dataDxfId="620" totalsRowDxfId="619" dataCellStyle="Comma"/>
    <tableColumn id="23" xr3:uid="{00000000-0010-0000-0000-000017000000}" name="#_of_Functioning_latrines_in_school" dataDxfId="618" totalsRowDxfId="617" dataCellStyle="Comma"/>
    <tableColumn id="24" xr3:uid="{00000000-0010-0000-0000-000018000000}" name="#_of_PWD_at_village" dataDxfId="616" totalsRowDxfId="615" dataCellStyle="Comma"/>
    <tableColumn id="25" xr3:uid="{00000000-0010-0000-0000-000019000000}" name="#_of_PWD_with_adapted_sanitation_option_at_HH_level_" dataDxfId="614" totalsRowDxfId="613" dataCellStyle="Comma"/>
    <tableColumn id="122" xr3:uid="{00000000-0010-0000-0000-00007A000000}" name="#_of_PWD_at_school" dataDxfId="612" totalsRowDxfId="611" dataCellStyle="Comma"/>
    <tableColumn id="123" xr3:uid="{00000000-0010-0000-0000-00007B000000}" name="#_of_PWD_with_access_to_adapted_sanitation_option_at_School" dataDxfId="610" totalsRowDxfId="609" dataCellStyle="Comma"/>
    <tableColumn id="124" xr3:uid="{00000000-0010-0000-0000-00007C000000}" name="SANITATION_Comment" dataDxfId="608" totalsRowDxfId="607" dataCellStyle="Comma"/>
    <tableColumn id="126" xr3:uid="{00000000-0010-0000-0000-00007E000000}" name="#_of_Men_who_received_appropirate/community_tailored_hygiene_messages" dataDxfId="606" totalsRowDxfId="605" dataCellStyle="Comma"/>
    <tableColumn id="127" xr3:uid="{00000000-0010-0000-0000-00007F000000}" name="#_of_Women_who_received_appropirate/community_tailored_hygiene_messages" dataDxfId="604" totalsRowDxfId="603" dataCellStyle="Comma"/>
    <tableColumn id="13" xr3:uid="{00000000-0010-0000-0000-00000D000000}" name="#_of_Boys_who_received_appropirate/community_tailored_hygiene_messages" dataDxfId="602" totalsRowDxfId="601" dataCellStyle="Comma"/>
    <tableColumn id="128" xr3:uid="{00000000-0010-0000-0000-000080000000}" name="#_of_Girls_who_received_appropirate/community_tailored_hygiene_messages" dataDxfId="600" totalsRowDxfId="599" dataCellStyle="Comma"/>
    <tableColumn id="129" xr3:uid="{00000000-0010-0000-0000-000081000000}" name="#_of_students_(boys)_who_received_appropirate_hygiene_messages" dataDxfId="598" totalsRowDxfId="597" dataCellStyle="Comma"/>
    <tableColumn id="130" xr3:uid="{00000000-0010-0000-0000-000082000000}" name="#_of_students_(girls)_who_received_appropirate_hygiene_messages" dataDxfId="596" totalsRowDxfId="595" dataCellStyle="Comma"/>
    <tableColumn id="133" xr3:uid="{00000000-0010-0000-0000-000085000000}" name="#_of_functional_handwashing_facilities_at_HH_level" dataDxfId="594" totalsRowDxfId="593" dataCellStyle="Comma"/>
    <tableColumn id="131" xr3:uid="{00000000-0010-0000-0000-000083000000}" name="#_of_functional_handwashing_facilities_at_school" dataDxfId="592" totalsRowDxfId="591" dataCellStyle="Comma"/>
    <tableColumn id="17" xr3:uid="{075BE1A2-93A8-4876-AB80-D66BF383CBDA}" name="#_of_affected_households_receiving_a_sufficient_quantity_of_soap" dataDxfId="590" totalsRowDxfId="589" dataCellStyle="Comma"/>
    <tableColumn id="19" xr3:uid="{327268F1-F023-417E-8DA2-7BA53B38D030}" name="#_of_affected_women_and_girls_receiving_a_sufficient_quantity_of_sanitary_pads" dataDxfId="588" totalsRowDxfId="587" dataCellStyle="Comma"/>
    <tableColumn id="132" xr3:uid="{00000000-0010-0000-0000-000084000000}" name="HYGIENE_Comments" dataDxfId="586" totalsRowDxfId="585" dataCellStyle="Comma"/>
    <tableColumn id="69" xr3:uid="{F08B8CAC-90B8-4AD5-ABFF-685A1F23A8C8}" name="%_of_affected_people_surveyed_who_feel_informed_about_the_WASH_services_available_to_them" dataDxfId="584" totalsRowDxfId="583" dataCellStyle="Comma"/>
    <tableColumn id="79" xr3:uid="{FC6D5E73-EE3C-4FE8-9811-A426C1B99932}" name="%_of_people_surveryed_who_know_how_to_and_feel_comfortable_to_make_suggestions_or_complaints" dataDxfId="582" totalsRowDxfId="581" dataCellStyle="Comma"/>
    <tableColumn id="36" xr3:uid="{00000000-0010-0000-0000-000024000000}" name="%Equitable and continuous access to sufficient quantity of safe drinking water" dataDxfId="580" totalsRowDxfId="579" dataCellStyle="Percent">
      <calculatedColumnFormula>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calculatedColumnFormula>
    </tableColumn>
    <tableColumn id="89" xr3:uid="{00000000-0010-0000-0000-000059000000}" name="# people with equitable and continuous access to sufficient quantity of safe drinking water" dataDxfId="578" totalsRowDxfId="577">
      <calculatedColumnFormula>WWWW[[#This Row],[%Equitable and continuous access to sufficient quantity of safe drinking water]]*WWWW[[#This Row],[Total PoP ]]</calculatedColumnFormula>
    </tableColumn>
    <tableColumn id="37" xr3:uid="{00000000-0010-0000-0000-000025000000}" name="% Access to unimproved water points" dataDxfId="576" totalsRowDxfId="575" dataCellStyle="Percent">
      <calculatedColumnFormula>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calculatedColumnFormula>
    </tableColumn>
    <tableColumn id="16" xr3:uid="{00000000-0010-0000-0000-000010000000}" name="#People access to unimproved water sources" dataDxfId="574" totalsRowDxfId="573">
      <calculatedColumnFormula>WWWW[[#This Row],[% Access to unimproved water points]]*WWWW[[#This Row],[Total PoP ]]</calculatedColumnFormula>
    </tableColumn>
    <tableColumn id="41" xr3:uid="{00000000-0010-0000-0000-000029000000}" name="% Equitable and continuous access to sufficient quantity of domestic water" dataDxfId="572" totalsRowDxfId="571"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570" totalsRowDxfId="569">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568" totalsRowDxfId="567">
      <calculatedColumnFormula>WWWW[[#This Row],[HRP1]]/250</calculatedColumnFormula>
    </tableColumn>
    <tableColumn id="85" xr3:uid="{00000000-0010-0000-0000-000055000000}" name="%equitable and continuous access to sufficient quantity of safe drinking and domestic water's GAP" dataDxfId="566" totalsRowDxfId="565">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564" totalsRowDxfId="563">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562" totalsRowDxfId="561"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560" totalsRowDxfId="559" dataCellStyle="Percent">
      <calculatedColumnFormula>ROUND(IF(WWWW[[#This Row],[Total PoP ]]&lt;250,1,WWWW[[#This Row],[Total PoP ]]/250),0)</calculatedColumnFormula>
    </tableColumn>
    <tableColumn id="21" xr3:uid="{F4052D35-6786-4305-B493-888B73799200}" name="% people access to functioning Latrine" dataDxfId="558" totalsRowDxfId="557" dataCellStyle="Percent">
      <calculatedColumnFormula>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calculatedColumnFormula>
    </tableColumn>
    <tableColumn id="18" xr3:uid="{00000000-0010-0000-0000-000012000000}" name="HRP2" dataDxfId="556" totalsRowDxfId="555">
      <calculatedColumnFormula>WWWW[[#This Row],[% people access to functioning Latrine]]*WWWW[[#This Row],[Total PoP ]]</calculatedColumnFormula>
    </tableColumn>
    <tableColumn id="12" xr3:uid="{00000000-0010-0000-0000-00000C000000}" name="# students access to functioning school latrines" dataDxfId="554" totalsRowDxfId="553" dataCellStyle="Percent">
      <calculatedColumnFormula>WWWW[[#This Row],['#_of_Functioning_latrines_in_school]]*50</calculatedColumnFormula>
    </tableColumn>
    <tableColumn id="73" xr3:uid="{00000000-0010-0000-0000-000049000000}" name="Total required Latrines" dataDxfId="552" dataCellStyle="Percent">
      <calculatedColumnFormula>ROUND((WWWW[[#This Row],[Total PoP ]]/6),0)</calculatedColumnFormula>
    </tableColumn>
    <tableColumn id="49" xr3:uid="{00000000-0010-0000-0000-000031000000}" name="# potential required new latrines" dataDxfId="551" totalsRowDxfId="550" dataCellStyle="Percent">
      <calculatedColumnFormula>IF(WWWW[[#This Row],[Total required Latrines]]-(WWWW[[#This Row],['#_of_sanitary_fly-proof_HH_latrines]])&lt;0,0,WWWW[[#This Row],[Total required Latrines]]-(WWWW[[#This Row],['#_of_sanitary_fly-proof_HH_latrines]]))</calculatedColumnFormula>
    </tableColumn>
    <tableColumn id="48" xr3:uid="{00000000-0010-0000-0000-000030000000}" name="% of Latrine Gap" dataDxfId="549" totalsRowDxfId="548">
      <calculatedColumnFormula>1-WWWW[[#This Row],[% people access to functioning Latrine]]</calculatedColumnFormula>
    </tableColumn>
    <tableColumn id="54" xr3:uid="{00000000-0010-0000-0000-000036000000}" name="# people reached by regular dedicated hygiene promotion" dataDxfId="547" totalsRowDxfId="546">
      <calculatedColumnFormula>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calculatedColumnFormula>
    </tableColumn>
    <tableColumn id="11" xr3:uid="{CB7D9386-0326-4F24-9329-0B986D55248A}" name="# people access to functional handwashing facilities" dataDxfId="545" totalsRowDxfId="544">
      <calculatedColumnFormula>IF(WWWW[[#This Row],['#_of_functional_handwashing_facilities_at_HH_level]]*6&gt;WWWW[[#This Row],[Total PoP ]],WWWW[[#This Row],[Total PoP ]],WWWW[[#This Row],['#_of_functional_handwashing_facilities_at_HH_level]]*6)</calculatedColumnFormula>
    </tableColumn>
    <tableColumn id="68" xr3:uid="{00000000-0010-0000-0000-000044000000}" name="HRP3" dataDxfId="543" totalsRowDxfId="542" dataCellStyle="Percent">
      <calculatedColumnFormula>IF(WWWW[[#This Row],['# people reached by regular dedicated hygiene promotion]]&gt;WWWW[[#This Row],['# People received regular supply of hygiene items]],WWWW[[#This Row],['# people reached by regular dedicated hygiene promotion]],WWWW[[#This Row],['# People received regular supply of hygiene items]])</calculatedColumnFormula>
    </tableColumn>
    <tableColumn id="53" xr3:uid="{00000000-0010-0000-0000-000035000000}" name="Hygiene Coverage%" dataDxfId="541" totalsRowDxfId="540">
      <calculatedColumnFormula>IF(WWWW[[#This Row],[HRP3]]/WWWW[[#This Row],[Total PoP ]]&gt;100%,100%,WWWW[[#This Row],[HRP3]]/WWWW[[#This Row],[Total PoP ]])</calculatedColumnFormula>
    </tableColumn>
    <tableColumn id="72" xr3:uid="{00000000-0010-0000-0000-000048000000}" name="Hygiene Gap%" dataDxfId="539" totalsRowDxfId="538" dataCellStyle="Percent">
      <calculatedColumnFormula>1-WWWW[[#This Row],[Hygiene Coverage%]]</calculatedColumnFormula>
    </tableColumn>
    <tableColumn id="96" xr3:uid="{00000000-0010-0000-0000-000060000000}" name="%people reached by regular dedicated hygiene promotion" dataDxfId="537" totalsRowDxfId="536" dataCellStyle="Percent">
      <calculatedColumnFormula>WWWW[[#This Row],['# people reached by regular dedicated hygiene promotion]]/WWWW[[#This Row],[Total PoP ]]</calculatedColumnFormula>
    </tableColumn>
    <tableColumn id="20" xr3:uid="{97054BB8-0C2C-4D5C-B3B2-4EDC31DE5086}" name="# People with access to soap" dataDxfId="535" totalsRowDxfId="534" dataCellStyle="Percent">
      <calculatedColumnFormula>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calculatedColumnFormula>
    </tableColumn>
    <tableColumn id="26" xr3:uid="{E1521FC6-F9C8-4298-B682-5971B316C9C2}" name="# People with access to Sanity Pads" dataDxfId="533" totalsRowDxfId="532" dataCellStyle="Percent">
      <calculatedColumnFormula>WWWW[[#This Row],['#_of_affected_women_and_girls_receiving_a_sufficient_quantity_of_sanitary_pads]]</calculatedColumnFormula>
    </tableColumn>
    <tableColumn id="22" xr3:uid="{7C781812-EC40-4094-88AA-47B02EB7194B}" name="# People received regular supply of hygiene items" dataDxfId="531" totalsRowDxfId="530" dataCellStyle="Comma">
      <calculatedColumnFormula>IF(WWWW[[#This Row],['# People with access to soap]]&gt;WWWW[[#This Row],['# People with access to Sanity Pads]],WWWW[[#This Row],['# People with access to soap]],WWWW[[#This Row],['# People with access to Sanity Pads]])</calculatedColumnFormula>
    </tableColumn>
    <tableColumn id="31" xr3:uid="{FD8C69C6-3D27-4A27-BCF4-02830740C127}" name="Village with School" dataDxfId="529" totalsRowDxfId="528">
      <calculatedColumnFormula>IF(OR(WWWW[[#This Row],['#of students in school]]="",WWWW[[#This Row],['#of students in school]]=0),"No","Yes")</calculatedColumnFormula>
    </tableColumn>
    <tableColumn id="80" xr3:uid="{00000000-0010-0000-0000-000050000000}" name="Location Type 1" dataDxfId="527" totalsRowDxfId="526" dataCellStyle="Percent">
      <calculatedColumnFormula>VLOOKUP(WWWW[[#This Row],[Village  Name]],SiteDB6[[Site Name]:[Location Type 1]],9,FALSE)</calculatedColumnFormula>
    </tableColumn>
    <tableColumn id="45" xr3:uid="{00000000-0010-0000-0000-00002D000000}" name="Type of accommodation" dataDxfId="525" totalsRowDxfId="524" dataCellStyle="Percent">
      <calculatedColumnFormula>VLOOKUP(WWWW[[#This Row],[Village  Name]],SiteDB6[[Site Name]:[Type of Accommodation]],10,FALSE)</calculatedColumnFormula>
    </tableColumn>
    <tableColumn id="46" xr3:uid="{00000000-0010-0000-0000-00002E000000}" name="Ethnic or GCA/NGCA" dataDxfId="523" totalsRowDxfId="522" dataCellStyle="Percent">
      <calculatedColumnFormula>VLOOKUP(WWWW[[#This Row],[Village  Name]],SiteDB6[[Site Name]:[Ethnic or GCA/NGCA]],11,FALSE)</calculatedColumnFormula>
    </tableColumn>
    <tableColumn id="60" xr3:uid="{00000000-0010-0000-0000-00003C000000}" name="Lat" dataDxfId="521" totalsRowDxfId="520" dataCellStyle="Percent">
      <calculatedColumnFormula>VLOOKUP(WWWW[[#This Row],[Village  Name]],SiteDB6[[Site Name]:[Lat]],12,FALSE)</calculatedColumnFormula>
    </tableColumn>
    <tableColumn id="61" xr3:uid="{00000000-0010-0000-0000-00003D000000}" name="Long" dataDxfId="519" totalsRowDxfId="518" dataCellStyle="Percent">
      <calculatedColumnFormula>VLOOKUP(WWWW[[#This Row],[Village  Name]],SiteDB6[[Site Name]:[Long]],13,FALSE)</calculatedColumnFormula>
    </tableColumn>
    <tableColumn id="62" xr3:uid="{00000000-0010-0000-0000-00003E000000}" name="Pcode" dataDxfId="517" totalsRowDxfId="516" dataCellStyle="Percent">
      <calculatedColumnFormula>VLOOKUP(WWWW[[#This Row],[Village  Name]],SiteDB6[[Site Name]:[Pcode]],3,FALSE)</calculatedColumnFormula>
    </tableColumn>
    <tableColumn id="63" xr3:uid="{00000000-0010-0000-0000-00003F000000}" name="Covered" dataDxfId="515" totalsRowDxfId="514">
      <calculatedColumnFormula>IF(C7="none","Notcovered","Covered")</calculatedColumnFormula>
    </tableColumn>
    <tableColumn id="64" xr3:uid="{00000000-0010-0000-0000-000040000000}" name="Remark" dataDxfId="513" totalsRowDxfId="512"/>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W1152" totalsRowShown="0" headerRowDxfId="474" dataDxfId="473">
  <sortState ref="A3:W1152">
    <sortCondition ref="A3:A1152"/>
    <sortCondition ref="B3:B1152"/>
    <sortCondition ref="C3:C1152"/>
  </sortState>
  <tableColumns count="23">
    <tableColumn id="13" xr3:uid="{00000000-0010-0000-0100-00000D000000}" name="State" dataDxfId="472"/>
    <tableColumn id="12" xr3:uid="{00000000-0010-0000-0100-00000C000000}" name="Township" dataDxfId="471"/>
    <tableColumn id="1" xr3:uid="{00000000-0010-0000-0100-000001000000}" name="Site Name" dataDxfId="470"/>
    <tableColumn id="26" xr3:uid="{00000000-0010-0000-0100-00001A000000}" name="open in cccm?" dataDxfId="469"/>
    <tableColumn id="2" xr3:uid="{00000000-0010-0000-0100-000002000000}" name="Pcode" dataDxfId="468"/>
    <tableColumn id="20" xr3:uid="{00000000-0010-0000-0100-000014000000}" name="Vtract" dataDxfId="467"/>
    <tableColumn id="21" xr3:uid="{00000000-0010-0000-0100-000015000000}" name="VillageWard" dataDxfId="466"/>
    <tableColumn id="3" xr3:uid="{00000000-0010-0000-0100-000003000000}" name="CCCM Management" dataDxfId="465"/>
    <tableColumn id="4" xr3:uid="{00000000-0010-0000-0100-000004000000}" name="CCCM Focal Agency" dataDxfId="464"/>
    <tableColumn id="5" xr3:uid="{00000000-0010-0000-0100-000005000000}" name="Location Type" dataDxfId="463"/>
    <tableColumn id="6" xr3:uid="{00000000-0010-0000-0100-000006000000}" name="Location Type 1" dataDxfId="462"/>
    <tableColumn id="7" xr3:uid="{00000000-0010-0000-0100-000007000000}" name="Type of Accommodation" dataDxfId="461"/>
    <tableColumn id="8" xr3:uid="{00000000-0010-0000-0100-000008000000}" name="Ethnic or GCA/NGCA" dataDxfId="460"/>
    <tableColumn id="10" xr3:uid="{00000000-0010-0000-0100-00000A000000}" name="Lat" dataDxfId="459"/>
    <tableColumn id="9" xr3:uid="{00000000-0010-0000-0100-000009000000}" name="Long" dataDxfId="458"/>
    <tableColumn id="11" xr3:uid="{00000000-0010-0000-0100-00000B000000}" name="HRP categories" dataDxfId="457"/>
    <tableColumn id="14" xr3:uid="{00000000-0010-0000-0100-00000E000000}" name="Current 4 W reported list" dataDxfId="456"/>
    <tableColumn id="15" xr3:uid="{00000000-0010-0000-0100-00000F000000}" name="HH_x000a_(Rakhine-CCCM as of 31st Jan 2019)_x000a_(Kachin/Shan-CCCM as of 31st March 2019)" dataDxfId="455"/>
    <tableColumn id="16" xr3:uid="{00000000-0010-0000-0100-000010000000}" name="Pop_x000a_(Rakhine-CCCM as of 31st Jan 2019)_x000a_(Kachin/Shan-CCCM as of 31st March 2019)" dataDxfId="454"/>
    <tableColumn id="17" xr3:uid="{00000000-0010-0000-0100-000011000000}" name="Updated Date" dataDxfId="453"/>
    <tableColumn id="18" xr3:uid="{00000000-0010-0000-0100-000012000000}" name="Remark" dataDxfId="452"/>
    <tableColumn id="19" xr3:uid="{00000000-0010-0000-0100-000013000000}" name="Site Name_(Old)" dataDxfId="451"/>
    <tableColumn id="24" xr3:uid="{00000000-0010-0000-0100-000018000000}" name="Comments form CCCM" dataDxfId="45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613" displayName="Table613" ref="B64:G74" totalsRowShown="0" headerRowDxfId="41" dataDxfId="39" headerRowBorderDxfId="40" tableBorderDxfId="38" totalsRowBorderDxfId="37">
  <tableColumns count="6">
    <tableColumn id="1" xr3:uid="{00000000-0010-0000-0400-000001000000}" name="Gap in active villages/ Township" dataDxfId="36"/>
    <tableColumn id="2" xr3:uid="{00000000-0010-0000-0400-000002000000}" name="Partners " dataDxfId="35"/>
    <tableColumn id="3" xr3:uid="{00000000-0010-0000-0400-000003000000}" name="Total population" dataDxfId="34"/>
    <tableColumn id="4" xr3:uid="{00000000-0010-0000-0400-000004000000}" name=" % _x000a_Water Gap" dataDxfId="33"/>
    <tableColumn id="5" xr3:uid="{00000000-0010-0000-0400-000005000000}" name=" %_x000a_ Sanitation Gap" dataDxfId="32"/>
    <tableColumn id="6" xr3:uid="{00000000-0010-0000-0400-000006000000}" name="%  _x000a_Hygiene Gap" dataDxfId="3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16.xml"/><Relationship Id="rId13" Type="http://schemas.openxmlformats.org/officeDocument/2006/relationships/pivotTable" Target="../pivotTables/pivotTable21.xml"/><Relationship Id="rId18" Type="http://schemas.openxmlformats.org/officeDocument/2006/relationships/drawing" Target="../drawings/drawing3.xml"/><Relationship Id="rId3" Type="http://schemas.openxmlformats.org/officeDocument/2006/relationships/pivotTable" Target="../pivotTables/pivotTable11.xml"/><Relationship Id="rId7" Type="http://schemas.openxmlformats.org/officeDocument/2006/relationships/pivotTable" Target="../pivotTables/pivotTable15.xml"/><Relationship Id="rId12" Type="http://schemas.openxmlformats.org/officeDocument/2006/relationships/pivotTable" Target="../pivotTables/pivotTable20.xml"/><Relationship Id="rId17" Type="http://schemas.openxmlformats.org/officeDocument/2006/relationships/printerSettings" Target="../printerSettings/printerSettings8.bin"/><Relationship Id="rId2" Type="http://schemas.openxmlformats.org/officeDocument/2006/relationships/pivotTable" Target="../pivotTables/pivotTable10.xml"/><Relationship Id="rId16" Type="http://schemas.openxmlformats.org/officeDocument/2006/relationships/pivotTable" Target="../pivotTables/pivotTable24.xml"/><Relationship Id="rId1" Type="http://schemas.openxmlformats.org/officeDocument/2006/relationships/pivotTable" Target="../pivotTables/pivotTable9.xml"/><Relationship Id="rId6" Type="http://schemas.openxmlformats.org/officeDocument/2006/relationships/pivotTable" Target="../pivotTables/pivotTable14.xml"/><Relationship Id="rId11" Type="http://schemas.openxmlformats.org/officeDocument/2006/relationships/pivotTable" Target="../pivotTables/pivotTable19.xml"/><Relationship Id="rId5" Type="http://schemas.openxmlformats.org/officeDocument/2006/relationships/pivotTable" Target="../pivotTables/pivotTable13.xml"/><Relationship Id="rId15" Type="http://schemas.openxmlformats.org/officeDocument/2006/relationships/pivotTable" Target="../pivotTables/pivotTable23.xml"/><Relationship Id="rId10" Type="http://schemas.openxmlformats.org/officeDocument/2006/relationships/pivotTable" Target="../pivotTables/pivotTable18.xml"/><Relationship Id="rId19" Type="http://schemas.microsoft.com/office/2007/relationships/slicer" Target="../slicers/slicer1.xml"/><Relationship Id="rId4" Type="http://schemas.openxmlformats.org/officeDocument/2006/relationships/pivotTable" Target="../pivotTables/pivotTable12.xml"/><Relationship Id="rId9" Type="http://schemas.openxmlformats.org/officeDocument/2006/relationships/pivotTable" Target="../pivotTables/pivotTable17.xml"/><Relationship Id="rId14" Type="http://schemas.openxmlformats.org/officeDocument/2006/relationships/pivotTable" Target="../pivotTables/pivotTable22.xml"/></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25.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7.xml"/><Relationship Id="rId1" Type="http://schemas.openxmlformats.org/officeDocument/2006/relationships/pivotTable" Target="../pivotTables/pivotTable26.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8.xml"/><Relationship Id="rId1" Type="http://schemas.openxmlformats.org/officeDocument/2006/relationships/pivotTable" Target="../pivotTables/pivotTable2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4.xml"/><Relationship Id="rId7" Type="http://schemas.openxmlformats.org/officeDocument/2006/relationships/printerSettings" Target="../printerSettings/printerSettings7.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5" Type="http://schemas.openxmlformats.org/officeDocument/2006/relationships/pivotTable" Target="../pivotTables/pivotTable6.xml"/><Relationship Id="rId10" Type="http://schemas.openxmlformats.org/officeDocument/2006/relationships/comments" Target="../comments2.xml"/><Relationship Id="rId4" Type="http://schemas.openxmlformats.org/officeDocument/2006/relationships/pivotTable" Target="../pivotTables/pivotTable5.xml"/><Relationship Id="rId9"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Y15" sqref="Y15"/>
    </sheetView>
  </sheetViews>
  <sheetFormatPr defaultColWidth="7.75" defaultRowHeight="15"/>
  <cols>
    <col min="1" max="1" width="7.125" style="21" customWidth="1"/>
    <col min="2" max="2" width="2.25" style="21" customWidth="1"/>
    <col min="3" max="19" width="7.75" style="21"/>
    <col min="20" max="20" width="25.125" style="21" customWidth="1"/>
    <col min="21" max="16384" width="7.75" style="21"/>
  </cols>
  <sheetData>
    <row r="1" spans="2:20" ht="28.15" customHeight="1" thickBot="1"/>
    <row r="2" spans="2:20" s="22" customFormat="1" ht="35.450000000000003" customHeight="1" thickTop="1" thickBot="1">
      <c r="B2" s="828" t="s">
        <v>77</v>
      </c>
      <c r="C2" s="829"/>
      <c r="D2" s="829"/>
      <c r="E2" s="829"/>
      <c r="F2" s="829"/>
      <c r="G2" s="829"/>
      <c r="H2" s="829"/>
      <c r="I2" s="829"/>
      <c r="J2" s="829"/>
      <c r="K2" s="829"/>
      <c r="L2" s="829"/>
      <c r="M2" s="829"/>
      <c r="N2" s="829"/>
      <c r="O2" s="829"/>
      <c r="P2" s="829"/>
      <c r="Q2" s="829"/>
      <c r="R2" s="829"/>
      <c r="S2" s="829"/>
      <c r="T2" s="830"/>
    </row>
    <row r="3" spans="2:20" ht="15.75" thickTop="1">
      <c r="B3" s="23"/>
      <c r="C3" s="24"/>
      <c r="D3" s="24"/>
      <c r="E3" s="24"/>
      <c r="F3" s="24"/>
      <c r="G3" s="24"/>
      <c r="H3" s="24"/>
      <c r="I3" s="24"/>
      <c r="J3" s="24"/>
      <c r="K3" s="24"/>
      <c r="L3" s="24"/>
      <c r="M3" s="24"/>
      <c r="N3" s="24"/>
      <c r="O3" s="24"/>
      <c r="P3" s="24"/>
      <c r="Q3" s="24"/>
      <c r="R3" s="24"/>
      <c r="S3" s="24"/>
      <c r="T3" s="25"/>
    </row>
    <row r="4" spans="2:20">
      <c r="B4" s="23"/>
      <c r="C4" s="26" t="s">
        <v>78</v>
      </c>
      <c r="D4" s="24"/>
      <c r="E4" s="24"/>
      <c r="F4" s="24"/>
      <c r="G4" s="24"/>
      <c r="H4" s="24"/>
      <c r="I4" s="24"/>
      <c r="J4" s="24"/>
      <c r="K4" s="24"/>
      <c r="L4" s="24"/>
      <c r="M4" s="24"/>
      <c r="N4" s="24"/>
      <c r="O4" s="24"/>
      <c r="P4" s="24"/>
      <c r="Q4" s="24"/>
      <c r="R4" s="24"/>
      <c r="S4" s="24"/>
      <c r="T4" s="25"/>
    </row>
    <row r="5" spans="2:20">
      <c r="B5" s="23"/>
      <c r="C5" s="24"/>
      <c r="D5" s="24" t="s">
        <v>79</v>
      </c>
      <c r="E5" s="24"/>
      <c r="F5" s="24"/>
      <c r="G5" s="24"/>
      <c r="H5" s="24"/>
      <c r="I5" s="24"/>
      <c r="J5" s="24"/>
      <c r="K5" s="24"/>
      <c r="L5" s="24"/>
      <c r="M5" s="24"/>
      <c r="N5" s="24"/>
      <c r="O5" s="24"/>
      <c r="P5" s="24"/>
      <c r="Q5" s="24"/>
      <c r="R5" s="24"/>
      <c r="S5" s="24"/>
      <c r="T5" s="25"/>
    </row>
    <row r="6" spans="2:20">
      <c r="B6" s="23"/>
      <c r="C6" s="24"/>
      <c r="D6" s="24" t="s">
        <v>80</v>
      </c>
      <c r="E6" s="24"/>
      <c r="F6" s="24"/>
      <c r="G6" s="24"/>
      <c r="H6" s="24"/>
      <c r="I6" s="24"/>
      <c r="J6" s="24"/>
      <c r="K6" s="24"/>
      <c r="L6" s="24"/>
      <c r="M6" s="24"/>
      <c r="N6" s="24"/>
      <c r="O6" s="24"/>
      <c r="P6" s="24"/>
      <c r="Q6" s="24"/>
      <c r="R6" s="24"/>
      <c r="S6" s="24"/>
      <c r="T6" s="25"/>
    </row>
    <row r="7" spans="2:20">
      <c r="B7" s="23"/>
      <c r="C7" s="24"/>
      <c r="D7" s="24" t="s">
        <v>81</v>
      </c>
      <c r="E7" s="24"/>
      <c r="F7" s="24"/>
      <c r="G7" s="24"/>
      <c r="H7" s="24"/>
      <c r="I7" s="24"/>
      <c r="J7" s="24"/>
      <c r="K7" s="24"/>
      <c r="L7" s="24"/>
      <c r="M7" s="24"/>
      <c r="N7" s="24"/>
      <c r="O7" s="24"/>
      <c r="P7" s="24"/>
      <c r="Q7" s="24"/>
      <c r="R7" s="24"/>
      <c r="S7" s="24"/>
      <c r="T7" s="25"/>
    </row>
    <row r="8" spans="2:20">
      <c r="B8" s="23"/>
      <c r="C8" s="24"/>
      <c r="D8" s="24" t="s">
        <v>82</v>
      </c>
      <c r="E8" s="24"/>
      <c r="F8" s="24"/>
      <c r="G8" s="24"/>
      <c r="H8" s="24"/>
      <c r="I8" s="24"/>
      <c r="J8" s="24"/>
      <c r="K8" s="24"/>
      <c r="L8" s="24"/>
      <c r="M8" s="24"/>
      <c r="N8" s="24"/>
      <c r="O8" s="24"/>
      <c r="P8" s="24"/>
      <c r="Q8" s="24"/>
      <c r="R8" s="24"/>
      <c r="S8" s="24"/>
      <c r="T8" s="25"/>
    </row>
    <row r="9" spans="2:20">
      <c r="B9" s="23"/>
      <c r="C9" s="24"/>
      <c r="D9" s="24" t="s">
        <v>83</v>
      </c>
      <c r="E9" s="24"/>
      <c r="F9" s="24"/>
      <c r="G9" s="24"/>
      <c r="H9" s="24"/>
      <c r="I9" s="24"/>
      <c r="J9" s="24"/>
      <c r="K9" s="24"/>
      <c r="L9" s="24"/>
      <c r="M9" s="24"/>
      <c r="N9" s="24"/>
      <c r="O9" s="24"/>
      <c r="P9" s="24"/>
      <c r="Q9" s="24"/>
      <c r="R9" s="24"/>
      <c r="S9" s="24"/>
      <c r="T9" s="25"/>
    </row>
    <row r="10" spans="2:20">
      <c r="B10" s="23"/>
      <c r="C10" s="24"/>
      <c r="D10" s="24" t="s">
        <v>84</v>
      </c>
      <c r="E10" s="24"/>
      <c r="F10" s="24"/>
      <c r="G10" s="24"/>
      <c r="H10" s="24"/>
      <c r="I10" s="24"/>
      <c r="J10" s="24"/>
      <c r="K10" s="24"/>
      <c r="L10" s="24"/>
      <c r="M10" s="24"/>
      <c r="N10" s="24"/>
      <c r="O10" s="24"/>
      <c r="P10" s="24"/>
      <c r="Q10" s="24"/>
      <c r="R10" s="24"/>
      <c r="S10" s="24"/>
      <c r="T10" s="25"/>
    </row>
    <row r="11" spans="2:20">
      <c r="B11" s="23"/>
      <c r="C11" s="24"/>
      <c r="D11" s="24" t="s">
        <v>85</v>
      </c>
      <c r="E11" s="24"/>
      <c r="F11" s="24"/>
      <c r="G11" s="24"/>
      <c r="H11" s="24"/>
      <c r="I11" s="24"/>
      <c r="J11" s="24"/>
      <c r="K11" s="24"/>
      <c r="L11" s="24"/>
      <c r="M11" s="24"/>
      <c r="N11" s="24"/>
      <c r="O11" s="24"/>
      <c r="P11" s="24"/>
      <c r="Q11" s="24"/>
      <c r="R11" s="24"/>
      <c r="S11" s="24"/>
      <c r="T11" s="25"/>
    </row>
    <row r="12" spans="2:20">
      <c r="B12" s="23"/>
      <c r="C12" s="24"/>
      <c r="D12" s="24" t="s">
        <v>86</v>
      </c>
      <c r="E12" s="24"/>
      <c r="F12" s="24"/>
      <c r="G12" s="24"/>
      <c r="H12" s="24"/>
      <c r="I12" s="24"/>
      <c r="J12" s="24"/>
      <c r="K12" s="24"/>
      <c r="L12" s="24"/>
      <c r="M12" s="24"/>
      <c r="N12" s="24"/>
      <c r="O12" s="24"/>
      <c r="P12" s="24"/>
      <c r="Q12" s="24"/>
      <c r="R12" s="24"/>
      <c r="S12" s="24"/>
      <c r="T12" s="25"/>
    </row>
    <row r="13" spans="2:20">
      <c r="B13" s="23"/>
      <c r="C13" s="24"/>
      <c r="D13" s="24" t="s">
        <v>87</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88</v>
      </c>
      <c r="D15" s="24"/>
      <c r="E15" s="24"/>
      <c r="F15" s="24"/>
      <c r="G15" s="24"/>
      <c r="H15" s="24"/>
      <c r="I15" s="24"/>
      <c r="J15" s="24"/>
      <c r="K15" s="24"/>
      <c r="L15" s="24"/>
      <c r="M15" s="24"/>
      <c r="N15" s="24"/>
      <c r="O15" s="24"/>
      <c r="P15" s="24"/>
      <c r="Q15" s="24"/>
      <c r="R15" s="24"/>
      <c r="S15" s="24"/>
      <c r="T15" s="25"/>
    </row>
    <row r="16" spans="2:20">
      <c r="B16" s="23"/>
      <c r="C16" s="24"/>
      <c r="D16" s="24" t="s">
        <v>89</v>
      </c>
      <c r="E16" s="24"/>
      <c r="F16" s="24"/>
      <c r="G16" s="24"/>
      <c r="H16" s="24"/>
      <c r="I16" s="24"/>
      <c r="J16" s="24"/>
      <c r="K16" s="24"/>
      <c r="L16" s="24"/>
      <c r="M16" s="24"/>
      <c r="N16" s="24"/>
      <c r="O16" s="24"/>
      <c r="P16" s="24"/>
      <c r="Q16" s="24"/>
      <c r="R16" s="24"/>
      <c r="S16" s="24"/>
      <c r="T16" s="25"/>
    </row>
    <row r="17" spans="2:20">
      <c r="B17" s="23"/>
      <c r="C17" s="24"/>
      <c r="D17" s="24" t="s">
        <v>90</v>
      </c>
      <c r="E17" s="24"/>
      <c r="F17" s="24"/>
      <c r="G17" s="24"/>
      <c r="H17" s="24"/>
      <c r="I17" s="24"/>
      <c r="J17" s="24"/>
      <c r="K17" s="24"/>
      <c r="L17" s="24"/>
      <c r="M17" s="24"/>
      <c r="N17" s="24"/>
      <c r="O17" s="24"/>
      <c r="P17" s="24"/>
      <c r="Q17" s="24"/>
      <c r="R17" s="24"/>
      <c r="S17" s="24"/>
      <c r="T17" s="25"/>
    </row>
    <row r="18" spans="2:20">
      <c r="B18" s="23"/>
      <c r="C18" s="24"/>
      <c r="D18" s="24" t="s">
        <v>91</v>
      </c>
      <c r="E18" s="24"/>
      <c r="F18" s="24"/>
      <c r="G18" s="24"/>
      <c r="H18" s="24"/>
      <c r="I18" s="24"/>
      <c r="J18" s="24"/>
      <c r="K18" s="24"/>
      <c r="L18" s="24"/>
      <c r="M18" s="24"/>
      <c r="N18" s="24"/>
      <c r="O18" s="24"/>
      <c r="P18" s="24"/>
      <c r="Q18" s="24"/>
      <c r="R18" s="24"/>
      <c r="S18" s="24"/>
      <c r="T18" s="25"/>
    </row>
    <row r="19" spans="2:20">
      <c r="B19" s="23"/>
      <c r="C19" s="24"/>
      <c r="D19" s="24" t="s">
        <v>92</v>
      </c>
      <c r="E19" s="24"/>
      <c r="F19" s="24"/>
      <c r="G19" s="24"/>
      <c r="H19" s="24"/>
      <c r="I19" s="24"/>
      <c r="J19" s="24"/>
      <c r="K19" s="24"/>
      <c r="L19" s="24"/>
      <c r="M19" s="24"/>
      <c r="N19" s="24"/>
      <c r="O19" s="24"/>
      <c r="P19" s="24"/>
      <c r="Q19" s="24"/>
      <c r="R19" s="24"/>
      <c r="S19" s="24"/>
      <c r="T19" s="25"/>
    </row>
    <row r="20" spans="2:20">
      <c r="B20" s="23"/>
      <c r="C20" s="24"/>
      <c r="D20" s="24" t="s">
        <v>93</v>
      </c>
      <c r="E20" s="24"/>
      <c r="F20" s="24"/>
      <c r="G20" s="24"/>
      <c r="H20" s="24"/>
      <c r="I20" s="24"/>
      <c r="J20" s="24"/>
      <c r="K20" s="24"/>
      <c r="L20" s="24"/>
      <c r="M20" s="24"/>
      <c r="N20" s="24"/>
      <c r="O20" s="24"/>
      <c r="P20" s="24"/>
      <c r="Q20" s="24"/>
      <c r="R20" s="24"/>
      <c r="S20" s="24"/>
      <c r="T20" s="25"/>
    </row>
    <row r="21" spans="2:20">
      <c r="B21" s="23"/>
      <c r="C21" s="24"/>
      <c r="D21" s="24" t="s">
        <v>94</v>
      </c>
      <c r="E21" s="24"/>
      <c r="F21" s="24"/>
      <c r="G21" s="24"/>
      <c r="H21" s="24"/>
      <c r="I21" s="24"/>
      <c r="J21" s="24"/>
      <c r="K21" s="24"/>
      <c r="L21" s="24"/>
      <c r="M21" s="24"/>
      <c r="N21" s="24"/>
      <c r="O21" s="24"/>
      <c r="P21" s="24"/>
      <c r="Q21" s="24"/>
      <c r="R21" s="24"/>
      <c r="S21" s="24"/>
      <c r="T21" s="25"/>
    </row>
    <row r="22" spans="2:20">
      <c r="B22" s="23"/>
      <c r="C22" s="24"/>
      <c r="D22" s="24" t="s">
        <v>95</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96</v>
      </c>
      <c r="D24" s="24"/>
      <c r="E24" s="24"/>
      <c r="F24" s="24"/>
      <c r="G24" s="24"/>
      <c r="H24" s="24"/>
      <c r="I24" s="24"/>
      <c r="J24" s="24"/>
      <c r="K24" s="24"/>
      <c r="L24" s="24"/>
      <c r="M24" s="24"/>
      <c r="N24" s="24"/>
      <c r="O24" s="24"/>
      <c r="P24" s="24"/>
      <c r="Q24" s="24"/>
      <c r="R24" s="24"/>
      <c r="S24" s="24"/>
      <c r="T24" s="25"/>
    </row>
    <row r="25" spans="2:20">
      <c r="B25" s="23"/>
      <c r="C25" s="24"/>
      <c r="D25" s="24" t="s">
        <v>97</v>
      </c>
      <c r="E25" s="24"/>
      <c r="F25" s="24"/>
      <c r="G25" s="24"/>
      <c r="H25" s="24"/>
      <c r="I25" s="24"/>
      <c r="J25" s="24"/>
      <c r="K25" s="24"/>
      <c r="L25" s="24"/>
      <c r="M25" s="24"/>
      <c r="N25" s="24"/>
      <c r="O25" s="24"/>
      <c r="P25" s="24"/>
      <c r="Q25" s="24"/>
      <c r="R25" s="24"/>
      <c r="S25" s="24"/>
      <c r="T25" s="25"/>
    </row>
    <row r="26" spans="2:20" ht="27" customHeight="1">
      <c r="B26" s="23"/>
      <c r="C26" s="24"/>
      <c r="D26" s="831" t="s">
        <v>2764</v>
      </c>
      <c r="E26" s="832"/>
      <c r="F26" s="832"/>
      <c r="G26" s="832"/>
      <c r="H26" s="832"/>
      <c r="I26" s="832"/>
      <c r="J26" s="832"/>
      <c r="K26" s="832"/>
      <c r="L26" s="832"/>
      <c r="M26" s="832"/>
      <c r="N26" s="832"/>
      <c r="O26" s="832"/>
      <c r="P26" s="832"/>
      <c r="Q26" s="832"/>
      <c r="R26" s="832"/>
      <c r="S26" s="832"/>
      <c r="T26" s="833"/>
    </row>
    <row r="27" spans="2:20">
      <c r="B27" s="23"/>
      <c r="C27" s="24"/>
      <c r="D27" s="101" t="s">
        <v>1942</v>
      </c>
      <c r="E27" s="24"/>
      <c r="F27" s="24"/>
      <c r="G27" s="24"/>
      <c r="H27" s="24"/>
      <c r="I27" s="24"/>
      <c r="J27" s="24"/>
      <c r="K27" s="24"/>
      <c r="L27" s="24"/>
      <c r="M27" s="24"/>
      <c r="N27" s="24"/>
      <c r="O27" s="24"/>
      <c r="P27" s="24"/>
      <c r="Q27" s="24"/>
      <c r="R27" s="24"/>
      <c r="S27" s="24"/>
      <c r="T27" s="25"/>
    </row>
    <row r="28" spans="2:20">
      <c r="B28" s="23"/>
      <c r="C28" s="24"/>
      <c r="D28" s="24" t="s">
        <v>98</v>
      </c>
      <c r="E28" s="24"/>
      <c r="F28" s="24"/>
      <c r="G28" s="24"/>
      <c r="H28" s="24"/>
      <c r="I28" s="24"/>
      <c r="J28" s="24"/>
      <c r="K28" s="24"/>
      <c r="L28" s="24"/>
      <c r="M28" s="24"/>
      <c r="N28" s="24"/>
      <c r="O28" s="24"/>
      <c r="P28" s="24"/>
      <c r="Q28" s="24"/>
      <c r="R28" s="24"/>
      <c r="S28" s="24"/>
      <c r="T28" s="25"/>
    </row>
    <row r="29" spans="2:20">
      <c r="B29" s="23"/>
      <c r="C29" s="24"/>
      <c r="D29" s="528" t="s">
        <v>2765</v>
      </c>
      <c r="E29" s="24"/>
      <c r="F29" s="24"/>
      <c r="G29" s="24"/>
      <c r="H29" s="24"/>
      <c r="I29" s="24"/>
      <c r="J29" s="24"/>
      <c r="K29" s="24"/>
      <c r="L29" s="24"/>
      <c r="M29" s="24"/>
      <c r="N29" s="24"/>
      <c r="O29" s="24"/>
      <c r="P29" s="24"/>
      <c r="Q29" s="24"/>
      <c r="R29" s="24"/>
      <c r="S29" s="24"/>
      <c r="T29" s="25"/>
    </row>
    <row r="30" spans="2:20">
      <c r="B30" s="23"/>
      <c r="C30" s="24"/>
      <c r="D30" s="24" t="s">
        <v>99</v>
      </c>
      <c r="E30" s="24"/>
      <c r="F30" s="24"/>
      <c r="G30" s="24"/>
      <c r="H30" s="24"/>
      <c r="I30" s="24"/>
      <c r="J30" s="24"/>
      <c r="K30" s="24"/>
      <c r="L30" s="24"/>
      <c r="M30" s="24"/>
      <c r="N30" s="24"/>
      <c r="O30" s="24"/>
      <c r="P30" s="24"/>
      <c r="Q30" s="24"/>
      <c r="R30" s="24"/>
      <c r="S30" s="24"/>
      <c r="T30" s="25"/>
    </row>
    <row r="31" spans="2:20">
      <c r="B31" s="23"/>
      <c r="C31" s="24"/>
      <c r="D31" s="101" t="s">
        <v>1944</v>
      </c>
      <c r="E31" s="24"/>
      <c r="F31" s="24"/>
      <c r="G31" s="24"/>
      <c r="H31" s="24"/>
      <c r="I31" s="24"/>
      <c r="J31" s="24"/>
      <c r="K31" s="24"/>
      <c r="L31" s="24"/>
      <c r="M31" s="24"/>
      <c r="N31" s="24"/>
      <c r="O31" s="24"/>
      <c r="P31" s="24"/>
      <c r="Q31" s="24"/>
      <c r="R31" s="24"/>
      <c r="S31" s="24"/>
      <c r="T31" s="25"/>
    </row>
    <row r="32" spans="2:20">
      <c r="B32" s="23"/>
      <c r="C32" s="24"/>
      <c r="D32" s="24" t="s">
        <v>100</v>
      </c>
      <c r="E32" s="24"/>
      <c r="F32" s="24"/>
      <c r="G32" s="24"/>
      <c r="H32" s="24"/>
      <c r="I32" s="24"/>
      <c r="J32" s="24"/>
      <c r="K32" s="24"/>
      <c r="L32" s="24"/>
      <c r="M32" s="24"/>
      <c r="N32" s="24"/>
      <c r="O32" s="24"/>
      <c r="P32" s="24"/>
      <c r="Q32" s="24"/>
      <c r="R32" s="24"/>
      <c r="S32" s="24"/>
      <c r="T32" s="25"/>
    </row>
    <row r="33" spans="2:20">
      <c r="B33" s="23"/>
      <c r="C33" s="24"/>
      <c r="D33" s="24" t="s">
        <v>101</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102</v>
      </c>
      <c r="D35" s="24"/>
      <c r="E35" s="24"/>
      <c r="F35" s="24"/>
      <c r="G35" s="24"/>
      <c r="H35" s="24"/>
      <c r="I35" s="24"/>
      <c r="J35" s="24"/>
      <c r="K35" s="24"/>
      <c r="L35" s="24"/>
      <c r="M35" s="24"/>
      <c r="N35" s="24"/>
      <c r="O35" s="24"/>
      <c r="P35" s="24"/>
      <c r="Q35" s="24"/>
      <c r="R35" s="24"/>
      <c r="S35" s="24"/>
      <c r="T35" s="25"/>
    </row>
    <row r="36" spans="2:20">
      <c r="B36" s="23"/>
      <c r="C36" s="24"/>
      <c r="D36" s="24" t="s">
        <v>103</v>
      </c>
      <c r="E36" s="24"/>
      <c r="F36" s="24"/>
      <c r="G36" s="24"/>
      <c r="H36" s="24"/>
      <c r="I36" s="24"/>
      <c r="J36" s="24"/>
      <c r="K36" s="24"/>
      <c r="L36" s="24"/>
      <c r="M36" s="24"/>
      <c r="N36" s="24"/>
      <c r="O36" s="24"/>
      <c r="P36" s="24"/>
      <c r="Q36" s="24"/>
      <c r="R36" s="24"/>
      <c r="S36" s="24"/>
      <c r="T36" s="25"/>
    </row>
    <row r="37" spans="2:20">
      <c r="B37" s="23"/>
      <c r="C37" s="24"/>
      <c r="D37" s="24" t="s">
        <v>104</v>
      </c>
      <c r="E37" s="24"/>
      <c r="F37" s="24"/>
      <c r="G37" s="24"/>
      <c r="H37" s="24"/>
      <c r="I37" s="24"/>
      <c r="J37" s="24"/>
      <c r="K37" s="24"/>
      <c r="L37" s="24"/>
      <c r="M37" s="24"/>
      <c r="N37" s="24"/>
      <c r="O37" s="24"/>
      <c r="P37" s="24"/>
      <c r="Q37" s="24"/>
      <c r="R37" s="24"/>
      <c r="S37" s="24"/>
      <c r="T37" s="25"/>
    </row>
    <row r="38" spans="2:20">
      <c r="B38" s="23"/>
      <c r="C38" s="24"/>
      <c r="D38" s="24" t="s">
        <v>105</v>
      </c>
      <c r="E38" s="24"/>
      <c r="F38" s="24"/>
      <c r="G38" s="24"/>
      <c r="H38" s="24"/>
      <c r="I38" s="24"/>
      <c r="J38" s="24"/>
      <c r="K38" s="24"/>
      <c r="L38" s="24"/>
      <c r="M38" s="24"/>
      <c r="N38" s="24"/>
      <c r="O38" s="24"/>
      <c r="P38" s="24"/>
      <c r="Q38" s="24"/>
      <c r="R38" s="24"/>
      <c r="S38" s="24"/>
      <c r="T38" s="25"/>
    </row>
    <row r="39" spans="2:20">
      <c r="B39" s="23"/>
      <c r="C39" s="24"/>
      <c r="D39" s="24" t="s">
        <v>106</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107</v>
      </c>
      <c r="D41" s="24"/>
      <c r="E41" s="24"/>
      <c r="F41" s="24"/>
      <c r="G41" s="24"/>
      <c r="H41" s="24"/>
      <c r="I41" s="24"/>
      <c r="J41" s="24"/>
      <c r="K41" s="24"/>
      <c r="L41" s="24"/>
      <c r="M41" s="24"/>
      <c r="N41" s="24"/>
      <c r="O41" s="24"/>
      <c r="P41" s="24"/>
      <c r="Q41" s="24"/>
      <c r="R41" s="24"/>
      <c r="S41" s="24"/>
      <c r="T41" s="25"/>
    </row>
    <row r="42" spans="2:20">
      <c r="B42" s="23"/>
      <c r="C42" s="24"/>
      <c r="D42" s="24" t="s">
        <v>108</v>
      </c>
      <c r="E42" s="24"/>
      <c r="F42" s="24"/>
      <c r="G42" s="24"/>
      <c r="H42" s="24"/>
      <c r="I42" s="24"/>
      <c r="J42" s="24"/>
      <c r="K42" s="24"/>
      <c r="L42" s="24"/>
      <c r="M42" s="24"/>
      <c r="N42" s="24"/>
      <c r="O42" s="24"/>
      <c r="P42" s="24"/>
      <c r="Q42" s="24"/>
      <c r="R42" s="24"/>
      <c r="S42" s="24"/>
      <c r="T42" s="25"/>
    </row>
    <row r="43" spans="2:20">
      <c r="B43" s="23"/>
      <c r="C43" s="24"/>
      <c r="D43" s="24" t="s">
        <v>109</v>
      </c>
      <c r="E43" s="24"/>
      <c r="F43" s="24"/>
      <c r="G43" s="24"/>
      <c r="H43" s="24"/>
      <c r="I43" s="24"/>
      <c r="J43" s="24"/>
      <c r="K43" s="24"/>
      <c r="L43" s="24"/>
      <c r="M43" s="24"/>
      <c r="N43" s="24"/>
      <c r="O43" s="24"/>
      <c r="P43" s="24"/>
      <c r="Q43" s="24"/>
      <c r="R43" s="24"/>
      <c r="S43" s="24"/>
      <c r="T43" s="25"/>
    </row>
    <row r="44" spans="2:20">
      <c r="B44" s="23"/>
      <c r="C44" s="24"/>
      <c r="D44" s="24" t="s">
        <v>110</v>
      </c>
      <c r="E44" s="24"/>
      <c r="F44" s="24"/>
      <c r="G44" s="24"/>
      <c r="H44" s="24"/>
      <c r="I44" s="24"/>
      <c r="J44" s="24"/>
      <c r="K44" s="24"/>
      <c r="L44" s="24"/>
      <c r="M44" s="24"/>
      <c r="N44" s="24"/>
      <c r="O44" s="24"/>
      <c r="P44" s="24"/>
      <c r="Q44" s="24"/>
      <c r="R44" s="24"/>
      <c r="S44" s="24"/>
      <c r="T44" s="25"/>
    </row>
    <row r="45" spans="2:20">
      <c r="B45" s="23"/>
      <c r="C45" s="24"/>
      <c r="D45" s="24" t="s">
        <v>111</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75" thickBot="1">
      <c r="B47" s="27"/>
      <c r="C47" s="28"/>
      <c r="D47" s="28"/>
      <c r="E47" s="28"/>
      <c r="F47" s="28"/>
      <c r="G47" s="28"/>
      <c r="H47" s="28"/>
      <c r="I47" s="28"/>
      <c r="J47" s="28"/>
      <c r="K47" s="28"/>
      <c r="L47" s="28"/>
      <c r="M47" s="28"/>
      <c r="N47" s="28"/>
      <c r="O47" s="28"/>
      <c r="P47" s="28"/>
      <c r="Q47" s="28"/>
      <c r="R47" s="28"/>
      <c r="S47" s="28"/>
      <c r="T47" s="29"/>
    </row>
    <row r="48" spans="2:20" ht="15.7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462"/>
  <sheetViews>
    <sheetView showGridLines="0" topLeftCell="E60" zoomScale="89" zoomScaleNormal="89" workbookViewId="0">
      <selection activeCell="O92" sqref="O92"/>
    </sheetView>
  </sheetViews>
  <sheetFormatPr defaultColWidth="9" defaultRowHeight="15"/>
  <cols>
    <col min="1" max="1" width="9.625" style="112" customWidth="1"/>
    <col min="2" max="2" width="17.5" style="112" customWidth="1"/>
    <col min="3" max="3" width="17.25" style="112" customWidth="1"/>
    <col min="4" max="4" width="17.875" style="112" customWidth="1"/>
    <col min="5" max="5" width="30.625" style="112" bestFit="1" customWidth="1"/>
    <col min="6" max="6" width="17.25" style="112" customWidth="1"/>
    <col min="7" max="7" width="12.5" style="112" customWidth="1"/>
    <col min="8" max="8" width="14.5" style="112" customWidth="1"/>
    <col min="9" max="9" width="17.25" style="112" customWidth="1"/>
    <col min="10" max="10" width="15" style="112" customWidth="1"/>
    <col min="11" max="11" width="17.375" style="112" customWidth="1"/>
    <col min="12" max="12" width="9.625" style="112" customWidth="1"/>
    <col min="13" max="13" width="12.875" style="112" customWidth="1"/>
    <col min="14" max="14" width="11.25" style="112" customWidth="1"/>
    <col min="15" max="15" width="13.375" style="112" customWidth="1"/>
    <col min="16" max="18" width="9.625" style="112" customWidth="1"/>
    <col min="19" max="19" width="13.125" style="112" customWidth="1"/>
    <col min="20" max="21" width="9.625" style="112" customWidth="1"/>
    <col min="22" max="22" width="14.25" style="112" customWidth="1"/>
    <col min="23" max="23" width="14.875" style="112" customWidth="1"/>
    <col min="24" max="24" width="13.875" style="112" customWidth="1"/>
    <col min="25" max="31" width="9.625" style="112" customWidth="1"/>
    <col min="32" max="32" width="16.75" style="112" customWidth="1"/>
    <col min="33" max="33" width="9.625" style="112" customWidth="1"/>
    <col min="34" max="37" width="9" style="112"/>
    <col min="38" max="38" width="14.875" style="112" customWidth="1"/>
    <col min="39" max="16384" width="9" style="112"/>
  </cols>
  <sheetData>
    <row r="2" spans="1:42" s="135" customFormat="1" ht="18.75">
      <c r="A2" s="111" t="s">
        <v>1990</v>
      </c>
      <c r="B2" s="111"/>
      <c r="C2" s="111"/>
      <c r="D2" s="111"/>
      <c r="E2" s="111"/>
      <c r="F2" s="111"/>
      <c r="G2" s="111"/>
      <c r="H2" s="111"/>
      <c r="I2" s="111"/>
      <c r="J2" s="111"/>
      <c r="K2" s="111"/>
      <c r="L2" s="111"/>
      <c r="M2" s="111"/>
      <c r="N2" s="111"/>
      <c r="O2" s="111"/>
      <c r="P2" s="111"/>
      <c r="Q2" s="111"/>
      <c r="R2" s="111"/>
      <c r="S2" s="111"/>
      <c r="T2" s="111"/>
      <c r="U2" s="111"/>
      <c r="V2" s="111"/>
      <c r="W2" s="111"/>
      <c r="X2" s="111"/>
      <c r="Y2" s="111"/>
      <c r="Z2" s="111"/>
    </row>
    <row r="3" spans="1:42" ht="15.75">
      <c r="C3" s="113"/>
      <c r="H3" s="548"/>
      <c r="I3" s="548"/>
      <c r="J3" s="548"/>
      <c r="K3" s="548"/>
      <c r="L3" s="548"/>
      <c r="M3" s="548"/>
      <c r="R3" s="113"/>
    </row>
    <row r="4" spans="1:42" ht="15.75">
      <c r="B4" s="804" t="s">
        <v>18</v>
      </c>
      <c r="C4" s="805" t="s">
        <v>2381</v>
      </c>
      <c r="G4" s="116"/>
      <c r="H4" s="548"/>
      <c r="I4" s="548"/>
      <c r="J4" s="548"/>
      <c r="K4" s="548"/>
      <c r="L4" s="548"/>
      <c r="M4" s="548"/>
      <c r="U4" s="548"/>
      <c r="V4" s="548"/>
      <c r="W4" s="548"/>
      <c r="X4" s="548"/>
      <c r="Y4" s="548"/>
      <c r="Z4" s="548"/>
      <c r="AA4" s="548"/>
      <c r="AB4" s="548"/>
      <c r="AC4" s="548"/>
      <c r="AD4" s="548"/>
      <c r="AE4" s="548"/>
    </row>
    <row r="5" spans="1:42" ht="15.75">
      <c r="B5" s="804" t="s">
        <v>33</v>
      </c>
      <c r="C5" s="805" t="s">
        <v>33</v>
      </c>
      <c r="G5" s="548"/>
      <c r="H5" s="548"/>
      <c r="I5" s="548"/>
      <c r="J5" s="548"/>
      <c r="K5" s="548"/>
      <c r="L5" s="548"/>
      <c r="M5" s="548"/>
      <c r="U5" s="548"/>
      <c r="V5" s="548"/>
      <c r="W5" s="548"/>
      <c r="X5" s="548"/>
      <c r="Y5" s="548"/>
      <c r="Z5" s="548"/>
      <c r="AA5" s="548"/>
      <c r="AB5" s="548"/>
      <c r="AC5" s="548"/>
      <c r="AD5" s="548"/>
      <c r="AE5" s="548"/>
      <c r="AL5"/>
      <c r="AM5"/>
    </row>
    <row r="6" spans="1:42" ht="15.75">
      <c r="B6" s="807" t="s">
        <v>20</v>
      </c>
      <c r="C6" s="805" t="s">
        <v>1895</v>
      </c>
      <c r="G6" s="548"/>
      <c r="H6" s="548"/>
      <c r="I6" s="548"/>
      <c r="J6" s="548"/>
      <c r="K6" s="548"/>
      <c r="L6" s="548"/>
      <c r="M6" s="548"/>
      <c r="U6" s="548"/>
      <c r="V6" s="548"/>
      <c r="W6" s="548"/>
      <c r="X6" s="548"/>
      <c r="Y6" s="548"/>
      <c r="Z6" s="548"/>
      <c r="AA6" s="548"/>
      <c r="AB6" s="548"/>
      <c r="AC6" s="548"/>
      <c r="AD6" s="548"/>
      <c r="AE6" s="548"/>
      <c r="AL6" s="431"/>
      <c r="AM6" s="431"/>
      <c r="AN6" s="431"/>
    </row>
    <row r="7" spans="1:42" ht="15.75">
      <c r="B7" s="804" t="s">
        <v>126</v>
      </c>
      <c r="C7" s="805" t="s">
        <v>796</v>
      </c>
      <c r="G7" s="548"/>
      <c r="H7" s="548"/>
      <c r="I7" s="548"/>
      <c r="J7" s="548"/>
      <c r="K7" s="548"/>
      <c r="L7" s="548"/>
      <c r="M7" s="548"/>
      <c r="U7" s="548"/>
      <c r="V7" s="548"/>
      <c r="W7" s="548"/>
      <c r="X7" s="548"/>
      <c r="Y7" s="548"/>
      <c r="Z7" s="548"/>
      <c r="AA7" s="548"/>
      <c r="AB7" s="548"/>
      <c r="AC7" s="548"/>
      <c r="AD7" s="548"/>
      <c r="AE7" s="548"/>
      <c r="AL7" s="431"/>
      <c r="AM7" s="431"/>
      <c r="AN7" s="431"/>
    </row>
    <row r="8" spans="1:42" ht="15.75">
      <c r="D8" s="150" t="s">
        <v>796</v>
      </c>
      <c r="G8" s="548"/>
      <c r="H8" s="548"/>
      <c r="I8" s="548"/>
      <c r="J8" s="548"/>
      <c r="K8" s="548"/>
      <c r="L8" s="548"/>
      <c r="M8" s="548"/>
      <c r="U8" s="548"/>
      <c r="V8" s="548"/>
      <c r="W8" s="548"/>
      <c r="X8" s="548"/>
      <c r="Y8" s="548"/>
      <c r="Z8" s="548"/>
      <c r="AA8" s="548"/>
      <c r="AB8" s="548"/>
      <c r="AC8" s="548"/>
      <c r="AD8" s="548"/>
      <c r="AE8" s="548"/>
      <c r="AL8" s="431"/>
      <c r="AM8" s="431"/>
      <c r="AN8" s="431"/>
    </row>
    <row r="9" spans="1:42" s="117" customFormat="1" ht="15.75">
      <c r="B9" s="806" t="s">
        <v>21</v>
      </c>
      <c r="C9" s="816" t="s">
        <v>1900</v>
      </c>
      <c r="D9" s="805" t="s">
        <v>2826</v>
      </c>
      <c r="E9" s="805" t="s">
        <v>2827</v>
      </c>
      <c r="F9" s="805" t="s">
        <v>2828</v>
      </c>
      <c r="G9" s="548"/>
      <c r="H9" s="548"/>
      <c r="I9" s="548"/>
      <c r="J9" s="548"/>
      <c r="K9" s="548"/>
      <c r="L9" s="548"/>
      <c r="M9" s="548"/>
      <c r="U9" s="548"/>
      <c r="V9" s="548"/>
      <c r="W9" s="548"/>
      <c r="X9" s="548"/>
      <c r="Y9" s="548"/>
      <c r="Z9" s="548"/>
      <c r="AA9" s="548"/>
      <c r="AB9" s="548"/>
      <c r="AC9" s="548"/>
      <c r="AD9" s="548"/>
      <c r="AE9" s="548"/>
      <c r="AF9"/>
      <c r="AG9"/>
      <c r="AH9" s="520"/>
      <c r="AI9" s="469"/>
      <c r="AJ9" s="469"/>
      <c r="AK9" s="470"/>
      <c r="AL9" s="434"/>
      <c r="AM9" s="434"/>
      <c r="AN9" s="434"/>
      <c r="AO9" s="469"/>
      <c r="AP9" s="469"/>
    </row>
    <row r="10" spans="1:42" s="117" customFormat="1" ht="15.75">
      <c r="B10" s="810" t="s">
        <v>321</v>
      </c>
      <c r="C10" s="809">
        <v>123273</v>
      </c>
      <c r="D10" s="813">
        <v>0.83949445539574763</v>
      </c>
      <c r="E10" s="813">
        <v>0.95531868292326783</v>
      </c>
      <c r="F10" s="813">
        <v>0.29154802754861164</v>
      </c>
      <c r="G10" s="548"/>
      <c r="H10" s="548"/>
      <c r="I10" s="548"/>
      <c r="J10" s="548"/>
      <c r="K10" s="548"/>
      <c r="L10" s="548"/>
      <c r="M10" s="548"/>
      <c r="U10" s="548"/>
      <c r="V10" s="548"/>
      <c r="W10" s="548"/>
      <c r="X10" s="548"/>
      <c r="Y10" s="548"/>
      <c r="Z10" s="548"/>
      <c r="AA10" s="548"/>
      <c r="AB10" s="548"/>
      <c r="AC10" s="548"/>
      <c r="AD10" s="548"/>
      <c r="AE10" s="548"/>
      <c r="AF10"/>
      <c r="AG10"/>
      <c r="AH10" s="434"/>
      <c r="AI10" s="434"/>
      <c r="AJ10" s="434"/>
      <c r="AK10" s="470"/>
      <c r="AL10" s="434"/>
      <c r="AM10" s="434"/>
      <c r="AN10" s="434"/>
      <c r="AO10" s="434"/>
      <c r="AP10" s="434"/>
    </row>
    <row r="11" spans="1:42" ht="15.75">
      <c r="B11" s="810" t="s">
        <v>359</v>
      </c>
      <c r="C11" s="809">
        <v>3451</v>
      </c>
      <c r="D11" s="813">
        <v>0.90640394088669951</v>
      </c>
      <c r="E11" s="813">
        <v>0.83396117067516662</v>
      </c>
      <c r="F11" s="813">
        <v>0.95160822949869606</v>
      </c>
      <c r="G11" s="548"/>
      <c r="H11" s="548"/>
      <c r="I11" s="548"/>
      <c r="J11" s="548"/>
      <c r="K11" s="548"/>
      <c r="L11" s="548"/>
      <c r="M11" s="548"/>
      <c r="U11" s="548"/>
      <c r="V11" s="548"/>
      <c r="W11" s="548"/>
      <c r="X11" s="548"/>
      <c r="Y11" s="548"/>
      <c r="Z11" s="548"/>
      <c r="AA11" s="548"/>
      <c r="AB11" s="548"/>
      <c r="AC11" s="548"/>
      <c r="AD11" s="548"/>
      <c r="AE11" s="548"/>
      <c r="AF11"/>
      <c r="AG11"/>
      <c r="AH11"/>
      <c r="AI11"/>
      <c r="AJ11"/>
      <c r="AL11" s="431"/>
      <c r="AM11" s="431"/>
      <c r="AN11" s="431"/>
      <c r="AO11"/>
      <c r="AP11"/>
    </row>
    <row r="12" spans="1:42" ht="15.75">
      <c r="B12" s="810" t="s">
        <v>304</v>
      </c>
      <c r="C12" s="809">
        <v>19740</v>
      </c>
      <c r="D12" s="813">
        <v>3.6676798378926012E-2</v>
      </c>
      <c r="E12" s="813">
        <v>0.41231003039513681</v>
      </c>
      <c r="F12" s="813">
        <v>0.89376899696048628</v>
      </c>
      <c r="G12" s="548"/>
      <c r="H12" s="548"/>
      <c r="I12" s="548"/>
      <c r="J12" s="548"/>
      <c r="K12" s="548"/>
      <c r="L12" s="548"/>
      <c r="M12" s="548"/>
      <c r="U12" s="548"/>
      <c r="V12" s="548"/>
      <c r="W12" s="548"/>
      <c r="X12" s="548"/>
      <c r="Y12" s="548"/>
      <c r="Z12" s="548"/>
      <c r="AA12" s="548"/>
      <c r="AB12" s="548"/>
      <c r="AC12" s="548"/>
      <c r="AD12" s="548"/>
      <c r="AE12" s="548"/>
      <c r="AF12"/>
      <c r="AG12"/>
      <c r="AH12"/>
      <c r="AI12"/>
      <c r="AJ12"/>
      <c r="AL12" s="431"/>
      <c r="AM12" s="431"/>
      <c r="AN12" s="431"/>
      <c r="AO12"/>
      <c r="AP12"/>
    </row>
    <row r="13" spans="1:42" ht="15.75">
      <c r="B13" s="810" t="s">
        <v>307</v>
      </c>
      <c r="C13" s="809">
        <v>32058</v>
      </c>
      <c r="D13" s="813">
        <v>0.75793873604092576</v>
      </c>
      <c r="E13" s="813">
        <v>0.87772162954644706</v>
      </c>
      <c r="F13" s="813">
        <v>0.63662736290473521</v>
      </c>
      <c r="G13"/>
      <c r="H13" s="548"/>
      <c r="I13" s="548"/>
      <c r="J13" s="548"/>
      <c r="K13" s="548"/>
      <c r="L13" s="548"/>
      <c r="M13" s="548"/>
      <c r="O13"/>
      <c r="P13"/>
      <c r="Q13"/>
      <c r="R13"/>
      <c r="S13"/>
      <c r="U13" s="548"/>
      <c r="V13" s="548"/>
      <c r="W13" s="548"/>
      <c r="X13" s="548"/>
      <c r="Y13" s="548"/>
      <c r="Z13" s="548"/>
      <c r="AA13" s="548"/>
      <c r="AB13" s="548"/>
      <c r="AC13" s="548"/>
      <c r="AD13" s="548"/>
      <c r="AE13" s="548"/>
      <c r="AF13"/>
      <c r="AG13"/>
      <c r="AH13"/>
      <c r="AI13"/>
      <c r="AJ13"/>
      <c r="AL13" s="431"/>
      <c r="AM13" s="431"/>
      <c r="AN13" s="431"/>
      <c r="AO13"/>
      <c r="AP13"/>
    </row>
    <row r="14" spans="1:42" ht="15.75">
      <c r="B14" s="810" t="s">
        <v>314</v>
      </c>
      <c r="C14" s="809">
        <v>24963</v>
      </c>
      <c r="D14" s="813">
        <v>1</v>
      </c>
      <c r="E14" s="813">
        <v>1</v>
      </c>
      <c r="F14" s="813">
        <v>1</v>
      </c>
      <c r="G14"/>
      <c r="H14" s="548"/>
      <c r="I14" s="548"/>
      <c r="J14" s="548"/>
      <c r="K14" s="548"/>
      <c r="L14" s="548"/>
      <c r="M14" s="548"/>
      <c r="O14"/>
      <c r="P14"/>
      <c r="Q14"/>
      <c r="R14"/>
      <c r="S14"/>
      <c r="U14" s="548"/>
      <c r="V14" s="548"/>
      <c r="W14" s="548"/>
      <c r="X14" s="548"/>
      <c r="Y14" s="548"/>
      <c r="Z14" s="548"/>
      <c r="AA14" s="548"/>
      <c r="AB14" s="548"/>
      <c r="AC14" s="548"/>
      <c r="AD14" s="548"/>
      <c r="AE14" s="548"/>
      <c r="AF14"/>
      <c r="AG14"/>
      <c r="AH14"/>
      <c r="AI14"/>
      <c r="AJ14"/>
      <c r="AL14" s="431"/>
      <c r="AM14" s="431"/>
      <c r="AN14" s="431"/>
      <c r="AO14"/>
      <c r="AP14"/>
    </row>
    <row r="15" spans="1:42" ht="15.75">
      <c r="B15" s="810" t="s">
        <v>473</v>
      </c>
      <c r="C15" s="809">
        <v>1641</v>
      </c>
      <c r="D15" s="813">
        <v>6.4594759293113979E-2</v>
      </c>
      <c r="E15" s="813">
        <v>0.45460085313833032</v>
      </c>
      <c r="F15" s="813">
        <v>0</v>
      </c>
      <c r="G15"/>
      <c r="H15" s="548"/>
      <c r="I15" s="548"/>
      <c r="J15" s="548"/>
      <c r="K15" s="548"/>
      <c r="L15" s="548"/>
      <c r="M15" s="548"/>
      <c r="O15"/>
      <c r="P15"/>
      <c r="Q15"/>
      <c r="R15"/>
      <c r="S15"/>
      <c r="U15" s="548"/>
      <c r="V15" s="548"/>
      <c r="W15" s="548"/>
      <c r="X15" s="548"/>
      <c r="Y15" s="548"/>
      <c r="Z15" s="548"/>
      <c r="AA15" s="548"/>
      <c r="AB15" s="548"/>
      <c r="AC15" s="548"/>
      <c r="AD15" s="548"/>
      <c r="AE15" s="548"/>
      <c r="AF15"/>
      <c r="AG15"/>
      <c r="AH15"/>
      <c r="AI15"/>
      <c r="AJ15"/>
      <c r="AL15" s="431"/>
      <c r="AM15" s="431"/>
      <c r="AN15" s="431"/>
      <c r="AO15"/>
      <c r="AP15"/>
    </row>
    <row r="16" spans="1:42" ht="15.75">
      <c r="B16" s="810" t="s">
        <v>401</v>
      </c>
      <c r="C16" s="809">
        <v>217</v>
      </c>
      <c r="D16" s="813">
        <v>0</v>
      </c>
      <c r="E16" s="813">
        <v>0</v>
      </c>
      <c r="F16" s="813">
        <v>0</v>
      </c>
      <c r="G16"/>
      <c r="H16"/>
      <c r="I16"/>
      <c r="J16"/>
      <c r="K16"/>
      <c r="L16"/>
      <c r="O16"/>
      <c r="P16"/>
      <c r="Q16"/>
      <c r="R16"/>
      <c r="S16"/>
      <c r="U16" s="431"/>
      <c r="V16"/>
      <c r="W16"/>
      <c r="X16"/>
      <c r="Y16"/>
      <c r="Z16"/>
      <c r="AA16"/>
      <c r="AB16"/>
      <c r="AE16"/>
      <c r="AF16"/>
      <c r="AG16"/>
      <c r="AH16"/>
      <c r="AI16"/>
      <c r="AJ16"/>
      <c r="AL16" s="431"/>
      <c r="AM16" s="431"/>
      <c r="AN16" s="431"/>
      <c r="AO16"/>
      <c r="AP16"/>
    </row>
    <row r="17" spans="1:42" ht="15.75">
      <c r="B17" s="810" t="s">
        <v>404</v>
      </c>
      <c r="C17" s="809">
        <v>27419</v>
      </c>
      <c r="D17" s="813">
        <v>0.33538786972537293</v>
      </c>
      <c r="E17" s="813">
        <v>0.90331521937342718</v>
      </c>
      <c r="F17" s="813">
        <v>1</v>
      </c>
      <c r="G17"/>
      <c r="H17"/>
      <c r="J17"/>
      <c r="K17"/>
      <c r="L17"/>
      <c r="M17"/>
      <c r="N17"/>
      <c r="O17"/>
      <c r="P17"/>
      <c r="Q17"/>
      <c r="R17"/>
      <c r="S17"/>
      <c r="V17"/>
      <c r="W17"/>
      <c r="X17"/>
      <c r="Y17"/>
      <c r="Z17"/>
      <c r="AA17"/>
      <c r="AB17"/>
      <c r="AE17"/>
      <c r="AF17"/>
      <c r="AG17"/>
      <c r="AH17"/>
      <c r="AI17"/>
      <c r="AJ17"/>
      <c r="AL17" s="431"/>
      <c r="AM17" s="431"/>
      <c r="AN17" s="431"/>
      <c r="AO17"/>
      <c r="AP17"/>
    </row>
    <row r="18" spans="1:42" ht="15.75">
      <c r="B18" s="810" t="s">
        <v>297</v>
      </c>
      <c r="C18" s="809">
        <v>155092</v>
      </c>
      <c r="D18" s="813">
        <v>0.90796430505764325</v>
      </c>
      <c r="E18" s="813">
        <v>0.99237226936270084</v>
      </c>
      <c r="F18" s="813">
        <v>0.91609496298970927</v>
      </c>
      <c r="G18"/>
      <c r="H18"/>
      <c r="J18"/>
      <c r="K18"/>
      <c r="L18"/>
      <c r="M18"/>
      <c r="N18"/>
      <c r="O18"/>
      <c r="P18"/>
      <c r="Q18"/>
      <c r="R18"/>
      <c r="S18"/>
      <c r="Z18"/>
      <c r="AA18"/>
      <c r="AB18"/>
      <c r="AE18"/>
      <c r="AF18"/>
      <c r="AG18"/>
      <c r="AL18" s="431"/>
      <c r="AM18" s="431"/>
      <c r="AN18" s="431"/>
      <c r="AO18"/>
      <c r="AP18"/>
    </row>
    <row r="19" spans="1:42" ht="15.75">
      <c r="B19" s="810" t="s">
        <v>1642</v>
      </c>
      <c r="C19" s="809">
        <v>387854</v>
      </c>
      <c r="D19" s="813">
        <v>0.79081303789570301</v>
      </c>
      <c r="E19" s="813">
        <v>0.93155156321708688</v>
      </c>
      <c r="F19" s="813">
        <v>0.70061672691270427</v>
      </c>
      <c r="G19"/>
      <c r="H19"/>
      <c r="J19"/>
      <c r="K19"/>
      <c r="L19"/>
      <c r="M19"/>
      <c r="N19"/>
      <c r="O19"/>
      <c r="P19"/>
      <c r="Q19"/>
      <c r="R19"/>
      <c r="S19"/>
      <c r="Z19"/>
      <c r="AA19"/>
      <c r="AB19"/>
      <c r="AE19"/>
      <c r="AF19"/>
      <c r="AG19"/>
      <c r="AL19"/>
      <c r="AM19"/>
    </row>
    <row r="20" spans="1:42" ht="15.75">
      <c r="B20"/>
      <c r="C20"/>
      <c r="D20"/>
      <c r="E20"/>
      <c r="F20"/>
      <c r="G20"/>
      <c r="H20" s="548"/>
      <c r="I20" s="548"/>
      <c r="J20" s="548"/>
      <c r="K20" s="548"/>
      <c r="L20" s="548"/>
      <c r="M20" s="548"/>
      <c r="N20" s="548"/>
      <c r="P20"/>
      <c r="Q20"/>
      <c r="R20"/>
      <c r="S20"/>
      <c r="T20"/>
      <c r="Z20"/>
      <c r="AA20"/>
      <c r="AB20"/>
      <c r="AE20"/>
      <c r="AF20"/>
      <c r="AG20"/>
      <c r="AL20"/>
      <c r="AM20"/>
    </row>
    <row r="21" spans="1:42" ht="15.75">
      <c r="B21"/>
      <c r="C21"/>
      <c r="D21"/>
      <c r="E21"/>
      <c r="F21"/>
      <c r="G21"/>
      <c r="H21" s="548"/>
      <c r="I21" s="548"/>
      <c r="J21" s="548"/>
      <c r="K21" s="548"/>
      <c r="L21" s="548"/>
      <c r="M21" s="548"/>
      <c r="N21" s="548"/>
      <c r="Q21"/>
      <c r="R21"/>
      <c r="S21"/>
      <c r="T21"/>
      <c r="U21"/>
      <c r="Z21"/>
      <c r="AA21"/>
      <c r="AB21"/>
      <c r="AE21"/>
      <c r="AF21"/>
      <c r="AG21"/>
      <c r="AL21"/>
      <c r="AM21"/>
    </row>
    <row r="22" spans="1:42" s="122" customFormat="1" ht="18.75">
      <c r="A22" s="542"/>
      <c r="B22" s="543"/>
      <c r="C22" s="543"/>
      <c r="D22" s="543"/>
      <c r="E22" s="543"/>
      <c r="F22" s="543"/>
      <c r="G22" s="543"/>
      <c r="H22" s="544"/>
      <c r="I22" s="545"/>
      <c r="J22" s="546"/>
      <c r="K22" s="546"/>
      <c r="L22" s="546"/>
      <c r="M22" s="543"/>
      <c r="N22" s="543"/>
      <c r="O22" s="543"/>
      <c r="P22" s="543"/>
      <c r="Q22" s="543"/>
      <c r="R22" s="543"/>
      <c r="S22" s="543"/>
      <c r="T22" s="543"/>
      <c r="U22" s="543"/>
      <c r="V22" s="543"/>
      <c r="W22" s="543"/>
      <c r="X22" s="543"/>
      <c r="Y22" s="543"/>
      <c r="Z22" s="543"/>
      <c r="AC22" s="444"/>
      <c r="AF22" s="444"/>
      <c r="AL22" s="444"/>
      <c r="AM22" s="444"/>
    </row>
    <row r="23" spans="1:42" ht="18.75">
      <c r="A23" s="145" t="s">
        <v>1999</v>
      </c>
      <c r="B23" s="120"/>
      <c r="C23" s="120"/>
      <c r="D23" s="120"/>
      <c r="E23" s="120"/>
      <c r="F23" s="120"/>
      <c r="G23" s="120"/>
      <c r="H23" s="539"/>
      <c r="I23" s="540"/>
      <c r="J23" s="541"/>
      <c r="K23" s="541"/>
      <c r="L23" s="541"/>
      <c r="M23" s="120"/>
      <c r="N23" s="120"/>
      <c r="O23" s="120"/>
      <c r="P23" s="120"/>
      <c r="Q23" s="120"/>
      <c r="R23" s="120"/>
      <c r="S23" s="120"/>
      <c r="T23" s="120"/>
      <c r="U23" s="120"/>
      <c r="V23" s="120"/>
      <c r="W23" s="120"/>
      <c r="X23" s="120"/>
      <c r="Y23" s="120"/>
      <c r="Z23" s="120"/>
      <c r="AC23" s="431"/>
      <c r="AF23" s="431"/>
      <c r="AL23" s="431"/>
      <c r="AM23" s="431"/>
    </row>
    <row r="24" spans="1:42" ht="15.75">
      <c r="AC24"/>
      <c r="AF24"/>
      <c r="AL24"/>
      <c r="AM24"/>
    </row>
    <row r="25" spans="1:42" ht="15.75">
      <c r="AC25"/>
      <c r="AL25"/>
      <c r="AM25"/>
    </row>
    <row r="26" spans="1:42" ht="15.75">
      <c r="AC26"/>
      <c r="AL26"/>
    </row>
    <row r="27" spans="1:42" ht="15.75">
      <c r="B27" s="804" t="s">
        <v>18</v>
      </c>
      <c r="C27" s="805" t="s">
        <v>2381</v>
      </c>
      <c r="I27"/>
      <c r="J27"/>
      <c r="AC27"/>
      <c r="AL27"/>
    </row>
    <row r="28" spans="1:42" ht="15.75">
      <c r="B28" s="807" t="s">
        <v>20</v>
      </c>
      <c r="C28" s="805" t="s">
        <v>1895</v>
      </c>
      <c r="AC28"/>
      <c r="AL28"/>
    </row>
    <row r="29" spans="1:42" ht="15.75">
      <c r="B29" s="804" t="s">
        <v>33</v>
      </c>
      <c r="C29" s="805" t="s">
        <v>33</v>
      </c>
      <c r="AC29"/>
      <c r="AL29"/>
    </row>
    <row r="30" spans="1:42" ht="15.75">
      <c r="AL30"/>
    </row>
    <row r="31" spans="1:42" ht="15.75">
      <c r="B31" s="805"/>
      <c r="C31" s="804" t="s">
        <v>1897</v>
      </c>
      <c r="D31"/>
      <c r="AL31"/>
    </row>
    <row r="32" spans="1:42" ht="15.75">
      <c r="B32" s="804" t="s">
        <v>1898</v>
      </c>
      <c r="C32" s="805" t="s">
        <v>796</v>
      </c>
      <c r="D32"/>
      <c r="AL32"/>
    </row>
    <row r="33" spans="2:18">
      <c r="B33" s="814" t="s">
        <v>1651</v>
      </c>
      <c r="C33" s="815">
        <v>324.53599999999994</v>
      </c>
    </row>
    <row r="34" spans="2:18" ht="15.75">
      <c r="B34" s="814" t="s">
        <v>1652</v>
      </c>
      <c r="C34" s="815">
        <v>1256.4760000000001</v>
      </c>
      <c r="I34"/>
      <c r="J34"/>
      <c r="K34"/>
      <c r="P34"/>
      <c r="Q34"/>
      <c r="R34"/>
    </row>
    <row r="35" spans="2:18" ht="15.75">
      <c r="F35" s="119"/>
      <c r="G35" s="119"/>
      <c r="H35" s="119"/>
      <c r="I35"/>
      <c r="J35"/>
      <c r="K35"/>
    </row>
    <row r="36" spans="2:18" ht="15.75">
      <c r="F36" s="119"/>
      <c r="G36" s="119"/>
      <c r="H36" s="119"/>
      <c r="I36"/>
      <c r="J36"/>
      <c r="K36"/>
    </row>
    <row r="40" spans="2:18">
      <c r="B40" s="119"/>
      <c r="C40" s="119"/>
      <c r="D40" s="119"/>
      <c r="F40" s="119"/>
      <c r="G40" s="119"/>
      <c r="H40" s="119"/>
      <c r="J40" s="119"/>
      <c r="K40" s="119"/>
      <c r="L40" s="119"/>
    </row>
    <row r="41" spans="2:18" s="122" customFormat="1">
      <c r="B41" s="123"/>
      <c r="C41" s="124"/>
      <c r="D41" s="124"/>
      <c r="E41" s="125"/>
      <c r="F41" s="125"/>
      <c r="G41" s="126"/>
    </row>
    <row r="42" spans="2:18" s="122" customFormat="1">
      <c r="B42" s="123"/>
      <c r="C42" s="124"/>
      <c r="D42" s="124"/>
      <c r="E42" s="125"/>
      <c r="F42" s="125"/>
      <c r="G42" s="126"/>
    </row>
    <row r="43" spans="2:18" s="122" customFormat="1" ht="15.75">
      <c r="B43"/>
      <c r="C43"/>
      <c r="D43"/>
      <c r="E43"/>
      <c r="F43" s="125"/>
      <c r="G43" s="126"/>
      <c r="M43"/>
      <c r="N43"/>
      <c r="O43"/>
    </row>
    <row r="44" spans="2:18" s="122" customFormat="1" ht="15.75">
      <c r="B44"/>
      <c r="C44"/>
      <c r="D44"/>
      <c r="E44"/>
      <c r="F44" s="125"/>
      <c r="G44" s="126"/>
      <c r="M44"/>
      <c r="N44"/>
      <c r="O44"/>
    </row>
    <row r="45" spans="2:18" s="122" customFormat="1" ht="15.75">
      <c r="B45" s="804" t="s">
        <v>18</v>
      </c>
      <c r="C45" s="805" t="s">
        <v>2381</v>
      </c>
      <c r="D45" s="124"/>
      <c r="E45"/>
      <c r="F45" s="125"/>
      <c r="G45" s="126"/>
      <c r="M45"/>
      <c r="N45"/>
      <c r="O45"/>
    </row>
    <row r="46" spans="2:18" s="122" customFormat="1" ht="15.75">
      <c r="B46" s="804" t="s">
        <v>33</v>
      </c>
      <c r="C46" s="805" t="s">
        <v>33</v>
      </c>
      <c r="D46" s="119"/>
      <c r="E46"/>
      <c r="F46" s="125"/>
      <c r="G46" s="126"/>
      <c r="M46"/>
      <c r="N46"/>
      <c r="O46"/>
    </row>
    <row r="47" spans="2:18" s="122" customFormat="1" ht="15.75">
      <c r="B47" s="819" t="s">
        <v>20</v>
      </c>
      <c r="C47" s="805" t="s">
        <v>1895</v>
      </c>
      <c r="D47" s="119"/>
      <c r="E47"/>
      <c r="F47" s="125"/>
      <c r="G47" s="126"/>
      <c r="M47"/>
      <c r="N47"/>
      <c r="O47"/>
    </row>
    <row r="48" spans="2:18" s="122" customFormat="1" ht="15.75">
      <c r="B48" s="804" t="s">
        <v>126</v>
      </c>
      <c r="C48" s="805" t="s">
        <v>796</v>
      </c>
      <c r="D48" s="119"/>
      <c r="E48"/>
      <c r="F48" s="125"/>
      <c r="G48" s="126"/>
      <c r="M48"/>
      <c r="N48"/>
      <c r="O48"/>
    </row>
    <row r="49" spans="1:26" s="122" customFormat="1" ht="15.75">
      <c r="B49" s="464" t="s">
        <v>296</v>
      </c>
      <c r="C49" s="119"/>
      <c r="D49" s="119"/>
      <c r="E49"/>
      <c r="F49" s="125"/>
      <c r="G49" s="126"/>
    </row>
    <row r="50" spans="1:26" s="122" customFormat="1" ht="15.75">
      <c r="B50" s="817" t="s">
        <v>20</v>
      </c>
      <c r="C50" s="805" t="s">
        <v>2830</v>
      </c>
      <c r="D50" s="805" t="s">
        <v>2826</v>
      </c>
      <c r="E50"/>
      <c r="F50" s="125"/>
      <c r="G50" s="126"/>
      <c r="M50"/>
      <c r="N50"/>
      <c r="O50"/>
    </row>
    <row r="51" spans="1:26" s="122" customFormat="1" ht="15.75">
      <c r="B51" s="810" t="s">
        <v>321</v>
      </c>
      <c r="C51" s="813">
        <v>0.16050554460425234</v>
      </c>
      <c r="D51" s="813">
        <v>0.83949445539574763</v>
      </c>
      <c r="E51"/>
      <c r="F51" s="125"/>
      <c r="G51" s="126"/>
      <c r="M51"/>
      <c r="N51"/>
      <c r="O51"/>
    </row>
    <row r="52" spans="1:26" s="122" customFormat="1" ht="15.75">
      <c r="B52" s="810" t="s">
        <v>359</v>
      </c>
      <c r="C52" s="813">
        <v>9.3596059113300489E-2</v>
      </c>
      <c r="D52" s="813">
        <v>0.90640394088669951</v>
      </c>
      <c r="E52" s="125"/>
      <c r="F52" s="125"/>
      <c r="G52" s="126"/>
      <c r="M52"/>
      <c r="N52"/>
      <c r="O52"/>
    </row>
    <row r="53" spans="1:26" s="122" customFormat="1">
      <c r="B53" s="810" t="s">
        <v>304</v>
      </c>
      <c r="C53" s="813">
        <v>0.96332320162107399</v>
      </c>
      <c r="D53" s="813">
        <v>3.6676798378926012E-2</v>
      </c>
      <c r="E53" s="125"/>
      <c r="F53" s="125"/>
      <c r="G53" s="126"/>
    </row>
    <row r="54" spans="1:26" s="122" customFormat="1">
      <c r="B54" s="810" t="s">
        <v>307</v>
      </c>
      <c r="C54" s="813">
        <v>0.24206126395907418</v>
      </c>
      <c r="D54" s="813">
        <v>0.75793873604092576</v>
      </c>
      <c r="E54" s="125"/>
      <c r="F54" s="125"/>
      <c r="G54" s="126"/>
    </row>
    <row r="55" spans="1:26" s="122" customFormat="1">
      <c r="B55" s="810" t="s">
        <v>314</v>
      </c>
      <c r="C55" s="813">
        <v>0</v>
      </c>
      <c r="D55" s="813">
        <v>1</v>
      </c>
      <c r="E55" s="125"/>
      <c r="F55" s="125"/>
      <c r="G55" s="126"/>
    </row>
    <row r="56" spans="1:26" s="122" customFormat="1">
      <c r="B56" s="810" t="s">
        <v>473</v>
      </c>
      <c r="C56" s="813">
        <v>0.93540524070688602</v>
      </c>
      <c r="D56" s="813">
        <v>6.4594759293113979E-2</v>
      </c>
      <c r="E56" s="125"/>
      <c r="F56" s="125"/>
      <c r="G56" s="126"/>
    </row>
    <row r="57" spans="1:26" s="122" customFormat="1">
      <c r="B57" s="810" t="s">
        <v>401</v>
      </c>
      <c r="C57" s="813">
        <v>1</v>
      </c>
      <c r="D57" s="813">
        <v>0</v>
      </c>
      <c r="E57" s="125"/>
      <c r="F57" s="125"/>
      <c r="G57" s="126"/>
    </row>
    <row r="58" spans="1:26" s="122" customFormat="1">
      <c r="B58" s="810" t="s">
        <v>404</v>
      </c>
      <c r="C58" s="813">
        <v>0.66461213027462707</v>
      </c>
      <c r="D58" s="813">
        <v>0.33538786972537293</v>
      </c>
      <c r="E58" s="125"/>
      <c r="F58" s="125"/>
      <c r="G58" s="126"/>
    </row>
    <row r="59" spans="1:26" s="122" customFormat="1">
      <c r="B59" s="810" t="s">
        <v>297</v>
      </c>
      <c r="C59" s="813">
        <v>9.2035694942356791E-2</v>
      </c>
      <c r="D59" s="813">
        <v>0.90796430505764325</v>
      </c>
      <c r="E59" s="125"/>
      <c r="F59" s="125"/>
      <c r="G59" s="126"/>
    </row>
    <row r="60" spans="1:26" s="122" customFormat="1" ht="15.75">
      <c r="B60" s="548"/>
      <c r="C60" s="548"/>
      <c r="D60" s="548"/>
      <c r="E60" s="125"/>
      <c r="F60" s="125"/>
      <c r="G60" s="126"/>
    </row>
    <row r="61" spans="1:26" s="122" customFormat="1" ht="15.75">
      <c r="B61" s="548"/>
      <c r="C61" s="548"/>
      <c r="D61" s="548"/>
      <c r="E61" s="125"/>
      <c r="F61" s="125"/>
      <c r="G61" s="126"/>
      <c r="K61"/>
      <c r="L61"/>
      <c r="M61"/>
    </row>
    <row r="62" spans="1:26" s="122" customFormat="1" ht="15.75">
      <c r="B62" s="123"/>
      <c r="C62" s="124"/>
      <c r="D62" s="124"/>
      <c r="E62" s="125"/>
      <c r="F62" s="125"/>
      <c r="G62" s="126"/>
      <c r="K62"/>
      <c r="L62"/>
      <c r="M62"/>
      <c r="T62"/>
      <c r="U62"/>
    </row>
    <row r="63" spans="1:26" s="122" customFormat="1" ht="15.75">
      <c r="B63" s="123"/>
      <c r="C63" s="124"/>
      <c r="D63" s="124"/>
      <c r="E63" s="125"/>
      <c r="F63" s="125"/>
      <c r="G63" s="126"/>
      <c r="T63"/>
      <c r="U63"/>
    </row>
    <row r="64" spans="1:26" s="134" customFormat="1" ht="18.75">
      <c r="A64" s="110" t="s">
        <v>2000</v>
      </c>
      <c r="B64" s="110"/>
      <c r="C64" s="131"/>
      <c r="D64" s="132"/>
      <c r="E64" s="132"/>
      <c r="F64" s="132"/>
      <c r="G64" s="133"/>
      <c r="H64" s="110"/>
      <c r="I64" s="110"/>
      <c r="J64" s="110"/>
      <c r="K64" s="110"/>
      <c r="L64" s="110"/>
      <c r="M64" s="110"/>
      <c r="N64" s="110"/>
      <c r="O64" s="110"/>
      <c r="P64" s="110"/>
      <c r="Q64" s="110"/>
      <c r="R64" s="110"/>
      <c r="S64" s="110"/>
      <c r="T64" s="110"/>
      <c r="U64" s="110"/>
      <c r="V64" s="110"/>
      <c r="W64" s="110"/>
      <c r="X64" s="110"/>
      <c r="Y64" s="110"/>
      <c r="Z64" s="110"/>
    </row>
    <row r="65" spans="2:30">
      <c r="C65" s="114"/>
      <c r="D65" s="115"/>
      <c r="E65" s="115"/>
      <c r="F65" s="115"/>
      <c r="G65" s="116"/>
    </row>
    <row r="66" spans="2:30" ht="15.75">
      <c r="F66" s="115"/>
      <c r="G66" s="116"/>
      <c r="L66"/>
    </row>
    <row r="67" spans="2:30" ht="15.75">
      <c r="B67" s="804" t="s">
        <v>18</v>
      </c>
      <c r="C67" s="805" t="s">
        <v>2381</v>
      </c>
      <c r="D67" s="548"/>
      <c r="E67" s="115"/>
      <c r="H67" s="804" t="s">
        <v>18</v>
      </c>
      <c r="I67" s="805" t="s">
        <v>2381</v>
      </c>
    </row>
    <row r="68" spans="2:30" ht="15.75">
      <c r="B68" s="811" t="s">
        <v>20</v>
      </c>
      <c r="C68" s="805" t="s">
        <v>1895</v>
      </c>
      <c r="D68" s="548"/>
      <c r="H68" s="811" t="s">
        <v>20</v>
      </c>
      <c r="I68" s="805" t="s">
        <v>1895</v>
      </c>
      <c r="K68"/>
    </row>
    <row r="69" spans="2:30" ht="15.75">
      <c r="B69" s="804" t="s">
        <v>33</v>
      </c>
      <c r="C69" s="805" t="s">
        <v>33</v>
      </c>
      <c r="D69" s="548"/>
      <c r="H69" s="804" t="s">
        <v>33</v>
      </c>
      <c r="I69" s="805" t="s">
        <v>33</v>
      </c>
    </row>
    <row r="70" spans="2:30" s="117" customFormat="1" ht="15.75">
      <c r="B70" s="112"/>
      <c r="C70" s="112"/>
      <c r="D70" s="548"/>
      <c r="E70" s="112"/>
      <c r="F70" s="119"/>
      <c r="G70" s="119"/>
      <c r="H70" s="804" t="s">
        <v>126</v>
      </c>
      <c r="I70" s="805" t="s">
        <v>796</v>
      </c>
      <c r="J70" s="112"/>
      <c r="K70" s="112"/>
      <c r="M70" s="112"/>
      <c r="S70" s="112"/>
      <c r="T70" s="112"/>
      <c r="U70" s="112"/>
      <c r="V70" s="112"/>
      <c r="W70" s="112"/>
      <c r="Y70" s="112"/>
      <c r="AC70" s="112"/>
      <c r="AD70" s="112"/>
    </row>
    <row r="71" spans="2:30" ht="15.75">
      <c r="B71" s="805"/>
      <c r="C71" s="804" t="s">
        <v>1897</v>
      </c>
      <c r="D71" s="548"/>
      <c r="E71"/>
      <c r="F71"/>
      <c r="G71"/>
      <c r="H71" s="804" t="s">
        <v>2954</v>
      </c>
      <c r="I71" s="805" t="s">
        <v>41</v>
      </c>
      <c r="L71"/>
      <c r="M71"/>
      <c r="Q71" s="119"/>
    </row>
    <row r="72" spans="2:30" ht="15.75">
      <c r="B72" s="804" t="s">
        <v>1898</v>
      </c>
      <c r="C72" s="805" t="s">
        <v>1930</v>
      </c>
      <c r="D72" s="548"/>
      <c r="E72"/>
      <c r="F72"/>
      <c r="G72"/>
      <c r="J72" s="117"/>
      <c r="K72" s="117"/>
      <c r="L72"/>
      <c r="M72" s="560"/>
      <c r="N72" s="469"/>
      <c r="O72" s="469"/>
      <c r="P72" s="469"/>
      <c r="Q72" s="718"/>
      <c r="R72" s="469"/>
      <c r="S72" s="469"/>
      <c r="T72" s="469"/>
      <c r="U72" s="469"/>
      <c r="V72" s="469"/>
      <c r="W72" s="469"/>
      <c r="X72" s="469"/>
      <c r="Y72" s="469"/>
      <c r="Z72" s="469"/>
      <c r="AA72" s="469"/>
      <c r="AB72" s="469"/>
      <c r="AC72" s="469"/>
      <c r="AD72" s="469"/>
    </row>
    <row r="73" spans="2:30" ht="15.75">
      <c r="B73" s="810" t="s">
        <v>1928</v>
      </c>
      <c r="C73" s="809">
        <v>64666</v>
      </c>
      <c r="D73" s="548"/>
      <c r="E73"/>
      <c r="F73"/>
      <c r="G73"/>
      <c r="H73" s="805"/>
      <c r="I73" s="804" t="s">
        <v>1897</v>
      </c>
      <c r="J73" s="805"/>
      <c r="K73" s="805"/>
      <c r="L73"/>
      <c r="M73"/>
      <c r="Q73" s="119"/>
    </row>
    <row r="74" spans="2:30" ht="15.75">
      <c r="B74" s="810" t="s">
        <v>2973</v>
      </c>
      <c r="C74" s="809">
        <v>2870</v>
      </c>
      <c r="D74" s="548"/>
      <c r="E74"/>
      <c r="F74"/>
      <c r="G74"/>
      <c r="H74" s="805"/>
      <c r="I74" s="805" t="s">
        <v>128</v>
      </c>
      <c r="J74" s="805" t="s">
        <v>41</v>
      </c>
      <c r="K74" s="805" t="s">
        <v>132</v>
      </c>
      <c r="L74"/>
      <c r="M74"/>
      <c r="Q74" s="119"/>
    </row>
    <row r="75" spans="2:30" ht="15.75">
      <c r="C75" s="548"/>
      <c r="D75" s="548"/>
      <c r="E75"/>
      <c r="F75"/>
      <c r="G75"/>
      <c r="H75" s="805" t="s">
        <v>2974</v>
      </c>
      <c r="I75" s="809">
        <v>79</v>
      </c>
      <c r="J75" s="809">
        <v>28</v>
      </c>
      <c r="K75" s="809">
        <v>10</v>
      </c>
      <c r="L75"/>
      <c r="M75"/>
      <c r="Q75" s="119"/>
    </row>
    <row r="76" spans="2:30" ht="15.75">
      <c r="C76"/>
      <c r="D76"/>
      <c r="E76"/>
      <c r="F76"/>
      <c r="G76"/>
      <c r="K76"/>
      <c r="L76"/>
      <c r="M76"/>
      <c r="Q76" s="119"/>
      <c r="S76"/>
      <c r="T76"/>
      <c r="U76"/>
    </row>
    <row r="77" spans="2:30" ht="16.5" thickBot="1">
      <c r="B77" s="119"/>
      <c r="C77"/>
      <c r="D77"/>
      <c r="E77"/>
      <c r="F77"/>
      <c r="G77"/>
      <c r="K77"/>
      <c r="L77"/>
      <c r="M77"/>
      <c r="Q77" s="119"/>
      <c r="S77"/>
      <c r="T77"/>
      <c r="U77"/>
    </row>
    <row r="78" spans="2:30" ht="15.75">
      <c r="B78" s="136" t="s">
        <v>296</v>
      </c>
      <c r="C78" s="137" t="s">
        <v>1930</v>
      </c>
      <c r="D78"/>
      <c r="E78"/>
      <c r="F78"/>
      <c r="J78"/>
      <c r="K78"/>
      <c r="L78"/>
      <c r="P78" s="119"/>
      <c r="R78"/>
      <c r="S78"/>
      <c r="T78"/>
    </row>
    <row r="79" spans="2:30" ht="15.75">
      <c r="B79" s="138" t="s">
        <v>1651</v>
      </c>
      <c r="C79" s="139">
        <f>GETPIVOTDATA("Sum of #_of_sanitary_fly-proof_HH_latrines",$B$71,"Location Type","# in villages (6:1)")</f>
        <v>2870</v>
      </c>
      <c r="D79"/>
      <c r="E79"/>
      <c r="F79"/>
      <c r="I79" s="114"/>
      <c r="J79"/>
      <c r="K79"/>
      <c r="L79"/>
      <c r="P79" s="119"/>
      <c r="Q79" s="119"/>
      <c r="R79"/>
      <c r="S79"/>
      <c r="T79"/>
    </row>
    <row r="80" spans="2:30" ht="15.75">
      <c r="B80" s="138" t="s">
        <v>1938</v>
      </c>
      <c r="C80" s="139">
        <f>C83-C79</f>
        <v>61796</v>
      </c>
      <c r="D80" s="116"/>
      <c r="E80" s="119"/>
      <c r="F80" s="119"/>
      <c r="H80"/>
      <c r="I80"/>
      <c r="R80" s="119"/>
    </row>
    <row r="81" spans="1:21" ht="30">
      <c r="A81" s="472" t="s">
        <v>2694</v>
      </c>
      <c r="B81" s="138" t="s">
        <v>2695</v>
      </c>
      <c r="C81" s="139" t="e">
        <f>GETPIVOTDATA("# Operation &amp; maintenance of latrines",$B$71,"Location Type","# in villages (6:1)")</f>
        <v>#REF!</v>
      </c>
      <c r="D81" s="548"/>
      <c r="E81" s="548"/>
      <c r="F81" s="548"/>
      <c r="H81" s="804" t="s">
        <v>18</v>
      </c>
      <c r="I81" s="805" t="s">
        <v>2381</v>
      </c>
      <c r="N81" s="119"/>
      <c r="O81" s="118"/>
    </row>
    <row r="82" spans="1:21" ht="15.75">
      <c r="B82" s="138" t="s">
        <v>1929</v>
      </c>
      <c r="C82" s="139" t="e">
        <f>GETPIVOTDATA("# latrines desludged",$B$71,"Location Type","# in villages (6:1)")</f>
        <v>#REF!</v>
      </c>
      <c r="D82" s="548"/>
      <c r="E82" s="548"/>
      <c r="F82" s="548"/>
      <c r="H82" s="811" t="s">
        <v>20</v>
      </c>
      <c r="I82" s="805" t="s">
        <v>1895</v>
      </c>
      <c r="N82" s="119"/>
      <c r="O82" s="118"/>
    </row>
    <row r="83" spans="1:21" ht="16.5" thickBot="1">
      <c r="B83" s="140" t="s">
        <v>1928</v>
      </c>
      <c r="C83" s="474">
        <f>GETPIVOTDATA("# latrines (target)",$B$71,"Location Type","# in villages (6:1)")</f>
        <v>64666</v>
      </c>
      <c r="D83" s="548"/>
      <c r="E83" s="548"/>
      <c r="F83" s="548"/>
      <c r="G83" s="119"/>
      <c r="H83" s="804" t="s">
        <v>33</v>
      </c>
      <c r="I83" s="805" t="s">
        <v>33</v>
      </c>
    </row>
    <row r="84" spans="1:21" ht="15.75">
      <c r="B84" s="548"/>
      <c r="C84" s="548"/>
      <c r="D84" s="548"/>
      <c r="E84" s="548"/>
      <c r="F84" s="548"/>
      <c r="G84" s="548"/>
      <c r="H84" s="804" t="s">
        <v>126</v>
      </c>
      <c r="I84" s="805" t="s">
        <v>796</v>
      </c>
    </row>
    <row r="85" spans="1:21" ht="15.75">
      <c r="B85" s="548"/>
      <c r="C85" s="548"/>
      <c r="D85" s="548"/>
      <c r="E85" s="548"/>
      <c r="F85" s="548"/>
      <c r="G85" s="548"/>
      <c r="J85" s="117"/>
    </row>
    <row r="86" spans="1:21" ht="15.75">
      <c r="B86" s="548"/>
      <c r="C86" s="548"/>
      <c r="D86" s="548"/>
      <c r="E86" s="548"/>
      <c r="F86" s="548"/>
      <c r="G86" s="548"/>
      <c r="H86" s="805"/>
      <c r="I86" s="804" t="s">
        <v>1897</v>
      </c>
      <c r="J86" s="805"/>
      <c r="K86" s="469"/>
      <c r="L86" s="469"/>
      <c r="M86" s="469"/>
      <c r="N86" s="469"/>
      <c r="O86" s="469"/>
      <c r="P86" s="469"/>
      <c r="Q86" s="718"/>
      <c r="R86" s="718"/>
      <c r="S86" s="469"/>
      <c r="T86" s="469"/>
      <c r="U86" s="469"/>
    </row>
    <row r="87" spans="1:21" ht="15.75">
      <c r="B87" s="548"/>
      <c r="C87" s="548"/>
      <c r="D87" s="548"/>
      <c r="E87" s="548"/>
      <c r="F87" s="548"/>
      <c r="G87" s="548"/>
      <c r="H87" s="805"/>
      <c r="I87" s="805" t="s">
        <v>128</v>
      </c>
      <c r="J87" s="805" t="s">
        <v>41</v>
      </c>
      <c r="K87" s="141"/>
      <c r="L87" s="142"/>
      <c r="M87" s="142"/>
      <c r="Q87" s="119"/>
      <c r="R87" s="119"/>
    </row>
    <row r="88" spans="1:21" ht="15.75">
      <c r="B88" s="548"/>
      <c r="C88" s="548"/>
      <c r="D88" s="548"/>
      <c r="E88" s="548"/>
      <c r="F88" s="548"/>
      <c r="G88" s="548"/>
      <c r="H88" s="805" t="s">
        <v>2975</v>
      </c>
      <c r="I88" s="809">
        <v>142</v>
      </c>
      <c r="J88" s="809">
        <v>117</v>
      </c>
      <c r="K88" s="141"/>
      <c r="L88" s="142"/>
      <c r="M88" s="142"/>
      <c r="Q88" s="119"/>
      <c r="R88" s="119"/>
      <c r="S88" s="141"/>
      <c r="T88" s="142"/>
      <c r="U88" s="142"/>
    </row>
    <row r="89" spans="1:21">
      <c r="B89" s="116"/>
      <c r="C89" s="116"/>
      <c r="D89" s="116"/>
      <c r="E89" s="116"/>
      <c r="F89" s="116"/>
      <c r="G89" s="116"/>
    </row>
    <row r="90" spans="1:21">
      <c r="B90" s="116"/>
      <c r="C90" s="116"/>
      <c r="D90" s="116"/>
      <c r="E90" s="116"/>
      <c r="F90" s="116"/>
      <c r="G90" s="116"/>
    </row>
    <row r="91" spans="1:21">
      <c r="B91" s="141"/>
      <c r="C91" s="142"/>
      <c r="D91" s="142"/>
      <c r="E91" s="142"/>
      <c r="F91" s="142"/>
      <c r="K91" s="713" t="s">
        <v>2974</v>
      </c>
    </row>
    <row r="92" spans="1:21">
      <c r="H92" s="713"/>
      <c r="I92" s="717" t="s">
        <v>2976</v>
      </c>
      <c r="J92" s="717" t="s">
        <v>2986</v>
      </c>
      <c r="K92" s="717" t="s">
        <v>2987</v>
      </c>
      <c r="L92" s="761" t="s">
        <v>132</v>
      </c>
    </row>
    <row r="93" spans="1:21">
      <c r="B93" s="804" t="s">
        <v>18</v>
      </c>
      <c r="C93" s="805" t="s">
        <v>2381</v>
      </c>
      <c r="D93" s="124"/>
      <c r="H93" s="713" t="s">
        <v>2954</v>
      </c>
      <c r="I93" s="717">
        <f>GETPIVOTDATA("Village with School",$H$86,"Village with School","No")</f>
        <v>142</v>
      </c>
      <c r="J93" s="717">
        <f>GETPIVOTDATA("Availability_of_drainage_in_school_compound_(Yes_or_No)",$H$73,"Availability_of_drainage_in_school_compound_(Yes_or_No)","No")</f>
        <v>79</v>
      </c>
      <c r="K93" s="717">
        <f>GETPIVOTDATA("Availability_of_drainage_in_school_compound_(Yes_or_No)",$H$73,"Availability_of_drainage_in_school_compound_(Yes_or_No)","Yes")</f>
        <v>28</v>
      </c>
      <c r="L93" s="112">
        <f>GETPIVOTDATA("Availability_of_drainage_in_school_compound_(Yes_or_No)",$H$73,"Availability_of_drainage_in_school_compound_(Yes_or_No)","NA")</f>
        <v>10</v>
      </c>
    </row>
    <row r="94" spans="1:21">
      <c r="B94" s="804" t="s">
        <v>33</v>
      </c>
      <c r="C94" s="805" t="s">
        <v>33</v>
      </c>
      <c r="D94" s="119"/>
    </row>
    <row r="95" spans="1:21">
      <c r="B95" s="818" t="s">
        <v>20</v>
      </c>
      <c r="C95" s="805" t="s">
        <v>1895</v>
      </c>
      <c r="D95" s="119"/>
    </row>
    <row r="96" spans="1:21">
      <c r="B96" s="804" t="s">
        <v>126</v>
      </c>
      <c r="C96" s="805" t="s">
        <v>796</v>
      </c>
      <c r="D96" s="119"/>
    </row>
    <row r="97" spans="2:24">
      <c r="B97" s="471"/>
      <c r="C97" s="119"/>
      <c r="D97" s="119"/>
    </row>
    <row r="98" spans="2:24">
      <c r="B98" s="817" t="s">
        <v>20</v>
      </c>
      <c r="C98" s="805" t="s">
        <v>2831</v>
      </c>
      <c r="D98" s="805" t="s">
        <v>2832</v>
      </c>
    </row>
    <row r="99" spans="2:24">
      <c r="B99" s="810" t="s">
        <v>321</v>
      </c>
      <c r="C99" s="813">
        <v>4.4681317076732133E-2</v>
      </c>
      <c r="D99" s="813">
        <v>0.95531868292326783</v>
      </c>
    </row>
    <row r="100" spans="2:24">
      <c r="B100" s="810" t="s">
        <v>359</v>
      </c>
      <c r="C100" s="813">
        <v>0.16603882932483338</v>
      </c>
      <c r="D100" s="813">
        <v>0.83396117067516662</v>
      </c>
    </row>
    <row r="101" spans="2:24" ht="15.75">
      <c r="B101" s="810" t="s">
        <v>304</v>
      </c>
      <c r="C101" s="813">
        <v>0.58768996960486319</v>
      </c>
      <c r="D101" s="813">
        <v>0.41231003039513681</v>
      </c>
      <c r="L101"/>
      <c r="M101"/>
      <c r="N101"/>
    </row>
    <row r="102" spans="2:24" ht="15.75">
      <c r="B102" s="810" t="s">
        <v>307</v>
      </c>
      <c r="C102" s="813">
        <v>0.12227837045355293</v>
      </c>
      <c r="D102" s="813">
        <v>0.87772162954644706</v>
      </c>
      <c r="L102"/>
      <c r="M102"/>
      <c r="N102"/>
    </row>
    <row r="103" spans="2:24" ht="15.75">
      <c r="B103" s="810" t="s">
        <v>314</v>
      </c>
      <c r="C103" s="813">
        <v>0</v>
      </c>
      <c r="D103" s="813">
        <v>1</v>
      </c>
      <c r="L103"/>
      <c r="M103"/>
      <c r="N103"/>
    </row>
    <row r="104" spans="2:24" ht="15.75">
      <c r="B104" s="810" t="s">
        <v>473</v>
      </c>
      <c r="C104" s="813">
        <v>0.54539914686166968</v>
      </c>
      <c r="D104" s="813">
        <v>0.45460085313833032</v>
      </c>
      <c r="L104"/>
      <c r="M104"/>
      <c r="N104"/>
      <c r="V104"/>
      <c r="W104"/>
      <c r="X104"/>
    </row>
    <row r="105" spans="2:24" ht="15.75">
      <c r="B105" s="810" t="s">
        <v>401</v>
      </c>
      <c r="C105" s="813">
        <v>1</v>
      </c>
      <c r="D105" s="813">
        <v>0</v>
      </c>
      <c r="L105"/>
      <c r="M105"/>
      <c r="N105"/>
      <c r="V105"/>
      <c r="W105"/>
      <c r="X105"/>
    </row>
    <row r="106" spans="2:24" ht="15.75">
      <c r="B106" s="810" t="s">
        <v>404</v>
      </c>
      <c r="C106" s="813">
        <v>9.6684780626572819E-2</v>
      </c>
      <c r="D106" s="813">
        <v>0.90331521937342718</v>
      </c>
      <c r="L106"/>
      <c r="M106"/>
      <c r="N106"/>
      <c r="V106"/>
      <c r="W106"/>
      <c r="X106"/>
    </row>
    <row r="107" spans="2:24" ht="15.75">
      <c r="B107" s="810" t="s">
        <v>297</v>
      </c>
      <c r="C107" s="813">
        <v>7.6277306372991511E-3</v>
      </c>
      <c r="D107" s="813">
        <v>0.99237226936270084</v>
      </c>
      <c r="L107"/>
      <c r="M107"/>
      <c r="N107"/>
    </row>
    <row r="108" spans="2:24" ht="15.75">
      <c r="L108"/>
      <c r="M108"/>
      <c r="N108"/>
    </row>
    <row r="109" spans="2:24" ht="15.75">
      <c r="B109"/>
      <c r="C109"/>
      <c r="D109"/>
      <c r="L109"/>
      <c r="M109"/>
      <c r="N109"/>
    </row>
    <row r="110" spans="2:24" ht="15.75">
      <c r="B110" s="804" t="s">
        <v>18</v>
      </c>
      <c r="C110" s="805" t="s">
        <v>2381</v>
      </c>
      <c r="J110"/>
      <c r="K110"/>
      <c r="L110"/>
      <c r="M110"/>
      <c r="N110"/>
      <c r="S110"/>
      <c r="T110"/>
      <c r="U110"/>
    </row>
    <row r="111" spans="2:24" ht="15.75">
      <c r="B111" s="811" t="s">
        <v>20</v>
      </c>
      <c r="C111" s="805" t="s">
        <v>1895</v>
      </c>
      <c r="J111"/>
      <c r="K111"/>
      <c r="L111"/>
      <c r="M111"/>
      <c r="N111"/>
      <c r="S111"/>
      <c r="T111"/>
      <c r="U111"/>
    </row>
    <row r="112" spans="2:24" ht="15.75">
      <c r="B112" s="804" t="s">
        <v>33</v>
      </c>
      <c r="C112" s="805" t="s">
        <v>33</v>
      </c>
      <c r="J112"/>
      <c r="K112"/>
      <c r="L112"/>
      <c r="M112"/>
      <c r="N112"/>
      <c r="S112"/>
      <c r="T112"/>
      <c r="U112"/>
    </row>
    <row r="113" spans="1:42" ht="15.75">
      <c r="B113" s="804" t="s">
        <v>126</v>
      </c>
      <c r="C113" s="805" t="s">
        <v>796</v>
      </c>
      <c r="J113"/>
      <c r="K113"/>
      <c r="L113"/>
      <c r="M113"/>
      <c r="N113"/>
      <c r="S113"/>
      <c r="T113"/>
      <c r="U113"/>
    </row>
    <row r="114" spans="1:42" ht="15.75">
      <c r="D114" s="117"/>
      <c r="E114" s="714" t="s">
        <v>2980</v>
      </c>
      <c r="F114" s="715">
        <f>GETPIVOTDATA("Sum of #of students in school",$B$115)</f>
        <v>106431</v>
      </c>
      <c r="J114"/>
      <c r="K114"/>
      <c r="L114"/>
      <c r="M114"/>
      <c r="N114"/>
      <c r="S114"/>
      <c r="T114"/>
      <c r="U114"/>
    </row>
    <row r="115" spans="1:42" ht="15.75">
      <c r="B115" s="804" t="s">
        <v>1898</v>
      </c>
      <c r="C115" s="805"/>
      <c r="D115"/>
      <c r="E115" s="716" t="s">
        <v>1651</v>
      </c>
      <c r="F115" s="717">
        <f>GETPIVOTDATA("Sum of #_of_Functioning_latrines_in_school",$B$115)</f>
        <v>225</v>
      </c>
      <c r="G115" s="469"/>
      <c r="H115" s="469"/>
      <c r="I115" s="469"/>
      <c r="J115" s="560"/>
      <c r="K115" s="560"/>
      <c r="L115" s="560"/>
      <c r="M115" s="560"/>
      <c r="N115" s="560"/>
      <c r="O115" s="469"/>
      <c r="P115" s="469"/>
      <c r="Q115" s="469"/>
      <c r="R115" s="469"/>
      <c r="S115" s="560"/>
      <c r="T115" s="560"/>
      <c r="U115" s="560"/>
      <c r="V115" s="469"/>
      <c r="W115" s="469"/>
      <c r="X115" s="469"/>
      <c r="Y115" s="469"/>
      <c r="Z115" s="469"/>
      <c r="AA115" s="469"/>
      <c r="AB115" s="469"/>
      <c r="AC115" s="469"/>
      <c r="AD115" s="469"/>
      <c r="AE115" s="469"/>
      <c r="AF115" s="469"/>
      <c r="AG115" s="469"/>
      <c r="AH115" s="469"/>
      <c r="AI115" s="469"/>
      <c r="AJ115" s="469"/>
      <c r="AK115" s="469"/>
      <c r="AL115" s="469"/>
      <c r="AM115" s="469"/>
      <c r="AN115" s="469"/>
      <c r="AO115" s="469"/>
      <c r="AP115" s="469"/>
    </row>
    <row r="116" spans="1:42" ht="15.75">
      <c r="B116" s="810" t="s">
        <v>2977</v>
      </c>
      <c r="C116" s="809">
        <v>106431</v>
      </c>
      <c r="D116"/>
      <c r="E116" s="716" t="s">
        <v>2979</v>
      </c>
      <c r="F116" s="717">
        <f>F114/50</f>
        <v>2128.62</v>
      </c>
      <c r="J116"/>
      <c r="K116"/>
      <c r="L116"/>
      <c r="S116"/>
      <c r="T116"/>
    </row>
    <row r="117" spans="1:42" ht="15.75">
      <c r="B117" s="810" t="s">
        <v>2978</v>
      </c>
      <c r="C117" s="809">
        <v>225</v>
      </c>
      <c r="D117"/>
      <c r="E117" s="716" t="s">
        <v>1652</v>
      </c>
      <c r="F117" s="717">
        <f>F116-F115</f>
        <v>1903.62</v>
      </c>
      <c r="S117"/>
      <c r="T117"/>
    </row>
    <row r="118" spans="1:42" ht="15.75">
      <c r="B118" s="719"/>
      <c r="C118" s="720"/>
      <c r="D118" s="720"/>
      <c r="S118" s="548"/>
      <c r="T118" s="548"/>
    </row>
    <row r="119" spans="1:42" ht="15.75">
      <c r="B119" s="719"/>
      <c r="C119" s="720"/>
      <c r="D119" s="720"/>
      <c r="S119" s="548"/>
      <c r="T119" s="548"/>
    </row>
    <row r="120" spans="1:42" ht="15.75">
      <c r="B120" s="719"/>
      <c r="C120" s="720"/>
      <c r="D120" s="720"/>
      <c r="S120" s="548"/>
      <c r="T120" s="548"/>
    </row>
    <row r="121" spans="1:42" ht="15.75">
      <c r="B121" s="719"/>
      <c r="C121" s="720"/>
      <c r="D121" s="720"/>
      <c r="S121" s="548"/>
      <c r="T121" s="548"/>
    </row>
    <row r="122" spans="1:42" ht="18.75">
      <c r="A122" s="146" t="s">
        <v>2001</v>
      </c>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42" ht="15.75">
      <c r="S123"/>
      <c r="T123"/>
    </row>
    <row r="125" spans="1:42">
      <c r="B125" s="804" t="s">
        <v>18</v>
      </c>
      <c r="C125" s="805" t="s">
        <v>2381</v>
      </c>
      <c r="D125" s="119"/>
      <c r="E125" s="723" t="s">
        <v>2858</v>
      </c>
      <c r="F125" s="740" t="s">
        <v>2988</v>
      </c>
      <c r="K125" s="804" t="s">
        <v>18</v>
      </c>
      <c r="L125" s="805" t="s">
        <v>2381</v>
      </c>
    </row>
    <row r="126" spans="1:42">
      <c r="B126" s="804" t="s">
        <v>33</v>
      </c>
      <c r="C126" s="805" t="s">
        <v>33</v>
      </c>
      <c r="E126" s="724">
        <f>GETPIVOTDATA("Sum of Total PoP ",$B$129)</f>
        <v>387854</v>
      </c>
      <c r="F126" s="112">
        <f>GETPIVOTDATA("Men",$B$129)+GETPIVOTDATA("Women",$B$129)+GETPIVOTDATA("Boys",$B$129)+GETPIVOTDATA("Girls",$B$129)</f>
        <v>5786</v>
      </c>
      <c r="K126" s="804" t="s">
        <v>33</v>
      </c>
      <c r="L126" s="805" t="s">
        <v>33</v>
      </c>
      <c r="M126" s="116"/>
    </row>
    <row r="127" spans="1:42">
      <c r="B127" s="804" t="s">
        <v>126</v>
      </c>
      <c r="C127" s="805" t="s">
        <v>796</v>
      </c>
      <c r="D127" s="119"/>
      <c r="K127" s="804" t="s">
        <v>126</v>
      </c>
      <c r="L127" s="805" t="s">
        <v>796</v>
      </c>
    </row>
    <row r="128" spans="1:42">
      <c r="E128" s="723" t="s">
        <v>2989</v>
      </c>
      <c r="F128" s="723" t="s">
        <v>2956</v>
      </c>
      <c r="G128" s="723" t="s">
        <v>2957</v>
      </c>
      <c r="H128" s="723" t="s">
        <v>2958</v>
      </c>
      <c r="I128" s="721" t="s">
        <v>2959</v>
      </c>
    </row>
    <row r="129" spans="2:18" ht="15.75">
      <c r="B129" s="804" t="s">
        <v>1898</v>
      </c>
      <c r="C129" s="805"/>
      <c r="D129"/>
      <c r="E129" s="724">
        <f>E126-F126</f>
        <v>382068</v>
      </c>
      <c r="F129" s="724">
        <f>GETPIVOTDATA("Men",$B$129)</f>
        <v>576</v>
      </c>
      <c r="G129" s="724">
        <f>GETPIVOTDATA("Women",$B$129)</f>
        <v>2883</v>
      </c>
      <c r="H129" s="724">
        <f>GETPIVOTDATA("Boys",$B$129)</f>
        <v>815</v>
      </c>
      <c r="I129" s="722">
        <f>GETPIVOTDATA("Girls",$B$129)</f>
        <v>1512</v>
      </c>
      <c r="K129" s="804" t="s">
        <v>1898</v>
      </c>
      <c r="L129" s="805"/>
      <c r="M129" s="469"/>
      <c r="N129" s="469"/>
      <c r="O129" s="469"/>
      <c r="P129" s="469"/>
      <c r="Q129" s="469"/>
      <c r="R129" s="469"/>
    </row>
    <row r="130" spans="2:18" ht="15.75">
      <c r="B130" s="810" t="s">
        <v>2858</v>
      </c>
      <c r="C130" s="808">
        <v>387854</v>
      </c>
      <c r="D130"/>
      <c r="E130"/>
      <c r="F130"/>
      <c r="G130"/>
      <c r="K130" s="810" t="s">
        <v>2990</v>
      </c>
      <c r="L130" s="808">
        <v>105</v>
      </c>
    </row>
    <row r="131" spans="2:18" ht="15.75">
      <c r="B131" s="810" t="s">
        <v>2956</v>
      </c>
      <c r="C131" s="808">
        <v>576</v>
      </c>
      <c r="D131"/>
      <c r="E131"/>
      <c r="F131"/>
      <c r="G131"/>
      <c r="K131" s="810" t="s">
        <v>2982</v>
      </c>
      <c r="L131" s="808">
        <v>31</v>
      </c>
    </row>
    <row r="132" spans="2:18" ht="15.75">
      <c r="B132" s="810" t="s">
        <v>2957</v>
      </c>
      <c r="C132" s="808">
        <v>2883</v>
      </c>
      <c r="D132"/>
      <c r="E132"/>
      <c r="F132"/>
      <c r="G132"/>
    </row>
    <row r="133" spans="2:18" ht="15.75">
      <c r="B133" s="810" t="s">
        <v>2958</v>
      </c>
      <c r="C133" s="808">
        <v>815</v>
      </c>
      <c r="D133"/>
      <c r="E133"/>
      <c r="F133"/>
      <c r="G133"/>
    </row>
    <row r="134" spans="2:18" ht="15.75">
      <c r="B134" s="810" t="s">
        <v>2959</v>
      </c>
      <c r="C134" s="808">
        <v>1512</v>
      </c>
      <c r="D134"/>
      <c r="E134"/>
      <c r="F134"/>
      <c r="G134"/>
      <c r="Q134" s="121"/>
      <c r="R134" s="121"/>
    </row>
    <row r="135" spans="2:18">
      <c r="B135" s="119"/>
      <c r="C135" s="119"/>
      <c r="D135" s="119"/>
    </row>
    <row r="136" spans="2:18">
      <c r="B136" s="119"/>
      <c r="C136" s="119"/>
      <c r="D136" s="119"/>
    </row>
    <row r="137" spans="2:18">
      <c r="B137" s="804" t="s">
        <v>18</v>
      </c>
      <c r="C137" s="805" t="s">
        <v>2381</v>
      </c>
      <c r="D137" s="119"/>
    </row>
    <row r="138" spans="2:18">
      <c r="B138" s="804" t="s">
        <v>33</v>
      </c>
      <c r="C138" s="805" t="s">
        <v>33</v>
      </c>
      <c r="D138" s="119"/>
    </row>
    <row r="139" spans="2:18">
      <c r="B139" s="804" t="s">
        <v>126</v>
      </c>
      <c r="C139" s="805" t="s">
        <v>796</v>
      </c>
      <c r="I139" s="124"/>
      <c r="J139" s="124"/>
      <c r="K139" s="124"/>
      <c r="L139" s="124"/>
      <c r="M139" s="124"/>
      <c r="N139" s="124"/>
      <c r="O139" s="124"/>
      <c r="P139" s="124"/>
      <c r="Q139" s="124"/>
      <c r="R139" s="124"/>
    </row>
    <row r="140" spans="2:18">
      <c r="I140" s="124"/>
      <c r="J140" s="124"/>
      <c r="K140" s="124"/>
      <c r="L140" s="124"/>
      <c r="M140" s="124"/>
      <c r="N140" s="124"/>
      <c r="O140" s="124"/>
      <c r="P140" s="124"/>
      <c r="Q140" s="124"/>
      <c r="R140" s="124"/>
    </row>
    <row r="141" spans="2:18" ht="15.75">
      <c r="B141" s="804" t="s">
        <v>1898</v>
      </c>
      <c r="C141" s="805"/>
      <c r="D141" s="560"/>
      <c r="E141" s="469"/>
      <c r="F141" s="469"/>
      <c r="G141" s="469"/>
      <c r="H141" s="469"/>
      <c r="I141" s="469"/>
      <c r="J141" s="469"/>
      <c r="K141" s="560"/>
      <c r="L141" s="560"/>
      <c r="M141" s="560"/>
      <c r="N141" s="469"/>
      <c r="O141" s="469"/>
      <c r="P141" s="469"/>
      <c r="Q141" s="469"/>
      <c r="R141" s="469"/>
    </row>
    <row r="142" spans="2:18" ht="15.75">
      <c r="B142" s="810" t="s">
        <v>2958</v>
      </c>
      <c r="C142" s="808">
        <v>3424</v>
      </c>
      <c r="D142"/>
      <c r="K142"/>
      <c r="L142"/>
      <c r="M142"/>
    </row>
    <row r="143" spans="2:18" ht="15.75">
      <c r="B143" s="810" t="s">
        <v>2959</v>
      </c>
      <c r="C143" s="808">
        <v>3181</v>
      </c>
      <c r="D143"/>
      <c r="K143"/>
      <c r="L143"/>
      <c r="M143"/>
    </row>
    <row r="144" spans="2:18" ht="15.75">
      <c r="B144"/>
      <c r="C144"/>
      <c r="D144"/>
      <c r="K144"/>
      <c r="L144"/>
      <c r="M144"/>
    </row>
    <row r="145" spans="1:20" ht="15.75">
      <c r="B145"/>
      <c r="C145"/>
      <c r="D145"/>
      <c r="K145"/>
      <c r="L145"/>
      <c r="M145"/>
    </row>
    <row r="146" spans="1:20" ht="15.75">
      <c r="B146"/>
      <c r="C146"/>
      <c r="D146"/>
      <c r="K146"/>
      <c r="L146"/>
      <c r="M146"/>
    </row>
    <row r="147" spans="1:20" ht="15.75">
      <c r="B147"/>
      <c r="C147"/>
      <c r="D147"/>
      <c r="K147"/>
      <c r="L147"/>
      <c r="M147"/>
    </row>
    <row r="148" spans="1:20" ht="15.75">
      <c r="B148"/>
      <c r="C148"/>
      <c r="D148"/>
      <c r="K148"/>
      <c r="L148"/>
      <c r="M148"/>
    </row>
    <row r="149" spans="1:20" ht="15.75">
      <c r="B149"/>
      <c r="C149"/>
      <c r="D149"/>
      <c r="K149"/>
      <c r="L149"/>
      <c r="M149"/>
    </row>
    <row r="150" spans="1:20" ht="15.75">
      <c r="B150"/>
      <c r="C150"/>
      <c r="D150"/>
      <c r="K150"/>
      <c r="L150"/>
      <c r="M150"/>
    </row>
    <row r="151" spans="1:20" ht="15.75">
      <c r="B151"/>
      <c r="C151"/>
      <c r="D151"/>
    </row>
    <row r="152" spans="1:20">
      <c r="B152" s="119"/>
      <c r="C152" s="119"/>
      <c r="D152" s="119"/>
    </row>
    <row r="153" spans="1:20" ht="15.75">
      <c r="A153" s="548"/>
      <c r="B153" s="804" t="s">
        <v>18</v>
      </c>
      <c r="C153" s="805" t="s">
        <v>2381</v>
      </c>
      <c r="D153" s="124"/>
      <c r="E153" s="548"/>
    </row>
    <row r="154" spans="1:20" ht="15.75">
      <c r="A154" s="548"/>
      <c r="B154" s="804" t="s">
        <v>33</v>
      </c>
      <c r="C154" s="805" t="s">
        <v>33</v>
      </c>
      <c r="D154" s="119"/>
      <c r="E154" s="548"/>
      <c r="T154"/>
    </row>
    <row r="155" spans="1:20" ht="15.75">
      <c r="A155" s="548"/>
      <c r="B155" s="818" t="s">
        <v>20</v>
      </c>
      <c r="C155" s="812" t="s">
        <v>1895</v>
      </c>
      <c r="D155" s="119"/>
      <c r="E155" s="548"/>
    </row>
    <row r="156" spans="1:20" ht="15.75">
      <c r="A156" s="548"/>
      <c r="B156" s="804" t="s">
        <v>126</v>
      </c>
      <c r="C156" s="805" t="s">
        <v>796</v>
      </c>
      <c r="D156" s="119"/>
      <c r="E156" s="548"/>
    </row>
    <row r="157" spans="1:20" ht="15.75">
      <c r="A157" s="548"/>
      <c r="B157" s="480" t="s">
        <v>296</v>
      </c>
      <c r="C157" s="119"/>
      <c r="D157" s="119"/>
      <c r="E157" s="548"/>
    </row>
    <row r="158" spans="1:20" ht="15.75">
      <c r="A158" s="548"/>
      <c r="B158" s="817" t="s">
        <v>20</v>
      </c>
      <c r="C158" s="805" t="s">
        <v>2833</v>
      </c>
      <c r="D158" s="805" t="s">
        <v>2829</v>
      </c>
      <c r="E158" s="548"/>
    </row>
    <row r="159" spans="1:20" ht="15.75">
      <c r="A159" s="548"/>
      <c r="B159" s="810" t="s">
        <v>321</v>
      </c>
      <c r="C159" s="813">
        <v>0.70845197245138836</v>
      </c>
      <c r="D159" s="813">
        <v>0.29154802754861164</v>
      </c>
      <c r="E159" s="548"/>
    </row>
    <row r="160" spans="1:20" ht="15.75">
      <c r="A160" s="548"/>
      <c r="B160" s="810" t="s">
        <v>359</v>
      </c>
      <c r="C160" s="813">
        <v>4.8391770501303971E-2</v>
      </c>
      <c r="D160" s="813">
        <v>0.95160822949869606</v>
      </c>
      <c r="E160" s="548"/>
      <c r="T160"/>
    </row>
    <row r="161" spans="1:26" ht="15.75">
      <c r="A161" s="548"/>
      <c r="B161" s="810" t="s">
        <v>304</v>
      </c>
      <c r="C161" s="813">
        <v>0.10623100303951367</v>
      </c>
      <c r="D161" s="813">
        <v>0.89376899696048628</v>
      </c>
      <c r="E161" s="548"/>
      <c r="K161"/>
      <c r="L161"/>
      <c r="M161"/>
      <c r="T161"/>
    </row>
    <row r="162" spans="1:26" ht="15.75">
      <c r="A162" s="548"/>
      <c r="B162" s="810" t="s">
        <v>307</v>
      </c>
      <c r="C162" s="813">
        <v>0.36337263709526485</v>
      </c>
      <c r="D162" s="813">
        <v>0.63662736290473521</v>
      </c>
      <c r="E162" s="548"/>
      <c r="K162"/>
      <c r="L162"/>
      <c r="M162"/>
      <c r="T162"/>
    </row>
    <row r="163" spans="1:26" ht="15.75">
      <c r="A163" s="548"/>
      <c r="B163" s="810" t="s">
        <v>314</v>
      </c>
      <c r="C163" s="813">
        <v>0</v>
      </c>
      <c r="D163" s="813">
        <v>1</v>
      </c>
      <c r="E163" s="548"/>
      <c r="K163"/>
      <c r="L163"/>
      <c r="M163"/>
      <c r="T163"/>
    </row>
    <row r="164" spans="1:26" ht="15.75">
      <c r="A164" s="548"/>
      <c r="B164" s="810" t="s">
        <v>473</v>
      </c>
      <c r="C164" s="813">
        <v>1</v>
      </c>
      <c r="D164" s="813">
        <v>0</v>
      </c>
      <c r="E164" s="548"/>
      <c r="K164"/>
      <c r="L164"/>
      <c r="M164"/>
      <c r="T164"/>
    </row>
    <row r="165" spans="1:26" ht="15.75">
      <c r="A165" s="548"/>
      <c r="B165" s="810" t="s">
        <v>401</v>
      </c>
      <c r="C165" s="813">
        <v>1</v>
      </c>
      <c r="D165" s="813">
        <v>0</v>
      </c>
      <c r="E165" s="548"/>
      <c r="K165"/>
      <c r="L165"/>
      <c r="M165"/>
      <c r="T165"/>
      <c r="W165"/>
      <c r="X165"/>
      <c r="Y165"/>
    </row>
    <row r="166" spans="1:26" ht="15.75">
      <c r="B166" s="810" t="s">
        <v>404</v>
      </c>
      <c r="C166" s="813">
        <v>0</v>
      </c>
      <c r="D166" s="813">
        <v>1</v>
      </c>
      <c r="K166"/>
      <c r="L166"/>
      <c r="M166"/>
      <c r="T166"/>
      <c r="U166"/>
      <c r="V166"/>
      <c r="W166"/>
      <c r="X166"/>
      <c r="Y166"/>
    </row>
    <row r="167" spans="1:26" ht="15.75">
      <c r="B167" s="810" t="s">
        <v>297</v>
      </c>
      <c r="C167" s="813">
        <v>8.3905037010290673E-2</v>
      </c>
      <c r="D167" s="813">
        <v>0.91609496298970927</v>
      </c>
      <c r="K167"/>
      <c r="L167"/>
      <c r="M167"/>
      <c r="U167"/>
      <c r="V167"/>
      <c r="W167"/>
      <c r="X167"/>
      <c r="Y167"/>
    </row>
    <row r="168" spans="1:26" ht="15.75">
      <c r="B168"/>
      <c r="C168"/>
      <c r="D168"/>
      <c r="K168"/>
      <c r="L168"/>
      <c r="M168"/>
      <c r="U168"/>
      <c r="V168"/>
      <c r="W168"/>
      <c r="X168"/>
      <c r="Y168"/>
    </row>
    <row r="169" spans="1:26" ht="15.75">
      <c r="B169" s="119"/>
      <c r="C169" s="119"/>
      <c r="D169" s="119"/>
      <c r="K169"/>
      <c r="L169"/>
      <c r="M169"/>
      <c r="U169"/>
      <c r="V169"/>
      <c r="W169"/>
    </row>
    <row r="170" spans="1:26" ht="15.75">
      <c r="B170" s="119"/>
      <c r="C170" s="119"/>
      <c r="D170" s="119"/>
      <c r="K170"/>
      <c r="L170"/>
      <c r="M170"/>
      <c r="U170"/>
      <c r="V170"/>
      <c r="W170"/>
    </row>
    <row r="171" spans="1:26" ht="15.75">
      <c r="B171" s="119"/>
      <c r="C171" s="119"/>
      <c r="D171" s="119"/>
      <c r="K171" s="530"/>
      <c r="L171" s="531"/>
      <c r="M171" s="531"/>
      <c r="U171" s="431"/>
      <c r="V171" s="431"/>
      <c r="W171" s="431"/>
    </row>
    <row r="172" spans="1:26" ht="15.75">
      <c r="B172" s="119"/>
      <c r="C172" s="119"/>
      <c r="D172" s="119"/>
      <c r="K172" s="530"/>
      <c r="L172" s="531"/>
      <c r="M172" s="531"/>
      <c r="U172" s="431"/>
      <c r="V172" s="431"/>
      <c r="W172" s="431"/>
    </row>
    <row r="173" spans="1:26" ht="15.75">
      <c r="B173" s="119"/>
      <c r="C173" s="119"/>
      <c r="D173" s="119"/>
      <c r="K173" s="530"/>
      <c r="L173" s="531"/>
      <c r="M173" s="531"/>
      <c r="U173" s="431"/>
      <c r="V173" s="431"/>
      <c r="W173" s="431"/>
    </row>
    <row r="174" spans="1:26" ht="15.75">
      <c r="B174" s="119"/>
      <c r="C174" s="119"/>
      <c r="D174" s="119"/>
      <c r="K174" s="530"/>
      <c r="L174" s="531"/>
      <c r="M174" s="531"/>
      <c r="U174" s="431"/>
      <c r="V174" s="431"/>
      <c r="W174" s="431"/>
    </row>
    <row r="175" spans="1:26" ht="18.75">
      <c r="A175" s="147" t="s">
        <v>1651</v>
      </c>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c r="B176" s="119"/>
      <c r="C176" s="119"/>
      <c r="D176" s="119"/>
    </row>
    <row r="177" spans="2:10">
      <c r="B177" s="119"/>
      <c r="C177" s="119"/>
      <c r="D177" s="119"/>
    </row>
    <row r="178" spans="2:10">
      <c r="H178" s="804" t="s">
        <v>18</v>
      </c>
      <c r="I178" s="805" t="s">
        <v>2381</v>
      </c>
    </row>
    <row r="179" spans="2:10">
      <c r="H179" s="812" t="s">
        <v>20</v>
      </c>
      <c r="I179" s="805" t="s">
        <v>1895</v>
      </c>
    </row>
    <row r="181" spans="2:10">
      <c r="H181" s="804" t="s">
        <v>2960</v>
      </c>
      <c r="I181" s="804" t="s">
        <v>1897</v>
      </c>
      <c r="J181" s="805"/>
    </row>
    <row r="182" spans="2:10">
      <c r="H182" s="804" t="s">
        <v>1640</v>
      </c>
      <c r="I182" s="805" t="s">
        <v>33</v>
      </c>
      <c r="J182" s="805" t="s">
        <v>1652</v>
      </c>
    </row>
    <row r="183" spans="2:10">
      <c r="H183" s="810" t="s">
        <v>796</v>
      </c>
      <c r="I183" s="808">
        <v>259</v>
      </c>
      <c r="J183" s="808">
        <v>8</v>
      </c>
    </row>
    <row r="184" spans="2:10" ht="15.75">
      <c r="H184"/>
      <c r="I184"/>
      <c r="J184"/>
    </row>
    <row r="185" spans="2:10" ht="15.75">
      <c r="H185"/>
      <c r="I185"/>
      <c r="J185"/>
    </row>
    <row r="186" spans="2:10" ht="15.75">
      <c r="C186"/>
      <c r="D186"/>
      <c r="E186"/>
      <c r="H186"/>
      <c r="I186"/>
      <c r="J186"/>
    </row>
    <row r="187" spans="2:10" ht="15.75">
      <c r="H187"/>
      <c r="I187"/>
      <c r="J187"/>
    </row>
    <row r="199" spans="1:26" ht="18.75">
      <c r="A199" s="148" t="s">
        <v>2002</v>
      </c>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2" spans="1:26">
      <c r="C202" s="804" t="s">
        <v>18</v>
      </c>
      <c r="D202" s="805" t="s">
        <v>2381</v>
      </c>
    </row>
    <row r="203" spans="1:26">
      <c r="C203" s="804" t="s">
        <v>33</v>
      </c>
      <c r="D203" s="805" t="s">
        <v>1652</v>
      </c>
    </row>
    <row r="205" spans="1:26" ht="15.75">
      <c r="C205" s="804" t="s">
        <v>20</v>
      </c>
      <c r="D205" s="804" t="s">
        <v>21</v>
      </c>
      <c r="E205" s="804" t="s">
        <v>28</v>
      </c>
      <c r="F205" s="805" t="s">
        <v>1932</v>
      </c>
      <c r="G205" s="805" t="s">
        <v>1933</v>
      </c>
      <c r="H205" s="805" t="s">
        <v>1934</v>
      </c>
      <c r="I205" s="805" t="s">
        <v>1935</v>
      </c>
      <c r="J205" s="805" t="s">
        <v>1936</v>
      </c>
      <c r="K205"/>
      <c r="L205"/>
    </row>
    <row r="206" spans="1:26" ht="15.75">
      <c r="C206" s="805" t="s">
        <v>2687</v>
      </c>
      <c r="D206" s="805" t="s">
        <v>304</v>
      </c>
      <c r="E206" s="805" t="s">
        <v>819</v>
      </c>
      <c r="F206" s="809">
        <v>97</v>
      </c>
      <c r="G206" s="809">
        <v>557</v>
      </c>
      <c r="H206" s="813">
        <v>1</v>
      </c>
      <c r="I206" s="813">
        <v>1</v>
      </c>
      <c r="J206" s="813">
        <v>1</v>
      </c>
      <c r="K206"/>
      <c r="L206"/>
    </row>
    <row r="207" spans="1:26" ht="15.75">
      <c r="C207" s="805"/>
      <c r="D207" s="805"/>
      <c r="E207" s="805" t="s">
        <v>881</v>
      </c>
      <c r="F207" s="809">
        <v>370</v>
      </c>
      <c r="G207" s="809">
        <v>2524</v>
      </c>
      <c r="H207" s="813">
        <v>1</v>
      </c>
      <c r="I207" s="813">
        <v>1</v>
      </c>
      <c r="J207" s="813">
        <v>1</v>
      </c>
      <c r="K207"/>
      <c r="L207"/>
    </row>
    <row r="208" spans="1:26" ht="15.75">
      <c r="C208" s="805"/>
      <c r="D208" s="805" t="s">
        <v>314</v>
      </c>
      <c r="E208" s="805" t="s">
        <v>881</v>
      </c>
      <c r="F208" s="809">
        <v>280</v>
      </c>
      <c r="G208" s="809">
        <v>1423</v>
      </c>
      <c r="H208" s="813">
        <v>1</v>
      </c>
      <c r="I208" s="813">
        <v>1</v>
      </c>
      <c r="J208" s="813">
        <v>1</v>
      </c>
      <c r="K208"/>
      <c r="L208"/>
    </row>
    <row r="209" spans="1:25" ht="15.75">
      <c r="C209" s="805" t="s">
        <v>2688</v>
      </c>
      <c r="D209" s="805"/>
      <c r="E209" s="805"/>
      <c r="F209" s="809">
        <v>747</v>
      </c>
      <c r="G209" s="809">
        <v>4504</v>
      </c>
      <c r="H209" s="813">
        <v>1</v>
      </c>
      <c r="I209" s="813">
        <v>1</v>
      </c>
      <c r="J209" s="813">
        <v>1</v>
      </c>
      <c r="K209"/>
      <c r="L209"/>
    </row>
    <row r="210" spans="1:25" ht="15.75">
      <c r="C210" s="805" t="s">
        <v>2686</v>
      </c>
      <c r="D210" s="805" t="s">
        <v>339</v>
      </c>
      <c r="E210" s="805" t="s">
        <v>881</v>
      </c>
      <c r="F210" s="809">
        <v>717</v>
      </c>
      <c r="G210" s="809">
        <v>4303</v>
      </c>
      <c r="H210" s="813">
        <v>1</v>
      </c>
      <c r="I210" s="813">
        <v>1</v>
      </c>
      <c r="J210" s="813">
        <v>1</v>
      </c>
      <c r="K210"/>
      <c r="L210"/>
    </row>
    <row r="211" spans="1:25" ht="15.75">
      <c r="C211" s="805" t="s">
        <v>2689</v>
      </c>
      <c r="D211" s="805"/>
      <c r="E211" s="805"/>
      <c r="F211" s="809">
        <v>717</v>
      </c>
      <c r="G211" s="809">
        <v>4303</v>
      </c>
      <c r="H211" s="813">
        <v>1</v>
      </c>
      <c r="I211" s="813">
        <v>1</v>
      </c>
      <c r="J211" s="813">
        <v>1</v>
      </c>
      <c r="K211"/>
      <c r="L211"/>
    </row>
    <row r="212" spans="1:25" ht="15.75">
      <c r="C212"/>
      <c r="D212"/>
      <c r="E212"/>
      <c r="F212"/>
      <c r="G212"/>
      <c r="H212"/>
      <c r="I212"/>
      <c r="J212"/>
      <c r="K212"/>
      <c r="L212"/>
    </row>
    <row r="213" spans="1:25" ht="15.75">
      <c r="C213"/>
      <c r="D213"/>
      <c r="E213"/>
      <c r="F213"/>
      <c r="G213"/>
      <c r="H213"/>
      <c r="I213"/>
      <c r="J213"/>
      <c r="K213"/>
      <c r="L213"/>
    </row>
    <row r="214" spans="1:25" ht="15.75">
      <c r="C214"/>
      <c r="D214"/>
      <c r="E214"/>
      <c r="F214"/>
      <c r="G214"/>
      <c r="H214"/>
      <c r="I214"/>
      <c r="J214"/>
      <c r="K214"/>
      <c r="L214"/>
    </row>
    <row r="215" spans="1:25" ht="25.5">
      <c r="C215"/>
      <c r="D215"/>
      <c r="E215" s="777"/>
      <c r="F215"/>
      <c r="G215"/>
      <c r="H215"/>
      <c r="I215"/>
      <c r="J215"/>
      <c r="K215"/>
      <c r="L215"/>
    </row>
    <row r="216" spans="1:25" ht="15.75">
      <c r="C216"/>
      <c r="D216"/>
      <c r="E216"/>
      <c r="F216"/>
      <c r="G216"/>
      <c r="H216"/>
      <c r="I216"/>
      <c r="J216"/>
      <c r="K216"/>
      <c r="L216"/>
    </row>
    <row r="217" spans="1:25" ht="15.75">
      <c r="C217"/>
      <c r="D217"/>
      <c r="E217"/>
      <c r="F217"/>
      <c r="G217"/>
      <c r="H217"/>
      <c r="I217"/>
      <c r="J217"/>
      <c r="K217"/>
      <c r="L217"/>
    </row>
    <row r="218" spans="1:25" ht="15.75">
      <c r="C218"/>
      <c r="D218"/>
      <c r="E218"/>
      <c r="F218"/>
      <c r="G218"/>
      <c r="H218"/>
      <c r="I218"/>
      <c r="J218"/>
      <c r="K218"/>
      <c r="L218"/>
    </row>
    <row r="219" spans="1:25">
      <c r="C219" s="532"/>
      <c r="D219" s="532"/>
      <c r="E219" s="532"/>
      <c r="F219" s="532"/>
      <c r="G219" s="534"/>
      <c r="H219" s="535"/>
      <c r="I219" s="535"/>
      <c r="J219" s="536"/>
      <c r="K219" s="536"/>
      <c r="L219" s="536"/>
    </row>
    <row r="220" spans="1:25">
      <c r="C220" s="532"/>
      <c r="D220" s="532"/>
      <c r="E220" s="532"/>
      <c r="F220" s="532"/>
      <c r="G220" s="534"/>
      <c r="H220" s="535"/>
      <c r="I220" s="535"/>
      <c r="J220" s="536"/>
      <c r="K220" s="536"/>
      <c r="L220" s="536"/>
    </row>
    <row r="221" spans="1:25">
      <c r="C221" s="532"/>
      <c r="D221" s="532"/>
      <c r="E221" s="532"/>
      <c r="F221" s="532"/>
      <c r="G221" s="534"/>
      <c r="H221" s="535"/>
      <c r="I221" s="535"/>
      <c r="J221" s="536"/>
      <c r="K221" s="536"/>
      <c r="L221" s="536"/>
    </row>
    <row r="222" spans="1:25">
      <c r="C222" s="532"/>
      <c r="D222" s="532"/>
      <c r="E222" s="532"/>
      <c r="F222" s="532"/>
      <c r="G222" s="534"/>
      <c r="H222" s="535"/>
      <c r="I222" s="535"/>
      <c r="J222" s="536"/>
      <c r="K222" s="536"/>
      <c r="L222" s="536"/>
    </row>
    <row r="223" spans="1:25" ht="18.75">
      <c r="A223" s="149" t="s">
        <v>1937</v>
      </c>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row>
    <row r="224" spans="1:25">
      <c r="C224" s="119"/>
      <c r="D224" s="119"/>
      <c r="E224" s="119"/>
      <c r="F224" s="119"/>
      <c r="G224" s="119"/>
      <c r="H224" s="119"/>
      <c r="I224" s="119"/>
      <c r="J224" s="119"/>
      <c r="K224" s="119"/>
    </row>
    <row r="225" spans="3:11">
      <c r="C225" s="119"/>
      <c r="D225" s="119"/>
      <c r="E225" s="119"/>
      <c r="F225" s="119"/>
      <c r="G225" s="119"/>
      <c r="H225" s="119"/>
      <c r="I225" s="119"/>
      <c r="J225" s="119"/>
      <c r="K225" s="119"/>
    </row>
    <row r="226" spans="3:11">
      <c r="C226" s="119"/>
      <c r="D226" s="119"/>
      <c r="E226" s="119"/>
      <c r="F226" s="119"/>
      <c r="G226" s="119"/>
      <c r="H226" s="119"/>
      <c r="I226" s="119"/>
      <c r="J226" s="119"/>
      <c r="K226" s="119"/>
    </row>
    <row r="227" spans="3:11">
      <c r="C227" s="804" t="s">
        <v>18</v>
      </c>
      <c r="D227" s="805" t="s">
        <v>2381</v>
      </c>
      <c r="F227" s="119"/>
      <c r="G227" s="119"/>
      <c r="H227" s="119"/>
      <c r="I227" s="119"/>
      <c r="J227" s="119"/>
      <c r="K227" s="119"/>
    </row>
    <row r="228" spans="3:11">
      <c r="C228" s="804" t="s">
        <v>33</v>
      </c>
      <c r="D228" s="805" t="s">
        <v>33</v>
      </c>
      <c r="F228" s="119"/>
      <c r="G228" s="119"/>
      <c r="H228" s="119"/>
      <c r="I228" s="119"/>
      <c r="J228" s="119"/>
      <c r="K228" s="119"/>
    </row>
    <row r="229" spans="3:11">
      <c r="C229" s="532"/>
      <c r="F229" s="119"/>
      <c r="G229" s="119"/>
      <c r="H229" s="119"/>
      <c r="I229" s="119"/>
      <c r="J229" s="119"/>
      <c r="K229" s="119"/>
    </row>
    <row r="230" spans="3:11" s="117" customFormat="1" ht="15.75">
      <c r="C230" s="805" t="s">
        <v>2982</v>
      </c>
      <c r="D230" s="805" t="s">
        <v>2978</v>
      </c>
      <c r="E230" s="805" t="s">
        <v>2983</v>
      </c>
      <c r="F230"/>
      <c r="G230"/>
      <c r="H230"/>
      <c r="I230"/>
      <c r="J230" s="485"/>
      <c r="K230" s="485"/>
    </row>
    <row r="231" spans="3:11" ht="15.75">
      <c r="C231" s="809">
        <v>31</v>
      </c>
      <c r="D231" s="809">
        <v>225</v>
      </c>
      <c r="E231" s="809">
        <v>40</v>
      </c>
      <c r="F231"/>
      <c r="G231"/>
      <c r="H231"/>
      <c r="I231"/>
      <c r="J231" s="119"/>
      <c r="K231" s="119"/>
    </row>
    <row r="232" spans="3:11" ht="15.75">
      <c r="C232"/>
      <c r="D232"/>
      <c r="E232"/>
      <c r="F232"/>
      <c r="G232"/>
      <c r="H232"/>
      <c r="I232"/>
      <c r="J232" s="119"/>
      <c r="K232" s="119"/>
    </row>
    <row r="233" spans="3:11" ht="15.75">
      <c r="C233"/>
      <c r="D233"/>
      <c r="E233"/>
      <c r="F233"/>
      <c r="G233"/>
      <c r="H233"/>
      <c r="I233"/>
      <c r="J233" s="119"/>
      <c r="K233" s="119"/>
    </row>
    <row r="234" spans="3:11" ht="15.75">
      <c r="C234"/>
      <c r="D234"/>
      <c r="E234"/>
      <c r="F234"/>
      <c r="G234"/>
      <c r="H234"/>
      <c r="I234"/>
      <c r="J234" s="119"/>
      <c r="K234" s="119"/>
    </row>
    <row r="235" spans="3:11" ht="15.75" thickBot="1">
      <c r="C235" s="533"/>
      <c r="D235" s="119"/>
      <c r="E235" s="119"/>
      <c r="F235" s="119"/>
      <c r="G235" s="119"/>
      <c r="H235" s="119"/>
      <c r="I235" s="119"/>
      <c r="J235" s="119"/>
      <c r="K235" s="119"/>
    </row>
    <row r="236" spans="3:11" s="486" customFormat="1" ht="41.25" customHeight="1" thickBot="1">
      <c r="C236" s="487" t="s">
        <v>20</v>
      </c>
      <c r="D236" s="483" t="s">
        <v>2309</v>
      </c>
      <c r="E236" s="483" t="s">
        <v>2981</v>
      </c>
      <c r="F236" s="483" t="s">
        <v>2707</v>
      </c>
      <c r="G236" s="484" t="s">
        <v>2984</v>
      </c>
      <c r="H236" s="484" t="s">
        <v>1988</v>
      </c>
      <c r="I236" s="488"/>
      <c r="J236" s="488"/>
      <c r="K236" s="488"/>
    </row>
    <row r="237" spans="3:11">
      <c r="C237" s="129"/>
      <c r="D237" s="182"/>
      <c r="E237" s="182"/>
      <c r="F237" s="182"/>
      <c r="G237" s="182"/>
      <c r="H237" s="182"/>
      <c r="I237" s="119"/>
      <c r="J237" s="119"/>
      <c r="K237" s="119"/>
    </row>
    <row r="238" spans="3:11">
      <c r="C238" s="130" t="s">
        <v>296</v>
      </c>
      <c r="D238" s="182" t="e">
        <f>GETPIVOTDATA(" # of hand washing stations with soap in TLS",$C$230,"State","Central Rakhine")</f>
        <v>#REF!</v>
      </c>
      <c r="E238" s="183">
        <f>GETPIVOTDATA("Sum of #_of_functional_handwashing_facilities_at_school",$C$230)</f>
        <v>31</v>
      </c>
      <c r="F238" s="183" t="e">
        <f>GETPIVOTDATA(" #_Hygiene Promotion activities (sessions) in TLS?",$C$230,"State","Central Rakhine")</f>
        <v>#REF!</v>
      </c>
      <c r="G238" s="184">
        <f>GETPIVOTDATA("Sum of #_of_Functioning_latrines_in_school",$C$230)</f>
        <v>225</v>
      </c>
      <c r="H238" s="184">
        <f>GETPIVOTDATA("Sum of #_Functioning_water_points_at_school",$C$230)</f>
        <v>40</v>
      </c>
      <c r="I238" s="119"/>
      <c r="J238" s="119"/>
      <c r="K238" s="119"/>
    </row>
    <row r="239" spans="3:11">
      <c r="C239" s="129" t="s">
        <v>700</v>
      </c>
      <c r="D239" s="182" t="e">
        <f>GETPIVOTDATA(" # of hand washing stations with soap in TLS",$C$230,"State","Shan (North)")</f>
        <v>#REF!</v>
      </c>
      <c r="E239" s="182" t="e">
        <f>GETPIVOTDATA(" #_Constructed/Existing hand washing stations at TLS",$C$230,"State","Shan (North)")</f>
        <v>#REF!</v>
      </c>
      <c r="F239" s="182" t="e">
        <f>GETPIVOTDATA(" #_Hygiene Promotion activities (sessions) in TLS?",$C$230,"State","Shan (North)")</f>
        <v>#REF!</v>
      </c>
      <c r="G239" s="182" t="e">
        <f>GETPIVOTDATA(" #_Constructed/Existing latrines in TLS",$C$230,"State","Shan (North)")</f>
        <v>#REF!</v>
      </c>
      <c r="H239" s="182" t="e">
        <f>GETPIVOTDATA(" #_of water points in TLS and CFS ",$C$230,"State","Shan (North)")</f>
        <v>#REF!</v>
      </c>
      <c r="I239" s="119"/>
      <c r="J239" s="119"/>
      <c r="K239" s="119"/>
    </row>
    <row r="240" spans="3:11">
      <c r="C240" s="119"/>
      <c r="D240" s="119"/>
      <c r="E240" s="119"/>
      <c r="F240" s="119"/>
      <c r="G240" s="119"/>
      <c r="H240" s="119"/>
      <c r="I240" s="119"/>
      <c r="J240" s="119"/>
      <c r="K240" s="119"/>
    </row>
    <row r="241" spans="3:11">
      <c r="C241" s="119"/>
      <c r="D241" s="119"/>
      <c r="E241" s="119"/>
      <c r="F241" s="119"/>
      <c r="G241" s="119"/>
      <c r="H241" s="119"/>
      <c r="I241" s="119"/>
      <c r="J241" s="119"/>
      <c r="K241" s="119"/>
    </row>
    <row r="242" spans="3:11">
      <c r="C242" s="119"/>
      <c r="D242" s="119"/>
      <c r="E242" s="119"/>
      <c r="F242" s="119"/>
      <c r="G242" s="119"/>
      <c r="H242" s="119"/>
      <c r="I242" s="119"/>
      <c r="J242" s="119"/>
      <c r="K242" s="119"/>
    </row>
    <row r="243" spans="3:11">
      <c r="C243" s="119"/>
      <c r="D243" s="119"/>
      <c r="E243" s="119"/>
      <c r="F243" s="119"/>
      <c r="G243" s="119"/>
      <c r="H243" s="119"/>
      <c r="I243" s="119"/>
      <c r="J243" s="119"/>
      <c r="K243" s="119"/>
    </row>
    <row r="244" spans="3:11">
      <c r="C244" s="119"/>
      <c r="D244" s="119"/>
      <c r="E244" s="119"/>
      <c r="F244" s="119"/>
      <c r="G244" s="119"/>
      <c r="H244" s="119"/>
      <c r="I244" s="119"/>
      <c r="J244" s="119"/>
      <c r="K244" s="119"/>
    </row>
    <row r="245" spans="3:11">
      <c r="C245" s="119"/>
      <c r="D245" s="119"/>
      <c r="E245" s="119"/>
      <c r="F245" s="119"/>
      <c r="G245" s="119"/>
      <c r="H245" s="119"/>
      <c r="I245" s="119"/>
      <c r="J245" s="119"/>
      <c r="K245" s="119"/>
    </row>
    <row r="246" spans="3:11">
      <c r="C246" s="119"/>
      <c r="D246" s="119"/>
      <c r="E246" s="119"/>
      <c r="F246" s="119"/>
      <c r="G246" s="119"/>
      <c r="H246" s="119"/>
      <c r="I246" s="119"/>
      <c r="J246" s="119"/>
      <c r="K246" s="119"/>
    </row>
    <row r="247" spans="3:11">
      <c r="C247" s="119"/>
      <c r="D247" s="119"/>
      <c r="E247" s="119"/>
      <c r="F247" s="119"/>
      <c r="G247" s="119"/>
      <c r="H247" s="119"/>
      <c r="I247" s="119"/>
      <c r="J247" s="119"/>
      <c r="K247" s="119"/>
    </row>
    <row r="248" spans="3:11">
      <c r="C248" s="119"/>
      <c r="D248" s="119"/>
      <c r="E248" s="119"/>
      <c r="F248" s="119"/>
      <c r="G248" s="119"/>
      <c r="H248" s="119"/>
      <c r="I248" s="119"/>
      <c r="J248" s="119"/>
      <c r="K248" s="119"/>
    </row>
    <row r="249" spans="3:11">
      <c r="C249" s="119"/>
      <c r="D249" s="119"/>
      <c r="E249" s="119"/>
      <c r="F249" s="119"/>
      <c r="G249" s="119"/>
      <c r="H249" s="119"/>
      <c r="I249" s="119"/>
      <c r="J249" s="119"/>
      <c r="K249" s="119"/>
    </row>
    <row r="250" spans="3:11">
      <c r="C250" s="119"/>
      <c r="D250" s="119"/>
      <c r="E250" s="119"/>
      <c r="F250" s="119"/>
      <c r="G250" s="119"/>
      <c r="H250" s="119"/>
      <c r="I250" s="119"/>
      <c r="J250" s="119"/>
      <c r="K250" s="119"/>
    </row>
    <row r="251" spans="3:11">
      <c r="C251" s="119"/>
      <c r="D251" s="119"/>
      <c r="E251" s="119"/>
      <c r="F251" s="119"/>
      <c r="G251" s="119"/>
      <c r="H251" s="119"/>
      <c r="I251" s="119"/>
      <c r="J251" s="119"/>
      <c r="K251" s="119"/>
    </row>
    <row r="252" spans="3:11">
      <c r="C252" s="119"/>
      <c r="D252" s="119"/>
      <c r="E252" s="119"/>
      <c r="F252" s="119"/>
      <c r="G252" s="119"/>
      <c r="H252" s="119"/>
      <c r="I252" s="119"/>
      <c r="J252" s="119"/>
      <c r="K252" s="119"/>
    </row>
    <row r="253" spans="3:11">
      <c r="C253" s="119"/>
      <c r="D253" s="119"/>
      <c r="E253" s="119"/>
      <c r="F253" s="119"/>
      <c r="G253" s="119"/>
      <c r="H253" s="119"/>
      <c r="I253" s="119"/>
      <c r="J253" s="119"/>
      <c r="K253" s="119"/>
    </row>
    <row r="254" spans="3:11">
      <c r="C254" s="119"/>
      <c r="D254" s="119"/>
      <c r="E254" s="119"/>
      <c r="F254" s="119"/>
      <c r="G254" s="119"/>
      <c r="H254" s="119"/>
      <c r="I254" s="119"/>
      <c r="J254" s="119"/>
      <c r="K254" s="119"/>
    </row>
    <row r="255" spans="3:11">
      <c r="C255" s="119"/>
      <c r="D255" s="119"/>
      <c r="E255" s="119"/>
      <c r="F255" s="119"/>
      <c r="G255" s="119"/>
      <c r="H255" s="119"/>
      <c r="I255" s="119"/>
      <c r="J255" s="119"/>
      <c r="K255" s="119"/>
    </row>
    <row r="256" spans="3:11">
      <c r="C256" s="119"/>
      <c r="D256" s="119"/>
      <c r="E256" s="119"/>
      <c r="F256" s="119"/>
      <c r="G256" s="119"/>
      <c r="H256" s="119"/>
      <c r="I256" s="119"/>
      <c r="J256" s="119"/>
      <c r="K256" s="119"/>
    </row>
    <row r="257" spans="2:17">
      <c r="C257" s="119"/>
      <c r="D257" s="119"/>
      <c r="E257" s="119"/>
      <c r="F257" s="119"/>
      <c r="G257" s="119"/>
      <c r="H257" s="119"/>
      <c r="I257" s="119"/>
      <c r="J257" s="119"/>
      <c r="K257" s="119"/>
    </row>
    <row r="258" spans="2:17">
      <c r="C258" s="804" t="s">
        <v>18</v>
      </c>
      <c r="D258" s="805" t="s">
        <v>2381</v>
      </c>
      <c r="E258" s="119"/>
      <c r="F258" s="119"/>
      <c r="G258" s="119"/>
      <c r="H258" s="119"/>
      <c r="I258" s="119"/>
      <c r="J258" s="119"/>
      <c r="K258" s="119"/>
    </row>
    <row r="259" spans="2:17">
      <c r="C259" s="804" t="s">
        <v>33</v>
      </c>
      <c r="D259" s="805" t="s">
        <v>33</v>
      </c>
      <c r="F259" s="119"/>
      <c r="G259" s="119"/>
      <c r="H259" s="119"/>
      <c r="I259" s="119"/>
      <c r="J259" s="119"/>
      <c r="K259" s="119"/>
      <c r="L259" s="527"/>
      <c r="Q259" s="527"/>
    </row>
    <row r="260" spans="2:17">
      <c r="C260" s="804" t="s">
        <v>126</v>
      </c>
      <c r="D260" s="805" t="s">
        <v>796</v>
      </c>
      <c r="F260" s="119"/>
      <c r="G260" s="119"/>
      <c r="H260" s="119"/>
      <c r="I260" s="119"/>
      <c r="J260" s="119"/>
      <c r="K260" s="119"/>
    </row>
    <row r="261" spans="2:17">
      <c r="F261" s="119"/>
      <c r="G261" s="119"/>
      <c r="H261" s="119"/>
      <c r="I261" s="119"/>
      <c r="J261" s="119"/>
      <c r="K261" s="119"/>
    </row>
    <row r="262" spans="2:17" ht="15.75">
      <c r="C262" s="804" t="s">
        <v>20</v>
      </c>
      <c r="D262" s="805" t="s">
        <v>2975</v>
      </c>
      <c r="E262"/>
      <c r="F262"/>
      <c r="G262"/>
      <c r="H262"/>
      <c r="I262" s="119"/>
      <c r="J262" s="119"/>
      <c r="K262" s="119"/>
    </row>
    <row r="263" spans="2:17" ht="15.75">
      <c r="C263" s="810" t="s">
        <v>41</v>
      </c>
      <c r="D263" s="809">
        <v>117</v>
      </c>
      <c r="E263"/>
      <c r="F263"/>
      <c r="G263"/>
      <c r="H263"/>
      <c r="I263" s="119"/>
      <c r="J263" s="119"/>
      <c r="K263" s="119"/>
    </row>
    <row r="264" spans="2:17" ht="15.75">
      <c r="C264" s="810" t="s">
        <v>128</v>
      </c>
      <c r="D264" s="809">
        <v>142</v>
      </c>
      <c r="E264"/>
      <c r="F264"/>
      <c r="G264"/>
      <c r="H264"/>
      <c r="I264" s="119"/>
      <c r="J264" s="119"/>
      <c r="K264" s="119"/>
    </row>
    <row r="265" spans="2:17" ht="15.75">
      <c r="C265"/>
      <c r="D265"/>
      <c r="E265"/>
      <c r="F265"/>
      <c r="G265"/>
      <c r="H265"/>
      <c r="I265" s="119"/>
      <c r="J265" s="119"/>
      <c r="K265" s="119"/>
    </row>
    <row r="266" spans="2:17" ht="15.75">
      <c r="C266"/>
      <c r="D266"/>
      <c r="E266"/>
      <c r="F266"/>
      <c r="G266" s="119"/>
      <c r="H266" s="119"/>
      <c r="I266" s="119"/>
      <c r="J266" s="119"/>
      <c r="K266" s="119"/>
    </row>
    <row r="267" spans="2:17">
      <c r="B267" s="119"/>
      <c r="C267" s="119"/>
      <c r="D267" s="119"/>
      <c r="E267" s="119"/>
      <c r="F267" s="119"/>
      <c r="G267" s="119"/>
      <c r="H267" s="119"/>
      <c r="I267" s="119"/>
      <c r="J267" s="119"/>
      <c r="K267" s="119"/>
    </row>
    <row r="268" spans="2:17">
      <c r="B268" s="119"/>
      <c r="C268" s="119"/>
      <c r="D268" s="119"/>
      <c r="E268" s="119"/>
      <c r="F268" s="119"/>
      <c r="G268" s="119"/>
      <c r="H268" s="119"/>
      <c r="I268" s="119"/>
      <c r="J268" s="119"/>
      <c r="K268" s="119"/>
    </row>
    <row r="269" spans="2:17">
      <c r="B269" s="119"/>
      <c r="C269" s="119"/>
      <c r="D269" s="119"/>
      <c r="E269" s="119"/>
      <c r="F269" s="119"/>
      <c r="G269" s="119"/>
      <c r="H269" s="119"/>
      <c r="I269" s="119"/>
      <c r="J269" s="119"/>
      <c r="K269" s="119"/>
    </row>
    <row r="270" spans="2:17">
      <c r="B270" s="119"/>
      <c r="C270" s="119"/>
      <c r="D270" s="119"/>
      <c r="E270" s="119"/>
      <c r="F270" s="119"/>
      <c r="G270" s="119"/>
      <c r="H270" s="119"/>
      <c r="I270" s="119"/>
      <c r="J270" s="119"/>
      <c r="K270" s="119"/>
    </row>
    <row r="271" spans="2:17">
      <c r="B271" s="119"/>
      <c r="C271" s="119"/>
      <c r="D271" s="119"/>
      <c r="E271" s="119"/>
      <c r="F271" s="119"/>
      <c r="G271" s="119"/>
      <c r="H271" s="119"/>
      <c r="I271" s="119"/>
      <c r="J271" s="119"/>
      <c r="K271" s="119"/>
    </row>
    <row r="272" spans="2:17">
      <c r="B272" s="119"/>
      <c r="C272" s="119"/>
      <c r="D272" s="119"/>
      <c r="E272" s="119"/>
      <c r="F272" s="119"/>
      <c r="G272" s="119"/>
      <c r="H272" s="119"/>
      <c r="I272" s="119"/>
      <c r="J272" s="119"/>
      <c r="K272" s="119"/>
    </row>
    <row r="273" spans="2:11">
      <c r="B273" s="119"/>
      <c r="C273" s="119"/>
      <c r="D273" s="119"/>
      <c r="E273" s="119"/>
      <c r="F273" s="119"/>
      <c r="G273" s="119"/>
      <c r="H273" s="119"/>
      <c r="I273" s="119"/>
      <c r="J273" s="119"/>
      <c r="K273" s="119"/>
    </row>
    <row r="274" spans="2:11">
      <c r="B274" s="119"/>
      <c r="C274" s="119"/>
      <c r="D274" s="119"/>
      <c r="E274" s="119"/>
      <c r="F274" s="119"/>
      <c r="G274" s="119"/>
      <c r="H274" s="119"/>
      <c r="I274" s="119"/>
      <c r="J274" s="119"/>
      <c r="K274" s="119"/>
    </row>
    <row r="275" spans="2:11">
      <c r="B275" s="119"/>
      <c r="C275" s="119"/>
      <c r="D275" s="119"/>
      <c r="E275" s="119"/>
      <c r="F275" s="119"/>
      <c r="G275" s="119"/>
      <c r="H275" s="119"/>
      <c r="I275" s="119"/>
      <c r="J275" s="119"/>
      <c r="K275" s="119"/>
    </row>
    <row r="276" spans="2:11">
      <c r="C276" s="119"/>
      <c r="D276" s="119"/>
      <c r="E276" s="119"/>
      <c r="F276" s="119"/>
      <c r="G276" s="119"/>
      <c r="H276" s="119"/>
      <c r="I276" s="119"/>
      <c r="J276" s="119"/>
      <c r="K276" s="119"/>
    </row>
    <row r="277" spans="2:11">
      <c r="C277" s="119"/>
      <c r="D277" s="119"/>
      <c r="E277" s="119"/>
      <c r="F277" s="119"/>
      <c r="G277" s="119"/>
      <c r="H277" s="119"/>
      <c r="I277" s="119"/>
      <c r="J277" s="119"/>
      <c r="K277" s="119"/>
    </row>
    <row r="278" spans="2:11">
      <c r="C278" s="119"/>
      <c r="D278" s="119"/>
      <c r="E278" s="119"/>
      <c r="F278" s="119"/>
      <c r="G278" s="119"/>
      <c r="H278" s="119"/>
      <c r="I278" s="119"/>
      <c r="J278" s="119"/>
      <c r="K278" s="119"/>
    </row>
    <row r="279" spans="2:11">
      <c r="C279" s="119"/>
      <c r="D279" s="119"/>
      <c r="E279" s="119"/>
      <c r="F279" s="119"/>
      <c r="G279" s="119"/>
      <c r="H279" s="119"/>
      <c r="I279" s="119"/>
      <c r="J279" s="119"/>
      <c r="K279" s="119"/>
    </row>
    <row r="280" spans="2:11">
      <c r="C280" s="119"/>
      <c r="D280" s="119"/>
      <c r="E280" s="119"/>
      <c r="F280" s="119"/>
      <c r="G280" s="119"/>
      <c r="H280" s="119"/>
      <c r="I280" s="119"/>
      <c r="J280" s="119"/>
      <c r="K280" s="119"/>
    </row>
    <row r="281" spans="2:11">
      <c r="C281" s="119"/>
      <c r="D281" s="119"/>
      <c r="E281" s="119"/>
      <c r="F281" s="119"/>
      <c r="G281" s="119"/>
      <c r="H281" s="119"/>
      <c r="I281" s="119"/>
      <c r="J281" s="119"/>
      <c r="K281" s="119"/>
    </row>
    <row r="282" spans="2:11">
      <c r="C282" s="119"/>
      <c r="D282" s="119"/>
      <c r="E282" s="119"/>
      <c r="F282" s="119"/>
      <c r="G282" s="119"/>
      <c r="H282" s="119"/>
      <c r="I282" s="119"/>
      <c r="J282" s="119"/>
      <c r="K282" s="119"/>
    </row>
    <row r="283" spans="2:11">
      <c r="C283" s="119"/>
      <c r="D283" s="119"/>
      <c r="E283" s="119"/>
      <c r="F283" s="119"/>
      <c r="G283" s="119"/>
      <c r="H283" s="119"/>
      <c r="I283" s="119"/>
      <c r="J283" s="119"/>
      <c r="K283" s="119"/>
    </row>
    <row r="284" spans="2:11">
      <c r="C284" s="119"/>
      <c r="D284" s="119"/>
      <c r="E284" s="119"/>
      <c r="F284" s="119"/>
      <c r="G284" s="119"/>
      <c r="H284" s="119"/>
      <c r="I284" s="119"/>
      <c r="J284" s="119"/>
      <c r="K284" s="119"/>
    </row>
    <row r="285" spans="2:11">
      <c r="C285" s="119"/>
      <c r="D285" s="119"/>
      <c r="E285" s="119"/>
      <c r="F285" s="119"/>
      <c r="G285" s="119"/>
      <c r="H285" s="119"/>
      <c r="I285" s="119"/>
      <c r="J285" s="119"/>
      <c r="K285" s="119"/>
    </row>
    <row r="286" spans="2:11">
      <c r="C286" s="119"/>
      <c r="D286" s="119"/>
      <c r="E286" s="119"/>
      <c r="F286" s="119"/>
      <c r="G286" s="119"/>
      <c r="H286" s="119"/>
      <c r="I286" s="119"/>
      <c r="J286" s="119"/>
      <c r="K286" s="119"/>
    </row>
    <row r="287" spans="2:11">
      <c r="C287" s="119"/>
      <c r="D287" s="119"/>
      <c r="E287" s="119"/>
      <c r="F287" s="119"/>
      <c r="G287" s="119"/>
      <c r="H287" s="119"/>
      <c r="I287" s="119"/>
      <c r="J287" s="119"/>
      <c r="K287" s="119"/>
    </row>
    <row r="288" spans="2:11">
      <c r="C288" s="119"/>
      <c r="D288" s="119"/>
      <c r="E288" s="119"/>
      <c r="F288" s="119"/>
      <c r="G288" s="119"/>
      <c r="H288" s="119"/>
      <c r="I288" s="119"/>
      <c r="J288" s="119"/>
      <c r="K288" s="119"/>
    </row>
    <row r="289" spans="3:11">
      <c r="C289" s="119"/>
      <c r="D289" s="119"/>
      <c r="E289" s="119"/>
      <c r="F289" s="119"/>
      <c r="G289" s="119"/>
      <c r="H289" s="119"/>
      <c r="I289" s="119"/>
      <c r="J289" s="119"/>
      <c r="K289" s="119"/>
    </row>
    <row r="290" spans="3:11">
      <c r="C290" s="119"/>
      <c r="D290" s="119"/>
      <c r="E290" s="119"/>
      <c r="F290" s="119"/>
      <c r="G290" s="119"/>
      <c r="H290" s="119"/>
      <c r="I290" s="119"/>
      <c r="J290" s="119"/>
      <c r="K290" s="119"/>
    </row>
    <row r="291" spans="3:11">
      <c r="C291" s="119"/>
      <c r="D291" s="119"/>
      <c r="E291" s="119"/>
      <c r="F291" s="119"/>
      <c r="G291" s="119"/>
      <c r="H291" s="119"/>
      <c r="I291" s="119"/>
      <c r="J291" s="119"/>
      <c r="K291" s="119"/>
    </row>
    <row r="292" spans="3:11">
      <c r="C292" s="119"/>
      <c r="D292" s="119"/>
      <c r="E292" s="119"/>
      <c r="F292" s="119"/>
      <c r="G292" s="119"/>
      <c r="H292" s="119"/>
      <c r="I292" s="119"/>
      <c r="J292" s="119"/>
      <c r="K292" s="119"/>
    </row>
    <row r="293" spans="3:11">
      <c r="C293" s="119"/>
      <c r="D293" s="119"/>
      <c r="E293" s="119"/>
      <c r="F293" s="119"/>
      <c r="G293" s="119"/>
      <c r="H293" s="119"/>
      <c r="I293" s="119"/>
      <c r="J293" s="119"/>
      <c r="K293" s="119"/>
    </row>
    <row r="294" spans="3:11">
      <c r="C294" s="119"/>
      <c r="D294" s="119"/>
      <c r="E294" s="119"/>
      <c r="F294" s="119"/>
      <c r="G294" s="119"/>
      <c r="H294" s="119"/>
      <c r="I294" s="119"/>
      <c r="J294" s="119"/>
      <c r="K294" s="119"/>
    </row>
    <row r="295" spans="3:11">
      <c r="C295" s="119"/>
      <c r="D295" s="119"/>
      <c r="E295" s="119"/>
      <c r="F295" s="119"/>
      <c r="G295" s="119"/>
      <c r="H295" s="119"/>
      <c r="I295" s="119"/>
      <c r="J295" s="119"/>
      <c r="K295" s="119"/>
    </row>
    <row r="296" spans="3:11">
      <c r="C296" s="119"/>
      <c r="D296" s="119"/>
      <c r="E296" s="119"/>
      <c r="F296" s="119"/>
      <c r="G296" s="119"/>
      <c r="H296" s="119"/>
      <c r="I296" s="119"/>
      <c r="J296" s="119"/>
      <c r="K296" s="119"/>
    </row>
    <row r="297" spans="3:11">
      <c r="C297" s="119"/>
      <c r="D297" s="119"/>
      <c r="E297" s="119"/>
      <c r="F297" s="119"/>
      <c r="G297" s="119"/>
      <c r="H297" s="119"/>
      <c r="I297" s="119"/>
      <c r="J297" s="119"/>
      <c r="K297" s="119"/>
    </row>
    <row r="298" spans="3:11">
      <c r="C298" s="119"/>
      <c r="D298" s="119"/>
      <c r="E298" s="119"/>
      <c r="F298" s="119"/>
      <c r="G298" s="119"/>
      <c r="H298" s="119"/>
      <c r="I298" s="119"/>
      <c r="J298" s="119"/>
      <c r="K298" s="119"/>
    </row>
    <row r="299" spans="3:11">
      <c r="C299" s="119"/>
      <c r="D299" s="119"/>
      <c r="E299" s="119"/>
      <c r="F299" s="119"/>
      <c r="G299" s="119"/>
      <c r="H299" s="119"/>
      <c r="I299" s="119"/>
      <c r="J299" s="119"/>
      <c r="K299" s="119"/>
    </row>
    <row r="300" spans="3:11">
      <c r="C300" s="119"/>
      <c r="D300" s="119"/>
      <c r="E300" s="119"/>
      <c r="F300" s="119"/>
      <c r="G300" s="119"/>
      <c r="H300" s="119"/>
      <c r="I300" s="119"/>
      <c r="J300" s="119"/>
      <c r="K300" s="119"/>
    </row>
    <row r="301" spans="3:11">
      <c r="C301" s="119"/>
      <c r="D301" s="119"/>
      <c r="E301" s="119"/>
      <c r="F301" s="119"/>
      <c r="G301" s="119"/>
      <c r="H301" s="119"/>
      <c r="I301" s="119"/>
      <c r="J301" s="119"/>
      <c r="K301" s="119"/>
    </row>
    <row r="302" spans="3:11">
      <c r="C302" s="119"/>
      <c r="D302" s="119"/>
      <c r="E302" s="119"/>
      <c r="F302" s="119"/>
      <c r="G302" s="119"/>
      <c r="H302" s="119"/>
      <c r="I302" s="119"/>
      <c r="J302" s="119"/>
      <c r="K302" s="119"/>
    </row>
    <row r="303" spans="3:11">
      <c r="C303" s="119"/>
      <c r="D303" s="119"/>
      <c r="E303" s="119"/>
      <c r="F303" s="119"/>
      <c r="G303" s="119"/>
      <c r="H303" s="119"/>
      <c r="I303" s="119"/>
      <c r="J303" s="119"/>
      <c r="K303" s="119"/>
    </row>
    <row r="304" spans="3:11">
      <c r="C304" s="119"/>
      <c r="D304" s="119"/>
      <c r="E304" s="119"/>
      <c r="F304" s="119"/>
      <c r="G304" s="119"/>
      <c r="H304" s="119"/>
      <c r="I304" s="119"/>
      <c r="J304" s="119"/>
      <c r="K304" s="119"/>
    </row>
    <row r="305" spans="3:11">
      <c r="C305" s="119"/>
      <c r="D305" s="119"/>
      <c r="E305" s="119"/>
      <c r="F305" s="119"/>
      <c r="G305" s="119"/>
      <c r="H305" s="119"/>
      <c r="I305" s="119"/>
      <c r="J305" s="119"/>
      <c r="K305" s="119"/>
    </row>
    <row r="306" spans="3:11">
      <c r="C306" s="119"/>
      <c r="D306" s="119"/>
      <c r="E306" s="119"/>
      <c r="F306" s="119"/>
      <c r="G306" s="119"/>
      <c r="H306" s="119"/>
      <c r="I306" s="119"/>
      <c r="J306" s="119"/>
      <c r="K306" s="119"/>
    </row>
    <row r="307" spans="3:11">
      <c r="C307" s="119"/>
      <c r="D307" s="119"/>
      <c r="E307" s="119"/>
      <c r="F307" s="119"/>
      <c r="G307" s="119"/>
      <c r="H307" s="119"/>
      <c r="I307" s="119"/>
      <c r="J307" s="119"/>
      <c r="K307" s="119"/>
    </row>
    <row r="308" spans="3:11">
      <c r="C308" s="119"/>
      <c r="D308" s="119"/>
      <c r="E308" s="119"/>
      <c r="F308" s="119"/>
      <c r="G308" s="119"/>
      <c r="H308" s="119"/>
      <c r="I308" s="119"/>
      <c r="J308" s="119"/>
      <c r="K308" s="119"/>
    </row>
    <row r="309" spans="3:11">
      <c r="C309" s="119"/>
      <c r="D309" s="119"/>
      <c r="E309" s="119"/>
      <c r="F309" s="119"/>
      <c r="G309" s="119"/>
      <c r="H309" s="119"/>
      <c r="I309" s="119"/>
      <c r="J309" s="119"/>
      <c r="K309" s="119"/>
    </row>
    <row r="310" spans="3:11">
      <c r="C310" s="119"/>
      <c r="D310" s="119"/>
      <c r="E310" s="119"/>
      <c r="F310" s="119"/>
      <c r="G310" s="119"/>
      <c r="H310" s="119"/>
      <c r="I310" s="119"/>
      <c r="J310" s="119"/>
      <c r="K310" s="119"/>
    </row>
    <row r="311" spans="3:11">
      <c r="C311" s="119"/>
      <c r="D311" s="119"/>
      <c r="E311" s="119"/>
      <c r="F311" s="119"/>
      <c r="G311" s="119"/>
      <c r="H311" s="119"/>
      <c r="I311" s="119"/>
      <c r="J311" s="119"/>
      <c r="K311" s="119"/>
    </row>
    <row r="312" spans="3:11">
      <c r="C312" s="119"/>
      <c r="D312" s="119"/>
      <c r="E312" s="119"/>
      <c r="F312" s="119"/>
      <c r="G312" s="119"/>
      <c r="H312" s="119"/>
      <c r="I312" s="119"/>
      <c r="J312" s="119"/>
      <c r="K312" s="119"/>
    </row>
    <row r="313" spans="3:11">
      <c r="C313" s="119"/>
      <c r="D313" s="119"/>
      <c r="E313" s="119"/>
      <c r="F313" s="119"/>
      <c r="G313" s="119"/>
      <c r="H313" s="119"/>
      <c r="I313" s="119"/>
      <c r="J313" s="119"/>
      <c r="K313" s="119"/>
    </row>
    <row r="314" spans="3:11">
      <c r="C314" s="119"/>
      <c r="D314" s="119"/>
      <c r="E314" s="119"/>
      <c r="F314" s="119"/>
      <c r="G314" s="119"/>
      <c r="H314" s="119"/>
      <c r="I314" s="119"/>
      <c r="J314" s="119"/>
      <c r="K314" s="119"/>
    </row>
    <row r="315" spans="3:11">
      <c r="C315" s="119"/>
      <c r="D315" s="119"/>
      <c r="E315" s="119"/>
      <c r="F315" s="119"/>
      <c r="G315" s="119"/>
      <c r="H315" s="119"/>
      <c r="I315" s="119"/>
      <c r="J315" s="119"/>
      <c r="K315" s="119"/>
    </row>
    <row r="316" spans="3:11">
      <c r="C316" s="119"/>
      <c r="D316" s="119"/>
      <c r="E316" s="119"/>
      <c r="F316" s="119"/>
      <c r="G316" s="119"/>
      <c r="H316" s="119"/>
      <c r="I316" s="119"/>
      <c r="J316" s="119"/>
      <c r="K316" s="119"/>
    </row>
    <row r="317" spans="3:11">
      <c r="C317" s="119"/>
      <c r="D317" s="119"/>
      <c r="E317" s="119"/>
      <c r="F317" s="119"/>
      <c r="G317" s="119"/>
      <c r="H317" s="119"/>
      <c r="I317" s="119"/>
      <c r="J317" s="119"/>
      <c r="K317" s="119"/>
    </row>
    <row r="318" spans="3:11">
      <c r="C318" s="119"/>
      <c r="D318" s="119"/>
      <c r="E318" s="119"/>
      <c r="F318" s="119"/>
      <c r="G318" s="119"/>
      <c r="H318" s="119"/>
      <c r="I318" s="119"/>
      <c r="J318" s="119"/>
      <c r="K318" s="119"/>
    </row>
    <row r="319" spans="3:11">
      <c r="C319" s="119"/>
      <c r="D319" s="119"/>
      <c r="E319" s="119"/>
      <c r="F319" s="119"/>
      <c r="G319" s="119"/>
      <c r="H319" s="119"/>
      <c r="I319" s="119"/>
      <c r="J319" s="119"/>
      <c r="K319" s="119"/>
    </row>
    <row r="320" spans="3:11">
      <c r="C320" s="119"/>
      <c r="D320" s="119"/>
      <c r="E320" s="119"/>
      <c r="F320" s="119"/>
      <c r="G320" s="119"/>
      <c r="H320" s="119"/>
      <c r="I320" s="119"/>
      <c r="J320" s="119"/>
      <c r="K320" s="119"/>
    </row>
    <row r="321" spans="3:11">
      <c r="C321" s="119"/>
      <c r="D321" s="119"/>
      <c r="E321" s="119"/>
      <c r="F321" s="119"/>
      <c r="G321" s="119"/>
      <c r="H321" s="119"/>
      <c r="I321" s="119"/>
      <c r="J321" s="119"/>
      <c r="K321" s="119"/>
    </row>
    <row r="322" spans="3:11">
      <c r="C322" s="119"/>
      <c r="D322" s="119"/>
      <c r="E322" s="119"/>
      <c r="F322" s="119"/>
      <c r="G322" s="119"/>
      <c r="H322" s="119"/>
      <c r="I322" s="119"/>
      <c r="J322" s="119"/>
      <c r="K322" s="119"/>
    </row>
    <row r="323" spans="3:11">
      <c r="C323" s="119"/>
      <c r="D323" s="119"/>
      <c r="E323" s="119"/>
      <c r="F323" s="119"/>
      <c r="G323" s="119"/>
      <c r="H323" s="119"/>
      <c r="I323" s="119"/>
      <c r="J323" s="119"/>
      <c r="K323" s="119"/>
    </row>
    <row r="324" spans="3:11">
      <c r="C324" s="119"/>
      <c r="D324" s="119"/>
      <c r="E324" s="119"/>
      <c r="F324" s="119"/>
      <c r="G324" s="119"/>
      <c r="H324" s="119"/>
      <c r="I324" s="119"/>
      <c r="J324" s="119"/>
      <c r="K324" s="119"/>
    </row>
    <row r="325" spans="3:11">
      <c r="C325" s="119"/>
      <c r="D325" s="119"/>
      <c r="E325" s="119"/>
      <c r="F325" s="119"/>
      <c r="G325" s="119"/>
      <c r="H325" s="119"/>
      <c r="I325" s="119"/>
      <c r="J325" s="119"/>
      <c r="K325" s="119"/>
    </row>
    <row r="326" spans="3:11">
      <c r="C326" s="119"/>
      <c r="D326" s="119"/>
      <c r="E326" s="119"/>
      <c r="F326" s="119"/>
      <c r="G326" s="119"/>
      <c r="H326" s="119"/>
      <c r="I326" s="119"/>
      <c r="J326" s="119"/>
      <c r="K326" s="119"/>
    </row>
    <row r="327" spans="3:11">
      <c r="C327" s="119"/>
      <c r="D327" s="119"/>
      <c r="E327" s="119"/>
      <c r="F327" s="119"/>
      <c r="G327" s="119"/>
      <c r="H327" s="119"/>
      <c r="I327" s="119"/>
      <c r="J327" s="119"/>
      <c r="K327" s="119"/>
    </row>
    <row r="328" spans="3:11">
      <c r="C328" s="119"/>
      <c r="D328" s="119"/>
      <c r="E328" s="119"/>
      <c r="F328" s="119"/>
      <c r="G328" s="119"/>
      <c r="H328" s="119"/>
      <c r="I328" s="119"/>
      <c r="J328" s="119"/>
      <c r="K328" s="119"/>
    </row>
    <row r="329" spans="3:11">
      <c r="C329" s="119"/>
      <c r="D329" s="119"/>
      <c r="E329" s="119"/>
      <c r="F329" s="119"/>
      <c r="G329" s="119"/>
      <c r="H329" s="119"/>
      <c r="I329" s="119"/>
      <c r="J329" s="119"/>
      <c r="K329" s="119"/>
    </row>
    <row r="330" spans="3:11">
      <c r="C330" s="119"/>
      <c r="D330" s="119"/>
      <c r="E330" s="119"/>
      <c r="F330" s="119"/>
      <c r="G330" s="119"/>
      <c r="H330" s="119"/>
      <c r="I330" s="119"/>
      <c r="J330" s="119"/>
      <c r="K330" s="119"/>
    </row>
    <row r="331" spans="3:11">
      <c r="C331" s="119"/>
      <c r="D331" s="119"/>
      <c r="E331" s="119"/>
      <c r="F331" s="119"/>
      <c r="G331" s="119"/>
      <c r="H331" s="119"/>
      <c r="I331" s="119"/>
      <c r="J331" s="119"/>
      <c r="K331" s="119"/>
    </row>
    <row r="332" spans="3:11">
      <c r="C332" s="119"/>
      <c r="D332" s="119"/>
      <c r="E332" s="119"/>
      <c r="F332" s="119"/>
      <c r="G332" s="119"/>
      <c r="H332" s="119"/>
      <c r="I332" s="119"/>
      <c r="J332" s="119"/>
      <c r="K332" s="119"/>
    </row>
    <row r="333" spans="3:11">
      <c r="C333" s="119"/>
      <c r="D333" s="119"/>
      <c r="E333" s="119"/>
      <c r="F333" s="119"/>
      <c r="G333" s="119"/>
      <c r="H333" s="119"/>
      <c r="I333" s="119"/>
      <c r="J333" s="119"/>
      <c r="K333" s="119"/>
    </row>
    <row r="334" spans="3:11">
      <c r="C334" s="119"/>
      <c r="D334" s="119"/>
      <c r="E334" s="119"/>
      <c r="F334" s="119"/>
      <c r="G334" s="119"/>
      <c r="H334" s="119"/>
      <c r="I334" s="119"/>
      <c r="J334" s="119"/>
      <c r="K334" s="119"/>
    </row>
    <row r="335" spans="3:11">
      <c r="C335" s="119"/>
      <c r="D335" s="119"/>
      <c r="E335" s="119"/>
      <c r="F335" s="119"/>
      <c r="G335" s="119"/>
      <c r="H335" s="119"/>
      <c r="I335" s="119"/>
      <c r="J335" s="119"/>
      <c r="K335" s="119"/>
    </row>
    <row r="336" spans="3:11">
      <c r="C336" s="119"/>
      <c r="D336" s="119"/>
      <c r="E336" s="119"/>
      <c r="F336" s="119"/>
      <c r="G336" s="119"/>
      <c r="H336" s="119"/>
      <c r="I336" s="119"/>
      <c r="J336" s="119"/>
      <c r="K336" s="119"/>
    </row>
    <row r="337" spans="3:11">
      <c r="C337" s="119"/>
      <c r="D337" s="119"/>
      <c r="E337" s="119"/>
      <c r="F337" s="119"/>
      <c r="G337" s="119"/>
      <c r="H337" s="119"/>
      <c r="I337" s="119"/>
      <c r="J337" s="119"/>
      <c r="K337" s="119"/>
    </row>
    <row r="338" spans="3:11">
      <c r="C338" s="119"/>
      <c r="D338" s="119"/>
      <c r="E338" s="119"/>
      <c r="F338" s="119"/>
      <c r="G338" s="119"/>
      <c r="H338" s="119"/>
      <c r="I338" s="119"/>
      <c r="J338" s="119"/>
      <c r="K338" s="119"/>
    </row>
    <row r="339" spans="3:11">
      <c r="C339" s="119"/>
      <c r="D339" s="119"/>
      <c r="E339" s="119"/>
      <c r="F339" s="119"/>
      <c r="G339" s="119"/>
      <c r="H339" s="119"/>
      <c r="I339" s="119"/>
      <c r="J339" s="119"/>
      <c r="K339" s="119"/>
    </row>
    <row r="340" spans="3:11">
      <c r="C340" s="119"/>
      <c r="D340" s="119"/>
      <c r="E340" s="119"/>
      <c r="F340" s="119"/>
      <c r="G340" s="119"/>
      <c r="H340" s="119"/>
      <c r="I340" s="119"/>
      <c r="J340" s="119"/>
      <c r="K340" s="119"/>
    </row>
    <row r="341" spans="3:11">
      <c r="C341" s="119"/>
      <c r="D341" s="119"/>
      <c r="E341" s="119"/>
      <c r="F341" s="119"/>
      <c r="G341" s="119"/>
      <c r="H341" s="119"/>
      <c r="I341" s="119"/>
      <c r="J341" s="119"/>
      <c r="K341" s="119"/>
    </row>
    <row r="342" spans="3:11">
      <c r="C342" s="119"/>
      <c r="D342" s="119"/>
      <c r="E342" s="119"/>
      <c r="F342" s="119"/>
      <c r="G342" s="119"/>
      <c r="H342" s="119"/>
      <c r="I342" s="119"/>
      <c r="J342" s="119"/>
      <c r="K342" s="119"/>
    </row>
    <row r="343" spans="3:11">
      <c r="C343" s="119"/>
      <c r="D343" s="119"/>
      <c r="E343" s="119"/>
      <c r="F343" s="119"/>
      <c r="G343" s="119"/>
      <c r="H343" s="119"/>
      <c r="I343" s="119"/>
      <c r="J343" s="119"/>
      <c r="K343" s="119"/>
    </row>
    <row r="344" spans="3:11">
      <c r="C344" s="119"/>
      <c r="D344" s="119"/>
      <c r="E344" s="119"/>
      <c r="F344" s="119"/>
      <c r="G344" s="119"/>
      <c r="H344" s="119"/>
      <c r="I344" s="119"/>
      <c r="J344" s="119"/>
      <c r="K344" s="119"/>
    </row>
    <row r="345" spans="3:11">
      <c r="C345" s="119"/>
      <c r="D345" s="119"/>
      <c r="E345" s="119"/>
      <c r="F345" s="119"/>
      <c r="G345" s="119"/>
      <c r="H345" s="119"/>
      <c r="I345" s="119"/>
      <c r="J345" s="119"/>
      <c r="K345" s="119"/>
    </row>
    <row r="346" spans="3:11">
      <c r="C346" s="119"/>
      <c r="D346" s="119"/>
      <c r="E346" s="119"/>
      <c r="F346" s="119"/>
      <c r="G346" s="119"/>
      <c r="H346" s="119"/>
      <c r="I346" s="119"/>
      <c r="J346" s="119"/>
      <c r="K346" s="119"/>
    </row>
    <row r="347" spans="3:11">
      <c r="C347" s="119"/>
      <c r="D347" s="119"/>
      <c r="E347" s="119"/>
      <c r="F347" s="119"/>
      <c r="G347" s="119"/>
      <c r="H347" s="119"/>
      <c r="I347" s="119"/>
      <c r="J347" s="119"/>
      <c r="K347" s="119"/>
    </row>
    <row r="348" spans="3:11">
      <c r="C348" s="119"/>
      <c r="D348" s="119"/>
      <c r="E348" s="119"/>
      <c r="F348" s="119"/>
      <c r="G348" s="119"/>
      <c r="H348" s="119"/>
      <c r="I348" s="119"/>
      <c r="J348" s="119"/>
      <c r="K348" s="119"/>
    </row>
    <row r="349" spans="3:11">
      <c r="C349" s="119"/>
      <c r="D349" s="119"/>
      <c r="E349" s="119"/>
      <c r="F349" s="119"/>
      <c r="G349" s="119"/>
      <c r="H349" s="119"/>
      <c r="I349" s="119"/>
      <c r="J349" s="119"/>
      <c r="K349" s="119"/>
    </row>
    <row r="350" spans="3:11">
      <c r="C350" s="119"/>
      <c r="D350" s="119"/>
      <c r="E350" s="119"/>
      <c r="F350" s="119"/>
      <c r="G350" s="119"/>
      <c r="H350" s="119"/>
      <c r="I350" s="119"/>
      <c r="J350" s="119"/>
      <c r="K350" s="119"/>
    </row>
    <row r="351" spans="3:11">
      <c r="C351" s="119"/>
      <c r="D351" s="119"/>
      <c r="E351" s="119"/>
      <c r="F351" s="119"/>
      <c r="G351" s="119"/>
      <c r="H351" s="119"/>
      <c r="I351" s="119"/>
      <c r="J351" s="119"/>
      <c r="K351" s="119"/>
    </row>
    <row r="352" spans="3:11">
      <c r="C352" s="119"/>
      <c r="D352" s="119"/>
      <c r="E352" s="119"/>
      <c r="F352" s="119"/>
      <c r="G352" s="119"/>
      <c r="H352" s="119"/>
      <c r="I352" s="119"/>
      <c r="J352" s="119"/>
      <c r="K352" s="119"/>
    </row>
    <row r="353" spans="3:11">
      <c r="C353" s="119"/>
      <c r="D353" s="119"/>
      <c r="E353" s="119"/>
      <c r="F353" s="119"/>
      <c r="G353" s="119"/>
      <c r="H353" s="119"/>
      <c r="I353" s="119"/>
      <c r="J353" s="119"/>
      <c r="K353" s="119"/>
    </row>
    <row r="354" spans="3:11">
      <c r="C354" s="119"/>
      <c r="D354" s="119"/>
      <c r="E354" s="119"/>
      <c r="F354" s="119"/>
      <c r="G354" s="119"/>
      <c r="H354" s="119"/>
      <c r="I354" s="119"/>
      <c r="J354" s="119"/>
      <c r="K354" s="119"/>
    </row>
    <row r="355" spans="3:11">
      <c r="C355" s="119"/>
      <c r="D355" s="119"/>
      <c r="E355" s="119"/>
      <c r="F355" s="119"/>
      <c r="G355" s="119"/>
      <c r="H355" s="119"/>
      <c r="I355" s="119"/>
      <c r="J355" s="119"/>
      <c r="K355" s="119"/>
    </row>
    <row r="356" spans="3:11">
      <c r="C356" s="119"/>
      <c r="D356" s="119"/>
      <c r="E356" s="119"/>
      <c r="F356" s="119"/>
      <c r="G356" s="119"/>
      <c r="H356" s="119"/>
      <c r="I356" s="119"/>
      <c r="J356" s="119"/>
      <c r="K356" s="119"/>
    </row>
    <row r="357" spans="3:11">
      <c r="C357" s="119"/>
      <c r="D357" s="119"/>
      <c r="E357" s="119"/>
      <c r="F357" s="119"/>
      <c r="G357" s="119"/>
      <c r="H357" s="119"/>
      <c r="I357" s="119"/>
      <c r="J357" s="119"/>
      <c r="K357" s="119"/>
    </row>
    <row r="358" spans="3:11">
      <c r="C358" s="119"/>
      <c r="D358" s="119"/>
      <c r="E358" s="119"/>
      <c r="F358" s="119"/>
      <c r="G358" s="119"/>
      <c r="H358" s="119"/>
      <c r="I358" s="119"/>
      <c r="J358" s="119"/>
      <c r="K358" s="119"/>
    </row>
    <row r="359" spans="3:11">
      <c r="C359" s="119"/>
      <c r="D359" s="119"/>
      <c r="E359" s="119"/>
      <c r="F359" s="119"/>
      <c r="G359" s="119"/>
      <c r="H359" s="119"/>
      <c r="I359" s="119"/>
      <c r="J359" s="119"/>
      <c r="K359" s="119"/>
    </row>
    <row r="360" spans="3:11">
      <c r="C360" s="119"/>
      <c r="D360" s="119"/>
      <c r="E360" s="119"/>
      <c r="F360" s="119"/>
      <c r="G360" s="119"/>
      <c r="H360" s="119"/>
      <c r="I360" s="119"/>
      <c r="J360" s="119"/>
      <c r="K360" s="119"/>
    </row>
    <row r="361" spans="3:11">
      <c r="C361" s="119"/>
      <c r="D361" s="119"/>
      <c r="E361" s="119"/>
      <c r="F361" s="119"/>
      <c r="G361" s="119"/>
      <c r="H361" s="119"/>
      <c r="I361" s="119"/>
      <c r="J361" s="119"/>
      <c r="K361" s="119"/>
    </row>
    <row r="362" spans="3:11">
      <c r="C362" s="119"/>
      <c r="D362" s="119"/>
      <c r="E362" s="119"/>
      <c r="F362" s="119"/>
      <c r="G362" s="119"/>
      <c r="H362" s="119"/>
      <c r="I362" s="119"/>
      <c r="J362" s="119"/>
      <c r="K362" s="119"/>
    </row>
    <row r="363" spans="3:11">
      <c r="C363" s="119"/>
      <c r="D363" s="119"/>
      <c r="E363" s="119"/>
      <c r="F363" s="119"/>
      <c r="G363" s="119"/>
      <c r="H363" s="119"/>
      <c r="I363" s="119"/>
      <c r="J363" s="119"/>
      <c r="K363" s="119"/>
    </row>
    <row r="364" spans="3:11">
      <c r="C364" s="119"/>
      <c r="D364" s="119"/>
      <c r="E364" s="119"/>
      <c r="F364" s="119"/>
      <c r="G364" s="119"/>
      <c r="H364" s="119"/>
      <c r="I364" s="119"/>
      <c r="J364" s="119"/>
      <c r="K364" s="119"/>
    </row>
    <row r="365" spans="3:11">
      <c r="C365" s="119"/>
      <c r="D365" s="119"/>
      <c r="E365" s="119"/>
      <c r="F365" s="119"/>
      <c r="G365" s="119"/>
      <c r="H365" s="119"/>
      <c r="I365" s="119"/>
      <c r="J365" s="119"/>
      <c r="K365" s="119"/>
    </row>
    <row r="366" spans="3:11">
      <c r="C366" s="119"/>
      <c r="D366" s="119"/>
      <c r="E366" s="119"/>
      <c r="F366" s="119"/>
      <c r="G366" s="119"/>
      <c r="H366" s="119"/>
      <c r="I366" s="119"/>
      <c r="J366" s="119"/>
      <c r="K366" s="119"/>
    </row>
    <row r="367" spans="3:11">
      <c r="C367" s="119"/>
      <c r="D367" s="119"/>
      <c r="E367" s="119"/>
      <c r="F367" s="119"/>
      <c r="G367" s="119"/>
      <c r="H367" s="119"/>
      <c r="I367" s="119"/>
      <c r="J367" s="119"/>
      <c r="K367" s="119"/>
    </row>
    <row r="368" spans="3:11">
      <c r="C368" s="119"/>
      <c r="D368" s="119"/>
      <c r="E368" s="119"/>
      <c r="F368" s="119"/>
      <c r="G368" s="119"/>
      <c r="H368" s="119"/>
      <c r="I368" s="119"/>
      <c r="J368" s="119"/>
      <c r="K368" s="119"/>
    </row>
    <row r="369" spans="3:11">
      <c r="C369" s="119"/>
      <c r="D369" s="119"/>
      <c r="E369" s="119"/>
      <c r="F369" s="119"/>
      <c r="G369" s="119"/>
      <c r="H369" s="119"/>
      <c r="I369" s="119"/>
      <c r="J369" s="119"/>
      <c r="K369" s="119"/>
    </row>
    <row r="370" spans="3:11">
      <c r="C370" s="119"/>
      <c r="D370" s="119"/>
      <c r="E370" s="119"/>
      <c r="F370" s="119"/>
      <c r="G370" s="119"/>
      <c r="H370" s="119"/>
      <c r="I370" s="119"/>
      <c r="J370" s="119"/>
      <c r="K370" s="119"/>
    </row>
    <row r="371" spans="3:11">
      <c r="C371" s="119"/>
      <c r="D371" s="119"/>
      <c r="E371" s="119"/>
      <c r="F371" s="119"/>
      <c r="G371" s="119"/>
      <c r="H371" s="119"/>
      <c r="I371" s="119"/>
      <c r="J371" s="119"/>
      <c r="K371" s="119"/>
    </row>
    <row r="372" spans="3:11">
      <c r="C372" s="119"/>
      <c r="D372" s="119"/>
      <c r="E372" s="119"/>
      <c r="F372" s="119"/>
      <c r="G372" s="119"/>
      <c r="H372" s="119"/>
      <c r="I372" s="119"/>
      <c r="J372" s="119"/>
      <c r="K372" s="119"/>
    </row>
    <row r="373" spans="3:11">
      <c r="C373" s="119"/>
      <c r="D373" s="119"/>
      <c r="E373" s="119"/>
      <c r="F373" s="119"/>
      <c r="G373" s="119"/>
      <c r="H373" s="119"/>
      <c r="I373" s="119"/>
      <c r="J373" s="119"/>
      <c r="K373" s="119"/>
    </row>
    <row r="374" spans="3:11">
      <c r="C374" s="119"/>
      <c r="D374" s="119"/>
      <c r="E374" s="119"/>
      <c r="F374" s="119"/>
      <c r="G374" s="119"/>
      <c r="H374" s="119"/>
      <c r="I374" s="119"/>
      <c r="J374" s="119"/>
      <c r="K374" s="119"/>
    </row>
    <row r="375" spans="3:11">
      <c r="C375" s="119"/>
      <c r="D375" s="119"/>
      <c r="E375" s="119"/>
      <c r="F375" s="119"/>
      <c r="G375" s="119"/>
      <c r="H375" s="119"/>
      <c r="I375" s="119"/>
      <c r="J375" s="119"/>
      <c r="K375" s="119"/>
    </row>
    <row r="376" spans="3:11">
      <c r="C376" s="119"/>
      <c r="D376" s="119"/>
      <c r="E376" s="119"/>
      <c r="F376" s="119"/>
      <c r="G376" s="119"/>
      <c r="H376" s="119"/>
      <c r="I376" s="119"/>
      <c r="J376" s="119"/>
      <c r="K376" s="119"/>
    </row>
    <row r="377" spans="3:11">
      <c r="C377" s="119"/>
      <c r="D377" s="119"/>
      <c r="E377" s="119"/>
      <c r="F377" s="119"/>
      <c r="G377" s="119"/>
      <c r="H377" s="119"/>
      <c r="I377" s="119"/>
      <c r="J377" s="119"/>
      <c r="K377" s="119"/>
    </row>
    <row r="378" spans="3:11">
      <c r="C378" s="119"/>
      <c r="D378" s="119"/>
      <c r="E378" s="119"/>
      <c r="F378" s="119"/>
      <c r="G378" s="119"/>
      <c r="H378" s="119"/>
      <c r="I378" s="119"/>
      <c r="J378" s="119"/>
      <c r="K378" s="119"/>
    </row>
    <row r="379" spans="3:11">
      <c r="C379" s="119"/>
      <c r="D379" s="119"/>
      <c r="E379" s="119"/>
      <c r="F379" s="119"/>
      <c r="G379" s="119"/>
      <c r="H379" s="119"/>
      <c r="I379" s="119"/>
      <c r="J379" s="119"/>
      <c r="K379" s="119"/>
    </row>
    <row r="380" spans="3:11">
      <c r="C380" s="119"/>
      <c r="D380" s="119"/>
      <c r="E380" s="119"/>
      <c r="F380" s="119"/>
      <c r="G380" s="119"/>
      <c r="H380" s="119"/>
      <c r="I380" s="119"/>
      <c r="J380" s="119"/>
      <c r="K380" s="119"/>
    </row>
    <row r="381" spans="3:11">
      <c r="C381" s="119"/>
      <c r="D381" s="119"/>
      <c r="E381" s="119"/>
      <c r="F381" s="119"/>
      <c r="G381" s="119"/>
      <c r="H381" s="119"/>
      <c r="I381" s="119"/>
      <c r="J381" s="119"/>
      <c r="K381" s="119"/>
    </row>
    <row r="382" spans="3:11">
      <c r="C382" s="119"/>
      <c r="D382" s="119"/>
      <c r="E382" s="119"/>
      <c r="F382" s="119"/>
      <c r="G382" s="119"/>
      <c r="H382" s="119"/>
      <c r="I382" s="119"/>
      <c r="J382" s="119"/>
      <c r="K382" s="119"/>
    </row>
    <row r="383" spans="3:11">
      <c r="C383" s="119"/>
      <c r="D383" s="119"/>
      <c r="E383" s="119"/>
      <c r="F383" s="119"/>
      <c r="G383" s="119"/>
      <c r="H383" s="119"/>
      <c r="I383" s="119"/>
      <c r="J383" s="119"/>
      <c r="K383" s="119"/>
    </row>
    <row r="384" spans="3:11">
      <c r="C384" s="119"/>
      <c r="D384" s="119"/>
      <c r="E384" s="119"/>
      <c r="F384" s="119"/>
      <c r="G384" s="119"/>
      <c r="H384" s="119"/>
      <c r="I384" s="119"/>
      <c r="J384" s="119"/>
      <c r="K384" s="119"/>
    </row>
    <row r="385" spans="3:11">
      <c r="C385" s="119"/>
      <c r="D385" s="119"/>
      <c r="E385" s="119"/>
      <c r="F385" s="119"/>
      <c r="G385" s="119"/>
      <c r="H385" s="119"/>
      <c r="I385" s="119"/>
      <c r="J385" s="119"/>
      <c r="K385" s="119"/>
    </row>
    <row r="386" spans="3:11">
      <c r="C386" s="119"/>
      <c r="D386" s="119"/>
      <c r="E386" s="119"/>
      <c r="F386" s="119"/>
      <c r="G386" s="119"/>
      <c r="H386" s="119"/>
      <c r="I386" s="119"/>
      <c r="J386" s="119"/>
      <c r="K386" s="119"/>
    </row>
    <row r="387" spans="3:11">
      <c r="C387" s="119"/>
      <c r="D387" s="119"/>
      <c r="E387" s="119"/>
      <c r="F387" s="119"/>
      <c r="G387" s="119"/>
      <c r="H387" s="119"/>
      <c r="I387" s="119"/>
      <c r="J387" s="119"/>
      <c r="K387" s="119"/>
    </row>
    <row r="388" spans="3:11">
      <c r="C388" s="119"/>
      <c r="D388" s="119"/>
      <c r="E388" s="119"/>
      <c r="F388" s="119"/>
      <c r="G388" s="119"/>
      <c r="H388" s="119"/>
      <c r="I388" s="119"/>
      <c r="J388" s="119"/>
      <c r="K388" s="119"/>
    </row>
    <row r="389" spans="3:11">
      <c r="C389" s="119"/>
      <c r="D389" s="119"/>
      <c r="E389" s="119"/>
      <c r="F389" s="119"/>
      <c r="G389" s="119"/>
      <c r="H389" s="119"/>
      <c r="I389" s="119"/>
      <c r="J389" s="119"/>
      <c r="K389" s="119"/>
    </row>
    <row r="390" spans="3:11">
      <c r="C390" s="119"/>
      <c r="D390" s="119"/>
      <c r="E390" s="119"/>
      <c r="F390" s="119"/>
      <c r="G390" s="119"/>
      <c r="H390" s="119"/>
      <c r="I390" s="119"/>
      <c r="J390" s="119"/>
      <c r="K390" s="119"/>
    </row>
    <row r="391" spans="3:11">
      <c r="C391" s="119"/>
      <c r="D391" s="119"/>
      <c r="E391" s="119"/>
      <c r="F391" s="119"/>
      <c r="G391" s="119"/>
      <c r="H391" s="119"/>
      <c r="I391" s="119"/>
      <c r="J391" s="119"/>
      <c r="K391" s="119"/>
    </row>
    <row r="392" spans="3:11">
      <c r="C392" s="119"/>
      <c r="D392" s="119"/>
      <c r="E392" s="119"/>
      <c r="F392" s="119"/>
      <c r="G392" s="119"/>
      <c r="H392" s="119"/>
      <c r="I392" s="119"/>
      <c r="J392" s="119"/>
      <c r="K392" s="119"/>
    </row>
    <row r="393" spans="3:11">
      <c r="C393" s="119"/>
      <c r="D393" s="119"/>
      <c r="E393" s="119"/>
      <c r="F393" s="119"/>
      <c r="G393" s="119"/>
      <c r="H393" s="119"/>
      <c r="I393" s="119"/>
      <c r="J393" s="119"/>
      <c r="K393" s="119"/>
    </row>
    <row r="394" spans="3:11">
      <c r="C394" s="119"/>
      <c r="D394" s="119"/>
      <c r="E394" s="119"/>
      <c r="F394" s="119"/>
      <c r="G394" s="119"/>
      <c r="H394" s="119"/>
      <c r="I394" s="119"/>
      <c r="J394" s="119"/>
      <c r="K394" s="119"/>
    </row>
    <row r="395" spans="3:11">
      <c r="C395" s="119"/>
      <c r="D395" s="119"/>
      <c r="E395" s="119"/>
      <c r="F395" s="119"/>
      <c r="G395" s="119"/>
      <c r="H395" s="119"/>
      <c r="I395" s="119"/>
      <c r="J395" s="119"/>
      <c r="K395" s="119"/>
    </row>
    <row r="396" spans="3:11">
      <c r="C396" s="119"/>
      <c r="D396" s="119"/>
      <c r="E396" s="119"/>
      <c r="F396" s="119"/>
      <c r="G396" s="119"/>
      <c r="H396" s="119"/>
      <c r="I396" s="119"/>
      <c r="J396" s="119"/>
      <c r="K396" s="119"/>
    </row>
    <row r="397" spans="3:11">
      <c r="C397" s="119"/>
      <c r="D397" s="119"/>
      <c r="E397" s="119"/>
      <c r="F397" s="119"/>
      <c r="G397" s="119"/>
      <c r="H397" s="119"/>
      <c r="I397" s="119"/>
      <c r="J397" s="119"/>
      <c r="K397" s="119"/>
    </row>
    <row r="398" spans="3:11">
      <c r="C398" s="119"/>
      <c r="D398" s="119"/>
      <c r="E398" s="119"/>
      <c r="F398" s="119"/>
      <c r="G398" s="119"/>
      <c r="H398" s="119"/>
      <c r="I398" s="119"/>
      <c r="J398" s="119"/>
      <c r="K398" s="119"/>
    </row>
    <row r="399" spans="3:11">
      <c r="C399" s="119"/>
      <c r="D399" s="119"/>
      <c r="E399" s="119"/>
      <c r="F399" s="119"/>
      <c r="G399" s="119"/>
      <c r="H399" s="119"/>
      <c r="I399" s="119"/>
      <c r="J399" s="119"/>
      <c r="K399" s="119"/>
    </row>
    <row r="400" spans="3:11">
      <c r="C400" s="119"/>
      <c r="D400" s="119"/>
      <c r="E400" s="119"/>
      <c r="F400" s="119"/>
      <c r="G400" s="119"/>
      <c r="H400" s="119"/>
      <c r="I400" s="119"/>
      <c r="J400" s="119"/>
      <c r="K400" s="119"/>
    </row>
    <row r="401" spans="3:11">
      <c r="C401" s="119"/>
      <c r="D401" s="119"/>
      <c r="E401" s="119"/>
      <c r="F401" s="119"/>
      <c r="G401" s="119"/>
      <c r="H401" s="119"/>
      <c r="I401" s="119"/>
      <c r="J401" s="119"/>
      <c r="K401" s="119"/>
    </row>
    <row r="402" spans="3:11">
      <c r="C402" s="119"/>
      <c r="D402" s="119"/>
      <c r="E402" s="119"/>
      <c r="F402" s="119"/>
      <c r="G402" s="119"/>
      <c r="H402" s="119"/>
      <c r="I402" s="119"/>
      <c r="J402" s="119"/>
      <c r="K402" s="119"/>
    </row>
    <row r="403" spans="3:11">
      <c r="C403" s="119"/>
      <c r="D403" s="119"/>
      <c r="E403" s="119"/>
      <c r="F403" s="119"/>
      <c r="G403" s="119"/>
      <c r="H403" s="119"/>
      <c r="I403" s="119"/>
      <c r="J403" s="119"/>
      <c r="K403" s="119"/>
    </row>
    <row r="404" spans="3:11">
      <c r="C404" s="119"/>
      <c r="D404" s="119"/>
      <c r="E404" s="119"/>
      <c r="F404" s="119"/>
      <c r="G404" s="119"/>
      <c r="H404" s="119"/>
      <c r="I404" s="119"/>
      <c r="J404" s="119"/>
      <c r="K404" s="119"/>
    </row>
    <row r="405" spans="3:11">
      <c r="C405" s="119"/>
      <c r="D405" s="119"/>
      <c r="E405" s="119"/>
      <c r="F405" s="119"/>
      <c r="G405" s="119"/>
      <c r="H405" s="119"/>
      <c r="I405" s="119"/>
      <c r="J405" s="119"/>
      <c r="K405" s="119"/>
    </row>
    <row r="406" spans="3:11">
      <c r="C406" s="119"/>
      <c r="D406" s="119"/>
      <c r="E406" s="119"/>
      <c r="F406" s="119"/>
      <c r="G406" s="119"/>
      <c r="H406" s="119"/>
      <c r="I406" s="119"/>
      <c r="J406" s="119"/>
      <c r="K406" s="119"/>
    </row>
    <row r="407" spans="3:11">
      <c r="C407" s="119"/>
      <c r="D407" s="119"/>
      <c r="E407" s="119"/>
      <c r="F407" s="119"/>
      <c r="G407" s="119"/>
      <c r="H407" s="119"/>
      <c r="I407" s="119"/>
      <c r="J407" s="119"/>
      <c r="K407" s="119"/>
    </row>
    <row r="408" spans="3:11">
      <c r="C408" s="119"/>
      <c r="D408" s="119"/>
      <c r="E408" s="119"/>
      <c r="F408" s="119"/>
      <c r="G408" s="119"/>
      <c r="H408" s="119"/>
      <c r="I408" s="119"/>
      <c r="J408" s="119"/>
      <c r="K408" s="119"/>
    </row>
    <row r="409" spans="3:11">
      <c r="C409" s="119"/>
      <c r="D409" s="119"/>
      <c r="E409" s="119"/>
      <c r="F409" s="119"/>
      <c r="G409" s="119"/>
      <c r="H409" s="119"/>
      <c r="I409" s="119"/>
      <c r="J409" s="119"/>
      <c r="K409" s="119"/>
    </row>
    <row r="410" spans="3:11">
      <c r="C410" s="119"/>
      <c r="D410" s="119"/>
      <c r="E410" s="119"/>
      <c r="F410" s="119"/>
      <c r="G410" s="119"/>
      <c r="H410" s="119"/>
      <c r="I410" s="119"/>
      <c r="J410" s="119"/>
      <c r="K410" s="119"/>
    </row>
    <row r="411" spans="3:11">
      <c r="C411" s="119"/>
      <c r="D411" s="119"/>
      <c r="E411" s="119"/>
      <c r="F411" s="119"/>
      <c r="G411" s="119"/>
      <c r="H411" s="119"/>
      <c r="I411" s="119"/>
      <c r="J411" s="119"/>
      <c r="K411" s="119"/>
    </row>
    <row r="412" spans="3:11">
      <c r="C412" s="119"/>
      <c r="D412" s="119"/>
      <c r="E412" s="119"/>
      <c r="F412" s="119"/>
      <c r="G412" s="119"/>
      <c r="H412" s="119"/>
      <c r="I412" s="119"/>
      <c r="J412" s="119"/>
      <c r="K412" s="119"/>
    </row>
    <row r="413" spans="3:11">
      <c r="C413" s="119"/>
      <c r="D413" s="119"/>
      <c r="E413" s="119"/>
      <c r="F413" s="119"/>
      <c r="G413" s="119"/>
      <c r="H413" s="119"/>
      <c r="I413" s="119"/>
      <c r="J413" s="119"/>
      <c r="K413" s="119"/>
    </row>
    <row r="414" spans="3:11">
      <c r="C414" s="119"/>
      <c r="D414" s="119"/>
      <c r="E414" s="119"/>
      <c r="F414" s="119"/>
      <c r="G414" s="119"/>
      <c r="H414" s="119"/>
      <c r="I414" s="119"/>
      <c r="J414" s="119"/>
      <c r="K414" s="119"/>
    </row>
    <row r="415" spans="3:11">
      <c r="C415" s="119"/>
      <c r="D415" s="119"/>
      <c r="E415" s="119"/>
      <c r="F415" s="119"/>
      <c r="G415" s="119"/>
      <c r="H415" s="119"/>
      <c r="I415" s="119"/>
      <c r="J415" s="119"/>
      <c r="K415" s="119"/>
    </row>
    <row r="416" spans="3:11">
      <c r="C416" s="119"/>
      <c r="D416" s="119"/>
      <c r="E416" s="119"/>
      <c r="F416" s="119"/>
      <c r="G416" s="119"/>
      <c r="H416" s="119"/>
      <c r="I416" s="119"/>
      <c r="J416" s="119"/>
      <c r="K416" s="119"/>
    </row>
    <row r="417" spans="3:11">
      <c r="C417" s="119"/>
      <c r="D417" s="119"/>
      <c r="E417" s="119"/>
      <c r="F417" s="119"/>
      <c r="G417" s="119"/>
      <c r="H417" s="119"/>
      <c r="I417" s="119"/>
      <c r="J417" s="119"/>
      <c r="K417" s="119"/>
    </row>
    <row r="418" spans="3:11">
      <c r="C418" s="119"/>
      <c r="D418" s="119"/>
      <c r="E418" s="119"/>
      <c r="F418" s="119"/>
      <c r="G418" s="119"/>
      <c r="H418" s="119"/>
      <c r="I418" s="119"/>
      <c r="J418" s="119"/>
      <c r="K418" s="119"/>
    </row>
    <row r="419" spans="3:11">
      <c r="C419" s="119"/>
      <c r="D419" s="119"/>
      <c r="E419" s="119"/>
      <c r="F419" s="119"/>
      <c r="G419" s="119"/>
      <c r="H419" s="119"/>
    </row>
    <row r="420" spans="3:11">
      <c r="C420" s="119"/>
      <c r="D420" s="119"/>
      <c r="E420" s="119"/>
      <c r="F420" s="119"/>
      <c r="G420" s="119"/>
      <c r="H420" s="119"/>
    </row>
    <row r="421" spans="3:11">
      <c r="C421" s="119"/>
      <c r="D421" s="119"/>
      <c r="E421" s="119"/>
      <c r="F421" s="119"/>
      <c r="G421" s="119"/>
      <c r="H421" s="119"/>
    </row>
    <row r="422" spans="3:11">
      <c r="C422" s="119"/>
      <c r="D422" s="119"/>
      <c r="E422" s="119"/>
      <c r="F422" s="119"/>
      <c r="G422" s="119"/>
      <c r="H422" s="119"/>
    </row>
    <row r="423" spans="3:11">
      <c r="C423" s="119"/>
      <c r="D423" s="119"/>
      <c r="E423" s="119"/>
      <c r="F423" s="119"/>
      <c r="G423" s="119"/>
      <c r="H423" s="119"/>
    </row>
    <row r="424" spans="3:11">
      <c r="C424" s="119"/>
      <c r="D424" s="119"/>
      <c r="E424" s="119"/>
      <c r="F424" s="119"/>
      <c r="G424" s="119"/>
      <c r="H424" s="119"/>
    </row>
    <row r="425" spans="3:11">
      <c r="C425" s="119"/>
      <c r="D425" s="119"/>
      <c r="E425" s="119"/>
      <c r="F425" s="119"/>
      <c r="G425" s="119"/>
      <c r="H425" s="119"/>
    </row>
    <row r="426" spans="3:11">
      <c r="C426" s="119"/>
      <c r="D426" s="119"/>
      <c r="E426" s="119"/>
      <c r="F426" s="119"/>
      <c r="G426" s="119"/>
      <c r="H426" s="119"/>
    </row>
    <row r="427" spans="3:11">
      <c r="C427" s="119"/>
      <c r="D427" s="119"/>
      <c r="E427" s="119"/>
      <c r="F427" s="119"/>
      <c r="G427" s="119"/>
      <c r="H427" s="119"/>
    </row>
    <row r="428" spans="3:11">
      <c r="C428" s="119"/>
      <c r="D428" s="119"/>
      <c r="E428" s="119"/>
      <c r="F428" s="119"/>
      <c r="G428" s="119"/>
      <c r="H428" s="119"/>
    </row>
    <row r="429" spans="3:11">
      <c r="C429" s="119"/>
      <c r="D429" s="119"/>
      <c r="E429" s="119"/>
      <c r="F429" s="119"/>
      <c r="G429" s="119"/>
      <c r="H429" s="119"/>
    </row>
    <row r="430" spans="3:11">
      <c r="C430" s="119"/>
      <c r="D430" s="119"/>
      <c r="E430" s="119"/>
      <c r="F430" s="119"/>
      <c r="G430" s="119"/>
      <c r="H430" s="119"/>
    </row>
    <row r="431" spans="3:11">
      <c r="C431" s="119"/>
      <c r="D431" s="119"/>
      <c r="E431" s="119"/>
      <c r="F431" s="119"/>
      <c r="G431" s="119"/>
      <c r="H431" s="119"/>
    </row>
    <row r="432" spans="3:11">
      <c r="C432" s="119"/>
      <c r="D432" s="119"/>
      <c r="E432" s="119"/>
      <c r="F432" s="119"/>
      <c r="G432" s="119"/>
      <c r="H432" s="119"/>
    </row>
    <row r="433" spans="3:8">
      <c r="C433" s="119"/>
      <c r="D433" s="119"/>
      <c r="E433" s="119"/>
      <c r="F433" s="119"/>
      <c r="G433" s="119"/>
      <c r="H433" s="119"/>
    </row>
    <row r="434" spans="3:8">
      <c r="C434" s="119"/>
      <c r="D434" s="119"/>
      <c r="E434" s="119"/>
      <c r="F434" s="119"/>
      <c r="G434" s="119"/>
      <c r="H434" s="119"/>
    </row>
    <row r="435" spans="3:8">
      <c r="C435" s="119"/>
      <c r="D435" s="119"/>
      <c r="E435" s="119"/>
      <c r="F435" s="119"/>
      <c r="G435" s="119"/>
      <c r="H435" s="119"/>
    </row>
    <row r="436" spans="3:8">
      <c r="C436" s="119"/>
      <c r="D436" s="119"/>
      <c r="E436" s="119"/>
      <c r="F436" s="119"/>
      <c r="G436" s="119"/>
      <c r="H436" s="119"/>
    </row>
    <row r="437" spans="3:8">
      <c r="C437" s="119"/>
      <c r="D437" s="119"/>
      <c r="E437" s="119"/>
      <c r="F437" s="119"/>
      <c r="G437" s="119"/>
      <c r="H437" s="119"/>
    </row>
    <row r="438" spans="3:8">
      <c r="C438" s="119"/>
      <c r="D438" s="119"/>
      <c r="E438" s="119"/>
      <c r="F438" s="119"/>
      <c r="G438" s="119"/>
      <c r="H438" s="119"/>
    </row>
    <row r="439" spans="3:8">
      <c r="C439" s="119"/>
      <c r="D439" s="119"/>
      <c r="E439" s="119"/>
      <c r="F439" s="119"/>
      <c r="G439" s="119"/>
      <c r="H439" s="119"/>
    </row>
    <row r="440" spans="3:8">
      <c r="C440" s="119"/>
      <c r="D440" s="119"/>
      <c r="E440" s="119"/>
      <c r="F440" s="119"/>
      <c r="G440" s="119"/>
      <c r="H440" s="119"/>
    </row>
    <row r="441" spans="3:8">
      <c r="C441" s="119"/>
      <c r="D441" s="119"/>
      <c r="E441" s="119"/>
      <c r="F441" s="119"/>
      <c r="G441" s="119"/>
      <c r="H441" s="119"/>
    </row>
    <row r="442" spans="3:8">
      <c r="C442" s="119"/>
      <c r="D442" s="119"/>
      <c r="E442" s="119"/>
      <c r="F442" s="119"/>
      <c r="G442" s="119"/>
      <c r="H442" s="119"/>
    </row>
    <row r="443" spans="3:8">
      <c r="C443" s="119"/>
      <c r="D443" s="119"/>
      <c r="E443" s="119"/>
      <c r="F443" s="119"/>
      <c r="G443" s="119"/>
      <c r="H443" s="119"/>
    </row>
    <row r="444" spans="3:8">
      <c r="C444" s="119"/>
      <c r="D444" s="119"/>
      <c r="E444" s="119"/>
      <c r="F444" s="119"/>
      <c r="G444" s="119"/>
      <c r="H444" s="119"/>
    </row>
    <row r="445" spans="3:8">
      <c r="C445" s="119"/>
      <c r="D445" s="119"/>
      <c r="E445" s="119"/>
      <c r="F445" s="119"/>
      <c r="G445" s="119"/>
      <c r="H445" s="119"/>
    </row>
    <row r="446" spans="3:8">
      <c r="C446" s="119"/>
      <c r="D446" s="119"/>
      <c r="E446" s="119"/>
      <c r="F446" s="119"/>
      <c r="G446" s="119"/>
      <c r="H446" s="119"/>
    </row>
    <row r="447" spans="3:8">
      <c r="C447" s="119"/>
      <c r="D447" s="119"/>
      <c r="E447" s="119"/>
      <c r="F447" s="119"/>
      <c r="G447" s="119"/>
      <c r="H447" s="119"/>
    </row>
    <row r="448" spans="3:8">
      <c r="C448" s="119"/>
      <c r="D448" s="119"/>
      <c r="E448" s="119"/>
      <c r="F448" s="119"/>
      <c r="G448" s="119"/>
      <c r="H448" s="119"/>
    </row>
    <row r="449" spans="3:8">
      <c r="C449" s="119"/>
      <c r="D449" s="119"/>
      <c r="E449" s="119"/>
      <c r="F449" s="119"/>
      <c r="G449" s="119"/>
      <c r="H449" s="119"/>
    </row>
    <row r="450" spans="3:8">
      <c r="C450" s="119"/>
      <c r="D450" s="119"/>
      <c r="E450" s="119"/>
      <c r="F450" s="119"/>
      <c r="G450" s="119"/>
      <c r="H450" s="119"/>
    </row>
    <row r="451" spans="3:8">
      <c r="C451" s="119"/>
      <c r="D451" s="119"/>
      <c r="E451" s="119"/>
      <c r="F451" s="119"/>
      <c r="G451" s="119"/>
      <c r="H451" s="119"/>
    </row>
    <row r="452" spans="3:8">
      <c r="C452" s="119"/>
      <c r="D452" s="119"/>
      <c r="E452" s="119"/>
      <c r="F452" s="119"/>
      <c r="G452" s="119"/>
      <c r="H452" s="119"/>
    </row>
    <row r="453" spans="3:8">
      <c r="C453" s="119"/>
      <c r="D453" s="119"/>
      <c r="E453" s="119"/>
      <c r="F453" s="119"/>
      <c r="G453" s="119"/>
      <c r="H453" s="119"/>
    </row>
    <row r="454" spans="3:8">
      <c r="C454" s="119"/>
      <c r="D454" s="119"/>
      <c r="E454" s="119"/>
      <c r="F454" s="119"/>
      <c r="G454" s="119"/>
      <c r="H454" s="119"/>
    </row>
    <row r="455" spans="3:8">
      <c r="C455" s="119"/>
      <c r="D455" s="119"/>
      <c r="E455" s="119"/>
      <c r="F455" s="119"/>
      <c r="G455" s="119"/>
      <c r="H455" s="119"/>
    </row>
    <row r="456" spans="3:8">
      <c r="C456" s="119"/>
      <c r="D456" s="119"/>
      <c r="E456" s="119"/>
      <c r="F456" s="119"/>
      <c r="G456" s="119"/>
      <c r="H456" s="119"/>
    </row>
    <row r="457" spans="3:8">
      <c r="C457" s="119"/>
      <c r="D457" s="119"/>
      <c r="E457" s="119"/>
      <c r="F457" s="119"/>
      <c r="G457" s="119"/>
      <c r="H457" s="119"/>
    </row>
    <row r="458" spans="3:8">
      <c r="C458" s="119"/>
      <c r="D458" s="119"/>
      <c r="E458" s="119"/>
      <c r="F458" s="119"/>
      <c r="G458" s="119"/>
      <c r="H458" s="119"/>
    </row>
    <row r="459" spans="3:8">
      <c r="C459" s="119"/>
      <c r="D459" s="119"/>
      <c r="E459" s="119"/>
      <c r="F459" s="119"/>
      <c r="G459" s="119"/>
      <c r="H459" s="119"/>
    </row>
    <row r="460" spans="3:8">
      <c r="C460" s="119"/>
      <c r="D460" s="119"/>
      <c r="E460" s="119"/>
      <c r="F460" s="119"/>
      <c r="G460" s="119"/>
      <c r="H460" s="119"/>
    </row>
    <row r="461" spans="3:8">
      <c r="C461" s="119"/>
      <c r="D461" s="119"/>
      <c r="E461" s="119"/>
      <c r="F461" s="119"/>
      <c r="G461" s="119"/>
      <c r="H461" s="119"/>
    </row>
    <row r="462" spans="3:8">
      <c r="C462" s="119"/>
      <c r="D462" s="119"/>
      <c r="E462" s="119"/>
      <c r="F462" s="119"/>
      <c r="G462" s="119"/>
      <c r="H462" s="119"/>
    </row>
    <row r="463" spans="3:8">
      <c r="C463" s="119"/>
      <c r="D463" s="119"/>
      <c r="E463" s="119"/>
      <c r="F463" s="119"/>
      <c r="G463" s="119"/>
      <c r="H463" s="119"/>
    </row>
    <row r="464" spans="3:8">
      <c r="C464" s="119"/>
      <c r="D464" s="119"/>
      <c r="E464" s="119"/>
      <c r="F464" s="119"/>
      <c r="G464" s="119"/>
      <c r="H464" s="119"/>
    </row>
    <row r="465" spans="3:8">
      <c r="C465" s="119"/>
      <c r="D465" s="119"/>
      <c r="E465" s="119"/>
      <c r="F465" s="119"/>
      <c r="G465" s="119"/>
      <c r="H465" s="119"/>
    </row>
    <row r="466" spans="3:8">
      <c r="C466" s="119"/>
      <c r="D466" s="119"/>
      <c r="E466" s="119"/>
      <c r="F466" s="119"/>
      <c r="G466" s="119"/>
      <c r="H466" s="119"/>
    </row>
    <row r="467" spans="3:8">
      <c r="C467" s="119"/>
      <c r="D467" s="119"/>
      <c r="E467" s="119"/>
      <c r="F467" s="119"/>
      <c r="G467" s="119"/>
      <c r="H467" s="119"/>
    </row>
    <row r="468" spans="3:8">
      <c r="C468" s="119"/>
      <c r="D468" s="119"/>
      <c r="E468" s="119"/>
      <c r="F468" s="119"/>
      <c r="G468" s="119"/>
      <c r="H468" s="119"/>
    </row>
    <row r="469" spans="3:8">
      <c r="C469" s="119"/>
      <c r="D469" s="119"/>
      <c r="E469" s="119"/>
      <c r="F469" s="119"/>
      <c r="G469" s="119"/>
      <c r="H469" s="119"/>
    </row>
    <row r="470" spans="3:8">
      <c r="C470" s="119"/>
      <c r="D470" s="119"/>
      <c r="E470" s="119"/>
      <c r="F470" s="119"/>
      <c r="G470" s="119"/>
      <c r="H470" s="119"/>
    </row>
    <row r="471" spans="3:8">
      <c r="C471" s="119"/>
      <c r="D471" s="119"/>
      <c r="E471" s="119"/>
      <c r="F471" s="119"/>
      <c r="G471" s="119"/>
      <c r="H471" s="119"/>
    </row>
    <row r="472" spans="3:8">
      <c r="C472" s="119"/>
      <c r="D472" s="119"/>
      <c r="E472" s="119"/>
      <c r="F472" s="119"/>
      <c r="G472" s="119"/>
      <c r="H472" s="119"/>
    </row>
    <row r="473" spans="3:8">
      <c r="C473" s="119"/>
      <c r="D473" s="119"/>
      <c r="E473" s="119"/>
      <c r="F473" s="119"/>
      <c r="G473" s="119"/>
      <c r="H473" s="119"/>
    </row>
    <row r="474" spans="3:8">
      <c r="C474" s="119"/>
      <c r="D474" s="119"/>
      <c r="E474" s="119"/>
      <c r="F474" s="119"/>
      <c r="G474" s="119"/>
      <c r="H474" s="119"/>
    </row>
    <row r="475" spans="3:8">
      <c r="C475" s="119"/>
      <c r="D475" s="119"/>
      <c r="E475" s="119"/>
      <c r="F475" s="119"/>
      <c r="G475" s="119"/>
      <c r="H475" s="119"/>
    </row>
    <row r="476" spans="3:8">
      <c r="C476" s="119"/>
      <c r="D476" s="119"/>
      <c r="E476" s="119"/>
      <c r="F476" s="119"/>
      <c r="G476" s="119"/>
      <c r="H476" s="119"/>
    </row>
    <row r="477" spans="3:8">
      <c r="C477" s="119"/>
      <c r="D477" s="119"/>
      <c r="E477" s="119"/>
      <c r="F477" s="119"/>
      <c r="G477" s="119"/>
      <c r="H477" s="119"/>
    </row>
    <row r="478" spans="3:8">
      <c r="C478" s="119"/>
      <c r="D478" s="119"/>
      <c r="E478" s="119"/>
      <c r="F478" s="119"/>
      <c r="G478" s="119"/>
      <c r="H478" s="119"/>
    </row>
    <row r="479" spans="3:8">
      <c r="C479" s="119"/>
      <c r="D479" s="119"/>
      <c r="E479" s="119"/>
      <c r="F479" s="119"/>
      <c r="G479" s="119"/>
      <c r="H479" s="119"/>
    </row>
    <row r="480" spans="3:8">
      <c r="C480" s="119"/>
      <c r="D480" s="119"/>
      <c r="E480" s="119"/>
      <c r="F480" s="119"/>
      <c r="G480" s="119"/>
      <c r="H480" s="119"/>
    </row>
    <row r="481" spans="3:8">
      <c r="C481" s="119"/>
      <c r="D481" s="119"/>
      <c r="E481" s="119"/>
      <c r="F481" s="119"/>
      <c r="G481" s="119"/>
      <c r="H481" s="119"/>
    </row>
    <row r="482" spans="3:8">
      <c r="C482" s="119"/>
      <c r="D482" s="119"/>
      <c r="E482" s="119"/>
      <c r="F482" s="119"/>
      <c r="G482" s="119"/>
      <c r="H482" s="119"/>
    </row>
    <row r="483" spans="3:8">
      <c r="C483" s="119"/>
      <c r="D483" s="119"/>
      <c r="E483" s="119"/>
      <c r="F483" s="119"/>
      <c r="G483" s="119"/>
      <c r="H483" s="119"/>
    </row>
    <row r="484" spans="3:8">
      <c r="C484" s="119"/>
      <c r="D484" s="119"/>
      <c r="E484" s="119"/>
      <c r="F484" s="119"/>
      <c r="G484" s="119"/>
      <c r="H484" s="119"/>
    </row>
    <row r="485" spans="3:8">
      <c r="C485" s="119"/>
      <c r="D485" s="119"/>
      <c r="E485" s="119"/>
      <c r="F485" s="119"/>
      <c r="G485" s="119"/>
      <c r="H485" s="119"/>
    </row>
    <row r="486" spans="3:8">
      <c r="C486" s="119"/>
      <c r="D486" s="119"/>
      <c r="E486" s="119"/>
      <c r="F486" s="119"/>
      <c r="G486" s="119"/>
      <c r="H486" s="119"/>
    </row>
    <row r="487" spans="3:8">
      <c r="C487" s="119"/>
      <c r="D487" s="119"/>
      <c r="E487" s="119"/>
      <c r="F487" s="119"/>
      <c r="G487" s="119"/>
      <c r="H487" s="119"/>
    </row>
    <row r="488" spans="3:8">
      <c r="C488" s="119"/>
      <c r="D488" s="119"/>
      <c r="E488" s="119"/>
      <c r="F488" s="119"/>
      <c r="G488" s="119"/>
      <c r="H488" s="119"/>
    </row>
    <row r="489" spans="3:8">
      <c r="C489" s="119"/>
      <c r="D489" s="119"/>
      <c r="E489" s="119"/>
      <c r="F489" s="119"/>
      <c r="G489" s="119"/>
      <c r="H489" s="119"/>
    </row>
    <row r="490" spans="3:8">
      <c r="C490" s="119"/>
      <c r="D490" s="119"/>
      <c r="E490" s="119"/>
      <c r="F490" s="119"/>
      <c r="G490" s="119"/>
      <c r="H490" s="119"/>
    </row>
    <row r="491" spans="3:8">
      <c r="C491" s="119"/>
      <c r="D491" s="119"/>
      <c r="E491" s="119"/>
      <c r="F491" s="119"/>
      <c r="G491" s="119"/>
      <c r="H491" s="119"/>
    </row>
    <row r="492" spans="3:8">
      <c r="C492" s="119"/>
      <c r="D492" s="119"/>
      <c r="E492" s="119"/>
      <c r="F492" s="119"/>
      <c r="G492" s="119"/>
      <c r="H492" s="119"/>
    </row>
    <row r="493" spans="3:8">
      <c r="C493" s="119"/>
      <c r="D493" s="119"/>
      <c r="E493" s="119"/>
      <c r="F493" s="119"/>
      <c r="G493" s="119"/>
      <c r="H493" s="119"/>
    </row>
    <row r="494" spans="3:8">
      <c r="C494" s="119"/>
      <c r="D494" s="119"/>
      <c r="E494" s="119"/>
      <c r="F494" s="119"/>
      <c r="G494" s="119"/>
      <c r="H494" s="119"/>
    </row>
    <row r="495" spans="3:8">
      <c r="C495" s="119"/>
      <c r="D495" s="119"/>
      <c r="E495" s="119"/>
      <c r="F495" s="119"/>
      <c r="G495" s="119"/>
      <c r="H495" s="119"/>
    </row>
    <row r="496" spans="3:8">
      <c r="C496" s="119"/>
      <c r="D496" s="119"/>
      <c r="E496" s="119"/>
      <c r="F496" s="119"/>
      <c r="G496" s="119"/>
      <c r="H496" s="119"/>
    </row>
    <row r="497" spans="3:8">
      <c r="C497" s="119"/>
      <c r="D497" s="119"/>
      <c r="E497" s="119"/>
      <c r="F497" s="119"/>
      <c r="G497" s="119"/>
      <c r="H497" s="119"/>
    </row>
    <row r="498" spans="3:8">
      <c r="C498" s="119"/>
      <c r="D498" s="119"/>
      <c r="E498" s="119"/>
      <c r="F498" s="119"/>
      <c r="G498" s="119"/>
      <c r="H498" s="119"/>
    </row>
    <row r="499" spans="3:8">
      <c r="C499" s="119"/>
      <c r="D499" s="119"/>
      <c r="E499" s="119"/>
      <c r="F499" s="119"/>
      <c r="G499" s="119"/>
      <c r="H499" s="119"/>
    </row>
    <row r="500" spans="3:8">
      <c r="C500" s="119"/>
      <c r="D500" s="119"/>
      <c r="E500" s="119"/>
      <c r="F500" s="119"/>
      <c r="G500" s="119"/>
      <c r="H500" s="119"/>
    </row>
    <row r="501" spans="3:8">
      <c r="C501" s="119"/>
      <c r="D501" s="119"/>
      <c r="E501" s="119"/>
      <c r="F501" s="119"/>
      <c r="G501" s="119"/>
      <c r="H501" s="119"/>
    </row>
    <row r="502" spans="3:8">
      <c r="C502" s="119"/>
      <c r="D502" s="119"/>
      <c r="E502" s="119"/>
      <c r="F502" s="119"/>
      <c r="G502" s="119"/>
      <c r="H502" s="119"/>
    </row>
    <row r="503" spans="3:8">
      <c r="C503" s="119"/>
      <c r="D503" s="119"/>
      <c r="E503" s="119"/>
      <c r="F503" s="119"/>
      <c r="G503" s="119"/>
      <c r="H503" s="119"/>
    </row>
    <row r="504" spans="3:8">
      <c r="C504" s="119"/>
      <c r="D504" s="119"/>
      <c r="E504" s="119"/>
      <c r="F504" s="119"/>
      <c r="G504" s="119"/>
      <c r="H504" s="119"/>
    </row>
    <row r="505" spans="3:8">
      <c r="C505" s="119"/>
      <c r="D505" s="119"/>
      <c r="E505" s="119"/>
      <c r="F505" s="119"/>
      <c r="G505" s="119"/>
      <c r="H505" s="119"/>
    </row>
    <row r="506" spans="3:8">
      <c r="C506" s="119"/>
      <c r="D506" s="119"/>
      <c r="E506" s="119"/>
      <c r="F506" s="119"/>
      <c r="G506" s="119"/>
      <c r="H506" s="119"/>
    </row>
    <row r="507" spans="3:8">
      <c r="C507" s="119"/>
      <c r="D507" s="119"/>
      <c r="E507" s="119"/>
      <c r="F507" s="119"/>
      <c r="G507" s="119"/>
      <c r="H507" s="119"/>
    </row>
    <row r="508" spans="3:8">
      <c r="C508" s="119"/>
      <c r="D508" s="119"/>
      <c r="E508" s="119"/>
      <c r="F508" s="119"/>
      <c r="G508" s="119"/>
      <c r="H508" s="119"/>
    </row>
    <row r="509" spans="3:8">
      <c r="C509" s="119"/>
      <c r="D509" s="119"/>
      <c r="E509" s="119"/>
      <c r="F509" s="119"/>
      <c r="G509" s="119"/>
      <c r="H509" s="119"/>
    </row>
    <row r="510" spans="3:8">
      <c r="C510" s="119"/>
      <c r="D510" s="119"/>
      <c r="E510" s="119"/>
      <c r="F510" s="119"/>
      <c r="G510" s="119"/>
      <c r="H510" s="119"/>
    </row>
    <row r="511" spans="3:8">
      <c r="C511" s="119"/>
      <c r="D511" s="119"/>
      <c r="E511" s="119"/>
      <c r="F511" s="119"/>
      <c r="G511" s="119"/>
      <c r="H511" s="119"/>
    </row>
    <row r="512" spans="3:8">
      <c r="C512" s="119"/>
      <c r="D512" s="119"/>
      <c r="E512" s="119"/>
      <c r="F512" s="119"/>
      <c r="G512" s="119"/>
      <c r="H512" s="119"/>
    </row>
    <row r="513" spans="3:8">
      <c r="C513" s="119"/>
      <c r="D513" s="119"/>
      <c r="E513" s="119"/>
      <c r="F513" s="119"/>
      <c r="G513" s="119"/>
      <c r="H513" s="119"/>
    </row>
    <row r="514" spans="3:8">
      <c r="C514" s="119"/>
      <c r="D514" s="119"/>
      <c r="E514" s="119"/>
      <c r="F514" s="119"/>
      <c r="G514" s="119"/>
      <c r="H514" s="119"/>
    </row>
    <row r="515" spans="3:8">
      <c r="C515" s="119"/>
      <c r="D515" s="119"/>
      <c r="E515" s="119"/>
      <c r="F515" s="119"/>
      <c r="G515" s="119"/>
      <c r="H515" s="119"/>
    </row>
    <row r="516" spans="3:8">
      <c r="C516" s="119"/>
      <c r="D516" s="119"/>
      <c r="E516" s="119"/>
      <c r="F516" s="119"/>
      <c r="G516" s="119"/>
      <c r="H516" s="119"/>
    </row>
    <row r="517" spans="3:8">
      <c r="C517" s="119"/>
      <c r="D517" s="119"/>
      <c r="E517" s="119"/>
      <c r="F517" s="119"/>
      <c r="G517" s="119"/>
      <c r="H517" s="119"/>
    </row>
    <row r="518" spans="3:8">
      <c r="C518" s="119"/>
      <c r="D518" s="119"/>
      <c r="E518" s="119"/>
      <c r="F518" s="119"/>
      <c r="G518" s="119"/>
      <c r="H518" s="119"/>
    </row>
    <row r="519" spans="3:8">
      <c r="C519" s="119"/>
      <c r="D519" s="119"/>
      <c r="E519" s="119"/>
      <c r="F519" s="119"/>
      <c r="G519" s="119"/>
      <c r="H519" s="119"/>
    </row>
    <row r="520" spans="3:8">
      <c r="C520" s="119"/>
      <c r="D520" s="119"/>
      <c r="E520" s="119"/>
      <c r="F520" s="119"/>
      <c r="G520" s="119"/>
      <c r="H520" s="119"/>
    </row>
    <row r="521" spans="3:8">
      <c r="C521" s="119"/>
      <c r="D521" s="119"/>
      <c r="E521" s="119"/>
      <c r="F521" s="119"/>
      <c r="G521" s="119"/>
      <c r="H521" s="119"/>
    </row>
    <row r="522" spans="3:8">
      <c r="C522" s="119"/>
      <c r="D522" s="119"/>
      <c r="E522" s="119"/>
      <c r="F522" s="119"/>
      <c r="G522" s="119"/>
      <c r="H522" s="119"/>
    </row>
    <row r="523" spans="3:8">
      <c r="C523" s="119"/>
      <c r="D523" s="119"/>
      <c r="E523" s="119"/>
      <c r="F523" s="119"/>
      <c r="G523" s="119"/>
      <c r="H523" s="119"/>
    </row>
    <row r="524" spans="3:8">
      <c r="C524" s="119"/>
      <c r="D524" s="119"/>
      <c r="E524" s="119"/>
      <c r="F524" s="119"/>
      <c r="G524" s="119"/>
      <c r="H524" s="119"/>
    </row>
    <row r="525" spans="3:8">
      <c r="C525" s="119"/>
      <c r="D525" s="119"/>
      <c r="E525" s="119"/>
      <c r="F525" s="119"/>
      <c r="G525" s="119"/>
      <c r="H525" s="119"/>
    </row>
    <row r="526" spans="3:8">
      <c r="C526" s="119"/>
      <c r="D526" s="119"/>
      <c r="E526" s="119"/>
      <c r="F526" s="119"/>
      <c r="G526" s="119"/>
      <c r="H526" s="119"/>
    </row>
    <row r="527" spans="3:8">
      <c r="C527" s="119"/>
      <c r="D527" s="119"/>
      <c r="E527" s="119"/>
      <c r="F527" s="119"/>
      <c r="G527" s="119"/>
      <c r="H527" s="119"/>
    </row>
    <row r="528" spans="3:8">
      <c r="C528" s="119"/>
      <c r="D528" s="119"/>
      <c r="E528" s="119"/>
      <c r="F528" s="119"/>
      <c r="G528" s="119"/>
      <c r="H528" s="119"/>
    </row>
    <row r="529" spans="3:8">
      <c r="C529" s="119"/>
      <c r="D529" s="119"/>
      <c r="E529" s="119"/>
      <c r="F529" s="119"/>
      <c r="G529" s="119"/>
      <c r="H529" s="119"/>
    </row>
    <row r="530" spans="3:8">
      <c r="C530" s="119"/>
      <c r="D530" s="119"/>
      <c r="E530" s="119"/>
      <c r="F530" s="119"/>
      <c r="G530" s="119"/>
      <c r="H530" s="119"/>
    </row>
    <row r="531" spans="3:8">
      <c r="C531" s="119"/>
      <c r="D531" s="119"/>
      <c r="E531" s="119"/>
      <c r="F531" s="119"/>
      <c r="G531" s="119"/>
      <c r="H531" s="119"/>
    </row>
    <row r="532" spans="3:8">
      <c r="C532" s="119"/>
      <c r="D532" s="119"/>
      <c r="E532" s="119"/>
      <c r="F532" s="119"/>
      <c r="G532" s="119"/>
      <c r="H532" s="119"/>
    </row>
    <row r="533" spans="3:8">
      <c r="C533" s="119"/>
      <c r="D533" s="119"/>
      <c r="E533" s="119"/>
      <c r="F533" s="119"/>
      <c r="G533" s="119"/>
      <c r="H533" s="119"/>
    </row>
    <row r="534" spans="3:8">
      <c r="C534" s="119"/>
      <c r="D534" s="119"/>
      <c r="E534" s="119"/>
      <c r="F534" s="119"/>
      <c r="G534" s="119"/>
      <c r="H534" s="119"/>
    </row>
    <row r="535" spans="3:8">
      <c r="C535" s="119"/>
      <c r="D535" s="119"/>
      <c r="E535" s="119"/>
      <c r="F535" s="119"/>
      <c r="G535" s="119"/>
      <c r="H535" s="119"/>
    </row>
    <row r="536" spans="3:8">
      <c r="C536" s="119"/>
      <c r="D536" s="119"/>
      <c r="E536" s="119"/>
      <c r="F536" s="119"/>
      <c r="G536" s="119"/>
      <c r="H536" s="119"/>
    </row>
    <row r="537" spans="3:8">
      <c r="C537" s="119"/>
      <c r="D537" s="119"/>
      <c r="E537" s="119"/>
      <c r="F537" s="119"/>
      <c r="G537" s="119"/>
      <c r="H537" s="119"/>
    </row>
    <row r="538" spans="3:8">
      <c r="C538" s="119"/>
      <c r="D538" s="119"/>
      <c r="E538" s="119"/>
      <c r="F538" s="119"/>
      <c r="G538" s="119"/>
      <c r="H538" s="119"/>
    </row>
    <row r="539" spans="3:8">
      <c r="C539" s="119"/>
      <c r="D539" s="119"/>
      <c r="E539" s="119"/>
      <c r="F539" s="119"/>
      <c r="G539" s="119"/>
      <c r="H539" s="119"/>
    </row>
    <row r="540" spans="3:8">
      <c r="C540" s="119"/>
      <c r="D540" s="119"/>
      <c r="E540" s="119"/>
      <c r="F540" s="119"/>
      <c r="G540" s="119"/>
      <c r="H540" s="119"/>
    </row>
    <row r="541" spans="3:8">
      <c r="C541" s="119"/>
      <c r="D541" s="119"/>
      <c r="E541" s="119"/>
      <c r="F541" s="119"/>
      <c r="G541" s="119"/>
      <c r="H541" s="119"/>
    </row>
    <row r="542" spans="3:8">
      <c r="C542" s="119"/>
      <c r="D542" s="119"/>
      <c r="E542" s="119"/>
      <c r="F542" s="119"/>
      <c r="G542" s="119"/>
      <c r="H542" s="119"/>
    </row>
    <row r="543" spans="3:8">
      <c r="C543" s="119"/>
      <c r="D543" s="119"/>
      <c r="E543" s="119"/>
      <c r="F543" s="119"/>
      <c r="G543" s="119"/>
      <c r="H543" s="119"/>
    </row>
    <row r="544" spans="3:8">
      <c r="C544" s="119"/>
      <c r="D544" s="119"/>
      <c r="E544" s="119"/>
      <c r="F544" s="119"/>
      <c r="G544" s="119"/>
      <c r="H544" s="119"/>
    </row>
    <row r="545" spans="3:8">
      <c r="C545" s="119"/>
      <c r="D545" s="119"/>
      <c r="E545" s="119"/>
      <c r="F545" s="119"/>
      <c r="G545" s="119"/>
      <c r="H545" s="119"/>
    </row>
    <row r="546" spans="3:8">
      <c r="C546" s="119"/>
      <c r="D546" s="119"/>
      <c r="E546" s="119"/>
      <c r="F546" s="119"/>
      <c r="G546" s="119"/>
      <c r="H546" s="119"/>
    </row>
    <row r="547" spans="3:8">
      <c r="C547" s="119"/>
      <c r="D547" s="119"/>
      <c r="E547" s="119"/>
      <c r="F547" s="119"/>
      <c r="G547" s="119"/>
      <c r="H547" s="119"/>
    </row>
    <row r="548" spans="3:8">
      <c r="C548" s="119"/>
      <c r="D548" s="119"/>
      <c r="E548" s="119"/>
      <c r="F548" s="119"/>
      <c r="G548" s="119"/>
      <c r="H548" s="119"/>
    </row>
    <row r="549" spans="3:8">
      <c r="C549" s="119"/>
      <c r="D549" s="119"/>
      <c r="E549" s="119"/>
      <c r="F549" s="119"/>
      <c r="G549" s="119"/>
      <c r="H549" s="119"/>
    </row>
    <row r="550" spans="3:8">
      <c r="C550" s="119"/>
      <c r="D550" s="119"/>
      <c r="E550" s="119"/>
      <c r="F550" s="119"/>
      <c r="G550" s="119"/>
      <c r="H550" s="119"/>
    </row>
    <row r="551" spans="3:8">
      <c r="C551" s="119"/>
      <c r="D551" s="119"/>
      <c r="E551" s="119"/>
      <c r="F551" s="119"/>
      <c r="G551" s="119"/>
      <c r="H551" s="119"/>
    </row>
    <row r="552" spans="3:8">
      <c r="C552" s="119"/>
      <c r="D552" s="119"/>
      <c r="E552" s="119"/>
      <c r="F552" s="119"/>
      <c r="G552" s="119"/>
      <c r="H552" s="119"/>
    </row>
    <row r="553" spans="3:8">
      <c r="C553" s="119"/>
      <c r="D553" s="119"/>
      <c r="E553" s="119"/>
      <c r="F553" s="119"/>
      <c r="G553" s="119"/>
      <c r="H553" s="119"/>
    </row>
    <row r="554" spans="3:8">
      <c r="C554" s="119"/>
      <c r="D554" s="119"/>
      <c r="E554" s="119"/>
      <c r="F554" s="119"/>
      <c r="G554" s="119"/>
      <c r="H554" s="119"/>
    </row>
    <row r="555" spans="3:8">
      <c r="C555" s="119"/>
      <c r="D555" s="119"/>
      <c r="E555" s="119"/>
      <c r="F555" s="119"/>
      <c r="G555" s="119"/>
      <c r="H555" s="119"/>
    </row>
    <row r="556" spans="3:8">
      <c r="C556" s="119"/>
      <c r="D556" s="119"/>
      <c r="E556" s="119"/>
      <c r="F556" s="119"/>
      <c r="G556" s="119"/>
      <c r="H556" s="119"/>
    </row>
    <row r="557" spans="3:8">
      <c r="C557" s="119"/>
      <c r="D557" s="119"/>
      <c r="E557" s="119"/>
      <c r="F557" s="119"/>
      <c r="G557" s="119"/>
      <c r="H557" s="119"/>
    </row>
    <row r="558" spans="3:8">
      <c r="C558" s="119"/>
      <c r="D558" s="119"/>
      <c r="E558" s="119"/>
      <c r="F558" s="119"/>
      <c r="G558" s="119"/>
      <c r="H558" s="119"/>
    </row>
    <row r="559" spans="3:8">
      <c r="C559" s="119"/>
      <c r="D559" s="119"/>
      <c r="E559" s="119"/>
      <c r="F559" s="119"/>
      <c r="G559" s="119"/>
      <c r="H559" s="119"/>
    </row>
    <row r="560" spans="3:8">
      <c r="C560" s="119"/>
      <c r="D560" s="119"/>
      <c r="E560" s="119"/>
      <c r="F560" s="119"/>
      <c r="G560" s="119"/>
      <c r="H560" s="119"/>
    </row>
    <row r="561" spans="3:8">
      <c r="C561" s="119"/>
      <c r="D561" s="119"/>
      <c r="E561" s="119"/>
      <c r="F561" s="119"/>
      <c r="G561" s="119"/>
      <c r="H561" s="119"/>
    </row>
    <row r="562" spans="3:8">
      <c r="C562" s="119"/>
      <c r="D562" s="119"/>
      <c r="E562" s="119"/>
      <c r="F562" s="119"/>
      <c r="G562" s="119"/>
      <c r="H562" s="119"/>
    </row>
    <row r="563" spans="3:8">
      <c r="C563" s="119"/>
      <c r="D563" s="119"/>
      <c r="E563" s="119"/>
      <c r="F563" s="119"/>
      <c r="G563" s="119"/>
      <c r="H563" s="119"/>
    </row>
    <row r="564" spans="3:8">
      <c r="C564" s="119"/>
      <c r="D564" s="119"/>
      <c r="E564" s="119"/>
      <c r="F564" s="119"/>
      <c r="G564" s="119"/>
      <c r="H564" s="119"/>
    </row>
    <row r="565" spans="3:8">
      <c r="C565" s="119"/>
      <c r="D565" s="119"/>
      <c r="E565" s="119"/>
      <c r="F565" s="119"/>
      <c r="G565" s="119"/>
      <c r="H565" s="119"/>
    </row>
    <row r="566" spans="3:8">
      <c r="C566" s="119"/>
      <c r="D566" s="119"/>
      <c r="E566" s="119"/>
      <c r="F566" s="119"/>
      <c r="G566" s="119"/>
      <c r="H566" s="119"/>
    </row>
    <row r="567" spans="3:8">
      <c r="C567" s="119"/>
      <c r="D567" s="119"/>
      <c r="E567" s="119"/>
      <c r="F567" s="119"/>
      <c r="G567" s="119"/>
      <c r="H567" s="119"/>
    </row>
    <row r="568" spans="3:8">
      <c r="C568" s="119"/>
      <c r="D568" s="119"/>
      <c r="E568" s="119"/>
      <c r="F568" s="119"/>
      <c r="G568" s="119"/>
      <c r="H568" s="119"/>
    </row>
    <row r="569" spans="3:8">
      <c r="C569" s="119"/>
      <c r="D569" s="119"/>
      <c r="E569" s="119"/>
      <c r="F569" s="119"/>
      <c r="G569" s="119"/>
      <c r="H569" s="119"/>
    </row>
    <row r="570" spans="3:8">
      <c r="C570" s="119"/>
      <c r="D570" s="119"/>
      <c r="E570" s="119"/>
      <c r="F570" s="119"/>
      <c r="G570" s="119"/>
      <c r="H570" s="119"/>
    </row>
    <row r="571" spans="3:8">
      <c r="C571" s="119"/>
      <c r="D571" s="119"/>
      <c r="E571" s="119"/>
      <c r="F571" s="119"/>
      <c r="G571" s="119"/>
      <c r="H571" s="119"/>
    </row>
    <row r="572" spans="3:8">
      <c r="C572" s="119"/>
      <c r="D572" s="119"/>
      <c r="E572" s="119"/>
      <c r="F572" s="119"/>
      <c r="G572" s="119"/>
      <c r="H572" s="119"/>
    </row>
    <row r="573" spans="3:8">
      <c r="C573" s="119"/>
      <c r="D573" s="119"/>
      <c r="E573" s="119"/>
      <c r="F573" s="119"/>
      <c r="G573" s="119"/>
      <c r="H573" s="119"/>
    </row>
    <row r="574" spans="3:8">
      <c r="C574" s="119"/>
      <c r="D574" s="119"/>
      <c r="E574" s="119"/>
      <c r="F574" s="119"/>
      <c r="G574" s="119"/>
      <c r="H574" s="119"/>
    </row>
    <row r="575" spans="3:8">
      <c r="C575" s="119"/>
      <c r="D575" s="119"/>
      <c r="E575" s="119"/>
      <c r="F575" s="119"/>
      <c r="G575" s="119"/>
      <c r="H575" s="119"/>
    </row>
    <row r="576" spans="3:8">
      <c r="C576" s="119"/>
      <c r="D576" s="119"/>
      <c r="E576" s="119"/>
      <c r="F576" s="119"/>
      <c r="G576" s="119"/>
      <c r="H576" s="119"/>
    </row>
    <row r="577" spans="3:8">
      <c r="C577" s="119"/>
      <c r="D577" s="119"/>
      <c r="E577" s="119"/>
      <c r="F577" s="119"/>
      <c r="G577" s="119"/>
      <c r="H577" s="119"/>
    </row>
    <row r="578" spans="3:8">
      <c r="C578" s="119"/>
      <c r="D578" s="119"/>
      <c r="E578" s="119"/>
      <c r="F578" s="119"/>
      <c r="G578" s="119"/>
      <c r="H578" s="119"/>
    </row>
    <row r="579" spans="3:8">
      <c r="C579" s="119"/>
      <c r="D579" s="119"/>
      <c r="E579" s="119"/>
      <c r="F579" s="119"/>
      <c r="G579" s="119"/>
      <c r="H579" s="119"/>
    </row>
    <row r="580" spans="3:8">
      <c r="C580" s="119"/>
      <c r="D580" s="119"/>
      <c r="E580" s="119"/>
      <c r="F580" s="119"/>
      <c r="G580" s="119"/>
      <c r="H580" s="119"/>
    </row>
    <row r="581" spans="3:8">
      <c r="C581" s="119"/>
      <c r="D581" s="119"/>
      <c r="E581" s="119"/>
      <c r="F581" s="119"/>
      <c r="G581" s="119"/>
      <c r="H581" s="119"/>
    </row>
    <row r="582" spans="3:8">
      <c r="C582" s="119"/>
      <c r="D582" s="119"/>
      <c r="E582" s="119"/>
      <c r="F582" s="119"/>
      <c r="G582" s="119"/>
      <c r="H582" s="119"/>
    </row>
    <row r="583" spans="3:8">
      <c r="C583" s="119"/>
      <c r="D583" s="119"/>
      <c r="E583" s="119"/>
      <c r="F583" s="119"/>
      <c r="G583" s="119"/>
      <c r="H583" s="119"/>
    </row>
    <row r="584" spans="3:8">
      <c r="C584" s="119"/>
      <c r="D584" s="119"/>
      <c r="E584" s="119"/>
      <c r="F584" s="119"/>
      <c r="G584" s="119"/>
      <c r="H584" s="119"/>
    </row>
    <row r="585" spans="3:8">
      <c r="C585" s="119"/>
      <c r="D585" s="119"/>
      <c r="E585" s="119"/>
      <c r="F585" s="119"/>
      <c r="G585" s="119"/>
      <c r="H585" s="119"/>
    </row>
    <row r="586" spans="3:8">
      <c r="C586" s="119"/>
      <c r="D586" s="119"/>
      <c r="E586" s="119"/>
      <c r="F586" s="119"/>
      <c r="G586" s="119"/>
      <c r="H586" s="119"/>
    </row>
    <row r="587" spans="3:8">
      <c r="C587" s="119"/>
      <c r="D587" s="119"/>
      <c r="E587" s="119"/>
      <c r="F587" s="119"/>
      <c r="G587" s="119"/>
      <c r="H587" s="119"/>
    </row>
    <row r="588" spans="3:8">
      <c r="C588" s="119"/>
      <c r="D588" s="119"/>
      <c r="E588" s="119"/>
      <c r="F588" s="119"/>
      <c r="G588" s="119"/>
      <c r="H588" s="119"/>
    </row>
    <row r="589" spans="3:8">
      <c r="C589" s="119"/>
      <c r="D589" s="119"/>
      <c r="E589" s="119"/>
      <c r="F589" s="119"/>
      <c r="G589" s="119"/>
      <c r="H589" s="119"/>
    </row>
    <row r="590" spans="3:8">
      <c r="C590" s="119"/>
      <c r="D590" s="119"/>
      <c r="E590" s="119"/>
      <c r="F590" s="119"/>
      <c r="G590" s="119"/>
      <c r="H590" s="119"/>
    </row>
    <row r="591" spans="3:8">
      <c r="C591" s="119"/>
      <c r="D591" s="119"/>
      <c r="E591" s="119"/>
      <c r="F591" s="119"/>
      <c r="G591" s="119"/>
      <c r="H591" s="119"/>
    </row>
    <row r="592" spans="3:8">
      <c r="C592" s="119"/>
      <c r="D592" s="119"/>
      <c r="E592" s="119"/>
      <c r="F592" s="119"/>
      <c r="G592" s="119"/>
      <c r="H592" s="119"/>
    </row>
    <row r="593" spans="3:8">
      <c r="C593" s="119"/>
      <c r="D593" s="119"/>
      <c r="E593" s="119"/>
      <c r="F593" s="119"/>
      <c r="G593" s="119"/>
      <c r="H593" s="119"/>
    </row>
    <row r="594" spans="3:8">
      <c r="C594" s="119"/>
      <c r="D594" s="119"/>
      <c r="E594" s="119"/>
      <c r="F594" s="119"/>
      <c r="G594" s="119"/>
      <c r="H594" s="119"/>
    </row>
    <row r="595" spans="3:8">
      <c r="C595" s="119"/>
      <c r="D595" s="119"/>
      <c r="E595" s="119"/>
      <c r="F595" s="119"/>
      <c r="G595" s="119"/>
      <c r="H595" s="119"/>
    </row>
    <row r="596" spans="3:8">
      <c r="C596" s="119"/>
      <c r="D596" s="119"/>
      <c r="E596" s="119"/>
      <c r="F596" s="119"/>
      <c r="G596" s="119"/>
      <c r="H596" s="119"/>
    </row>
    <row r="597" spans="3:8">
      <c r="C597" s="119"/>
      <c r="D597" s="119"/>
      <c r="E597" s="119"/>
      <c r="F597" s="119"/>
      <c r="G597" s="119"/>
      <c r="H597" s="119"/>
    </row>
    <row r="598" spans="3:8">
      <c r="C598" s="119"/>
      <c r="D598" s="119"/>
      <c r="E598" s="119"/>
      <c r="F598" s="119"/>
      <c r="G598" s="119"/>
      <c r="H598" s="119"/>
    </row>
    <row r="599" spans="3:8">
      <c r="C599" s="119"/>
      <c r="D599" s="119"/>
      <c r="E599" s="119"/>
      <c r="F599" s="119"/>
      <c r="G599" s="119"/>
      <c r="H599" s="119"/>
    </row>
    <row r="600" spans="3:8">
      <c r="C600" s="119"/>
      <c r="D600" s="119"/>
      <c r="E600" s="119"/>
      <c r="F600" s="119"/>
      <c r="G600" s="119"/>
      <c r="H600" s="119"/>
    </row>
    <row r="601" spans="3:8">
      <c r="C601" s="119"/>
      <c r="D601" s="119"/>
      <c r="E601" s="119"/>
      <c r="F601" s="119"/>
      <c r="G601" s="119"/>
      <c r="H601" s="119"/>
    </row>
    <row r="602" spans="3:8">
      <c r="C602" s="119"/>
      <c r="D602" s="119"/>
      <c r="E602" s="119"/>
      <c r="F602" s="119"/>
      <c r="G602" s="119"/>
      <c r="H602" s="119"/>
    </row>
    <row r="603" spans="3:8">
      <c r="C603" s="119"/>
      <c r="D603" s="119"/>
      <c r="E603" s="119"/>
      <c r="F603" s="119"/>
      <c r="G603" s="119"/>
      <c r="H603" s="119"/>
    </row>
    <row r="604" spans="3:8">
      <c r="C604" s="119"/>
      <c r="D604" s="119"/>
      <c r="E604" s="119"/>
      <c r="F604" s="119"/>
      <c r="G604" s="119"/>
      <c r="H604" s="119"/>
    </row>
    <row r="605" spans="3:8">
      <c r="C605" s="119"/>
      <c r="D605" s="119"/>
      <c r="E605" s="119"/>
      <c r="F605" s="119"/>
      <c r="G605" s="119"/>
      <c r="H605" s="119"/>
    </row>
    <row r="606" spans="3:8">
      <c r="C606" s="119"/>
      <c r="D606" s="119"/>
      <c r="E606" s="119"/>
      <c r="F606" s="119"/>
      <c r="G606" s="119"/>
      <c r="H606" s="119"/>
    </row>
    <row r="607" spans="3:8">
      <c r="C607" s="119"/>
      <c r="D607" s="119"/>
      <c r="E607" s="119"/>
      <c r="F607" s="119"/>
      <c r="G607" s="119"/>
      <c r="H607" s="119"/>
    </row>
    <row r="608" spans="3:8">
      <c r="C608" s="119"/>
      <c r="D608" s="119"/>
      <c r="E608" s="119"/>
      <c r="F608" s="119"/>
      <c r="G608" s="119"/>
      <c r="H608" s="119"/>
    </row>
    <row r="609" spans="3:8">
      <c r="C609" s="119"/>
      <c r="D609" s="119"/>
      <c r="E609" s="119"/>
      <c r="F609" s="119"/>
      <c r="G609" s="119"/>
      <c r="H609" s="119"/>
    </row>
    <row r="610" spans="3:8">
      <c r="C610" s="119"/>
      <c r="D610" s="119"/>
      <c r="E610" s="119"/>
      <c r="F610" s="119"/>
      <c r="G610" s="119"/>
      <c r="H610" s="119"/>
    </row>
    <row r="611" spans="3:8">
      <c r="C611" s="119"/>
      <c r="D611" s="119"/>
      <c r="E611" s="119"/>
      <c r="F611" s="119"/>
      <c r="G611" s="119"/>
      <c r="H611" s="119"/>
    </row>
    <row r="612" spans="3:8">
      <c r="C612" s="119"/>
      <c r="D612" s="119"/>
      <c r="E612" s="119"/>
      <c r="F612" s="119"/>
      <c r="G612" s="119"/>
      <c r="H612" s="119"/>
    </row>
    <row r="613" spans="3:8">
      <c r="C613" s="119"/>
      <c r="D613" s="119"/>
      <c r="E613" s="119"/>
      <c r="F613" s="119"/>
      <c r="G613" s="119"/>
      <c r="H613" s="119"/>
    </row>
    <row r="614" spans="3:8">
      <c r="C614" s="119"/>
      <c r="D614" s="119"/>
      <c r="E614" s="119"/>
      <c r="F614" s="119"/>
      <c r="G614" s="119"/>
      <c r="H614" s="119"/>
    </row>
    <row r="615" spans="3:8">
      <c r="C615" s="119"/>
      <c r="D615" s="119"/>
      <c r="E615" s="119"/>
      <c r="F615" s="119"/>
      <c r="G615" s="119"/>
      <c r="H615" s="119"/>
    </row>
    <row r="616" spans="3:8">
      <c r="C616" s="119"/>
      <c r="D616" s="119"/>
      <c r="E616" s="119"/>
      <c r="F616" s="119"/>
      <c r="G616" s="119"/>
      <c r="H616" s="119"/>
    </row>
    <row r="617" spans="3:8">
      <c r="C617" s="119"/>
      <c r="D617" s="119"/>
      <c r="E617" s="119"/>
      <c r="F617" s="119"/>
      <c r="G617" s="119"/>
      <c r="H617" s="119"/>
    </row>
    <row r="618" spans="3:8">
      <c r="C618" s="119"/>
      <c r="D618" s="119"/>
      <c r="E618" s="119"/>
      <c r="F618" s="119"/>
      <c r="G618" s="119"/>
      <c r="H618" s="119"/>
    </row>
    <row r="619" spans="3:8">
      <c r="C619" s="119"/>
      <c r="D619" s="119"/>
      <c r="E619" s="119"/>
      <c r="F619" s="119"/>
      <c r="G619" s="119"/>
      <c r="H619" s="119"/>
    </row>
    <row r="620" spans="3:8">
      <c r="C620" s="119"/>
      <c r="D620" s="119"/>
      <c r="E620" s="119"/>
      <c r="F620" s="119"/>
      <c r="G620" s="119"/>
      <c r="H620" s="119"/>
    </row>
    <row r="621" spans="3:8">
      <c r="C621" s="119"/>
      <c r="D621" s="119"/>
      <c r="E621" s="119"/>
      <c r="F621" s="119"/>
      <c r="G621" s="119"/>
      <c r="H621" s="119"/>
    </row>
    <row r="622" spans="3:8">
      <c r="C622" s="119"/>
      <c r="D622" s="119"/>
      <c r="E622" s="119"/>
      <c r="F622" s="119"/>
      <c r="G622" s="119"/>
      <c r="H622" s="119"/>
    </row>
    <row r="623" spans="3:8">
      <c r="C623" s="119"/>
      <c r="D623" s="119"/>
      <c r="E623" s="119"/>
      <c r="F623" s="119"/>
      <c r="G623" s="119"/>
      <c r="H623" s="119"/>
    </row>
    <row r="624" spans="3:8">
      <c r="C624" s="119"/>
      <c r="D624" s="119"/>
      <c r="E624" s="119"/>
      <c r="F624" s="119"/>
      <c r="G624" s="119"/>
      <c r="H624" s="119"/>
    </row>
    <row r="625" spans="3:8">
      <c r="C625" s="119"/>
      <c r="D625" s="119"/>
      <c r="E625" s="119"/>
      <c r="F625" s="119"/>
      <c r="G625" s="119"/>
      <c r="H625" s="119"/>
    </row>
    <row r="626" spans="3:8">
      <c r="C626" s="119"/>
      <c r="D626" s="119"/>
      <c r="E626" s="119"/>
      <c r="F626" s="119"/>
      <c r="G626" s="119"/>
      <c r="H626" s="119"/>
    </row>
    <row r="627" spans="3:8">
      <c r="C627" s="119"/>
      <c r="D627" s="119"/>
      <c r="E627" s="119"/>
      <c r="F627" s="119"/>
      <c r="G627" s="119"/>
      <c r="H627" s="119"/>
    </row>
    <row r="628" spans="3:8">
      <c r="C628" s="119"/>
      <c r="D628" s="119"/>
      <c r="E628" s="119"/>
      <c r="F628" s="119"/>
      <c r="G628" s="119"/>
      <c r="H628" s="119"/>
    </row>
    <row r="629" spans="3:8">
      <c r="C629" s="119"/>
      <c r="D629" s="119"/>
      <c r="E629" s="119"/>
      <c r="F629" s="119"/>
      <c r="G629" s="119"/>
      <c r="H629" s="119"/>
    </row>
    <row r="630" spans="3:8">
      <c r="C630" s="119"/>
      <c r="D630" s="119"/>
      <c r="E630" s="119"/>
      <c r="F630" s="119"/>
      <c r="G630" s="119"/>
      <c r="H630" s="119"/>
    </row>
    <row r="631" spans="3:8">
      <c r="C631" s="119"/>
      <c r="D631" s="119"/>
      <c r="E631" s="119"/>
      <c r="F631" s="119"/>
      <c r="G631" s="119"/>
      <c r="H631" s="119"/>
    </row>
    <row r="632" spans="3:8">
      <c r="C632" s="119"/>
      <c r="D632" s="119"/>
      <c r="E632" s="119"/>
      <c r="F632" s="119"/>
      <c r="G632" s="119"/>
      <c r="H632" s="119"/>
    </row>
    <row r="633" spans="3:8">
      <c r="C633" s="119"/>
      <c r="D633" s="119"/>
      <c r="E633" s="119"/>
      <c r="F633" s="119"/>
      <c r="G633" s="119"/>
      <c r="H633" s="119"/>
    </row>
    <row r="634" spans="3:8">
      <c r="C634" s="119"/>
      <c r="D634" s="119"/>
      <c r="E634" s="119"/>
      <c r="F634" s="119"/>
      <c r="G634" s="119"/>
      <c r="H634" s="119"/>
    </row>
    <row r="635" spans="3:8">
      <c r="C635" s="119"/>
      <c r="D635" s="119"/>
      <c r="E635" s="119"/>
      <c r="F635" s="119"/>
      <c r="G635" s="119"/>
      <c r="H635" s="119"/>
    </row>
    <row r="636" spans="3:8">
      <c r="C636" s="119"/>
      <c r="D636" s="119"/>
      <c r="E636" s="119"/>
      <c r="F636" s="119"/>
      <c r="G636" s="119"/>
      <c r="H636" s="119"/>
    </row>
    <row r="637" spans="3:8">
      <c r="C637" s="119"/>
      <c r="D637" s="119"/>
      <c r="E637" s="119"/>
      <c r="F637" s="119"/>
      <c r="G637" s="119"/>
      <c r="H637" s="119"/>
    </row>
    <row r="638" spans="3:8">
      <c r="C638" s="119"/>
      <c r="D638" s="119"/>
      <c r="E638" s="119"/>
      <c r="F638" s="119"/>
      <c r="G638" s="119"/>
      <c r="H638" s="119"/>
    </row>
    <row r="639" spans="3:8">
      <c r="C639" s="119"/>
      <c r="D639" s="119"/>
      <c r="E639" s="119"/>
      <c r="F639" s="119"/>
      <c r="G639" s="119"/>
      <c r="H639" s="119"/>
    </row>
    <row r="640" spans="3:8">
      <c r="C640" s="119"/>
      <c r="D640" s="119"/>
      <c r="E640" s="119"/>
      <c r="F640" s="119"/>
      <c r="G640" s="119"/>
      <c r="H640" s="119"/>
    </row>
    <row r="641" spans="3:8">
      <c r="C641" s="119"/>
      <c r="D641" s="119"/>
      <c r="E641" s="119"/>
      <c r="F641" s="119"/>
      <c r="G641" s="119"/>
      <c r="H641" s="119"/>
    </row>
    <row r="642" spans="3:8">
      <c r="C642" s="119"/>
      <c r="D642" s="119"/>
      <c r="E642" s="119"/>
      <c r="F642" s="119"/>
      <c r="G642" s="119"/>
      <c r="H642" s="119"/>
    </row>
    <row r="643" spans="3:8">
      <c r="C643" s="119"/>
      <c r="D643" s="119"/>
      <c r="E643" s="119"/>
      <c r="F643" s="119"/>
      <c r="G643" s="119"/>
      <c r="H643" s="119"/>
    </row>
    <row r="644" spans="3:8">
      <c r="C644" s="119"/>
      <c r="D644" s="119"/>
      <c r="E644" s="119"/>
      <c r="F644" s="119"/>
      <c r="G644" s="119"/>
      <c r="H644" s="119"/>
    </row>
    <row r="645" spans="3:8">
      <c r="C645" s="119"/>
      <c r="D645" s="119"/>
      <c r="E645" s="119"/>
      <c r="F645" s="119"/>
      <c r="G645" s="119"/>
      <c r="H645" s="119"/>
    </row>
    <row r="646" spans="3:8">
      <c r="C646" s="119"/>
      <c r="D646" s="119"/>
      <c r="E646" s="119"/>
      <c r="F646" s="119"/>
      <c r="G646" s="119"/>
      <c r="H646" s="119"/>
    </row>
    <row r="647" spans="3:8">
      <c r="C647" s="119"/>
      <c r="D647" s="119"/>
      <c r="E647" s="119"/>
      <c r="F647" s="119"/>
      <c r="G647" s="119"/>
      <c r="H647" s="119"/>
    </row>
    <row r="648" spans="3:8">
      <c r="C648" s="119"/>
      <c r="D648" s="119"/>
      <c r="E648" s="119"/>
      <c r="F648" s="119"/>
      <c r="G648" s="119"/>
      <c r="H648" s="119"/>
    </row>
    <row r="649" spans="3:8">
      <c r="C649" s="119"/>
      <c r="D649" s="119"/>
      <c r="E649" s="119"/>
      <c r="F649" s="119"/>
      <c r="G649" s="119"/>
      <c r="H649" s="119"/>
    </row>
    <row r="650" spans="3:8">
      <c r="C650" s="119"/>
      <c r="D650" s="119"/>
      <c r="E650" s="119"/>
      <c r="F650" s="119"/>
      <c r="G650" s="119"/>
      <c r="H650" s="119"/>
    </row>
    <row r="651" spans="3:8">
      <c r="C651" s="119"/>
      <c r="D651" s="119"/>
      <c r="E651" s="119"/>
      <c r="F651" s="119"/>
      <c r="G651" s="119"/>
      <c r="H651" s="119"/>
    </row>
    <row r="652" spans="3:8">
      <c r="C652" s="119"/>
      <c r="D652" s="119"/>
      <c r="E652" s="119"/>
      <c r="F652" s="119"/>
      <c r="G652" s="119"/>
      <c r="H652" s="119"/>
    </row>
    <row r="653" spans="3:8">
      <c r="C653" s="119"/>
      <c r="D653" s="119"/>
      <c r="E653" s="119"/>
      <c r="F653" s="119"/>
      <c r="G653" s="119"/>
      <c r="H653" s="119"/>
    </row>
    <row r="654" spans="3:8">
      <c r="C654" s="119"/>
      <c r="D654" s="119"/>
      <c r="E654" s="119"/>
      <c r="F654" s="119"/>
      <c r="G654" s="119"/>
      <c r="H654" s="119"/>
    </row>
    <row r="655" spans="3:8">
      <c r="C655" s="119"/>
      <c r="D655" s="119"/>
      <c r="E655" s="119"/>
      <c r="F655" s="119"/>
      <c r="G655" s="119"/>
      <c r="H655" s="119"/>
    </row>
    <row r="656" spans="3:8">
      <c r="C656" s="119"/>
      <c r="D656" s="119"/>
      <c r="E656" s="119"/>
      <c r="F656" s="119"/>
      <c r="G656" s="119"/>
      <c r="H656" s="119"/>
    </row>
    <row r="657" spans="3:8">
      <c r="C657" s="119"/>
      <c r="D657" s="119"/>
      <c r="E657" s="119"/>
      <c r="F657" s="119"/>
      <c r="G657" s="119"/>
      <c r="H657" s="119"/>
    </row>
    <row r="658" spans="3:8">
      <c r="C658" s="119"/>
      <c r="D658" s="119"/>
      <c r="E658" s="119"/>
      <c r="F658" s="119"/>
      <c r="G658" s="119"/>
      <c r="H658" s="119"/>
    </row>
    <row r="659" spans="3:8">
      <c r="C659" s="119"/>
      <c r="D659" s="119"/>
      <c r="E659" s="119"/>
      <c r="F659" s="119"/>
      <c r="G659" s="119"/>
      <c r="H659" s="119"/>
    </row>
    <row r="660" spans="3:8">
      <c r="C660" s="119"/>
      <c r="D660" s="119"/>
      <c r="E660" s="119"/>
      <c r="F660" s="119"/>
      <c r="G660" s="119"/>
      <c r="H660" s="119"/>
    </row>
    <row r="661" spans="3:8">
      <c r="C661" s="119"/>
      <c r="D661" s="119"/>
      <c r="E661" s="119"/>
      <c r="F661" s="119"/>
      <c r="G661" s="119"/>
      <c r="H661" s="119"/>
    </row>
    <row r="662" spans="3:8">
      <c r="C662" s="119"/>
      <c r="D662" s="119"/>
      <c r="E662" s="119"/>
      <c r="F662" s="119"/>
      <c r="G662" s="119"/>
      <c r="H662" s="119"/>
    </row>
    <row r="663" spans="3:8">
      <c r="C663" s="119"/>
      <c r="D663" s="119"/>
      <c r="E663" s="119"/>
      <c r="F663" s="119"/>
      <c r="G663" s="119"/>
      <c r="H663" s="119"/>
    </row>
    <row r="664" spans="3:8">
      <c r="C664" s="119"/>
      <c r="D664" s="119"/>
      <c r="E664" s="119"/>
      <c r="F664" s="119"/>
      <c r="G664" s="119"/>
      <c r="H664" s="119"/>
    </row>
    <row r="665" spans="3:8">
      <c r="C665" s="119"/>
      <c r="D665" s="119"/>
      <c r="E665" s="119"/>
      <c r="F665" s="119"/>
      <c r="G665" s="119"/>
      <c r="H665" s="119"/>
    </row>
    <row r="666" spans="3:8">
      <c r="C666" s="119"/>
      <c r="D666" s="119"/>
      <c r="E666" s="119"/>
      <c r="F666" s="119"/>
      <c r="G666" s="119"/>
      <c r="H666" s="119"/>
    </row>
    <row r="667" spans="3:8">
      <c r="C667" s="119"/>
      <c r="D667" s="119"/>
      <c r="E667" s="119"/>
      <c r="F667" s="119"/>
      <c r="G667" s="119"/>
      <c r="H667" s="119"/>
    </row>
    <row r="668" spans="3:8">
      <c r="C668" s="119"/>
      <c r="D668" s="119"/>
      <c r="E668" s="119"/>
      <c r="F668" s="119"/>
      <c r="G668" s="119"/>
      <c r="H668" s="119"/>
    </row>
    <row r="669" spans="3:8">
      <c r="C669" s="119"/>
      <c r="D669" s="119"/>
      <c r="E669" s="119"/>
      <c r="F669" s="119"/>
      <c r="G669" s="119"/>
      <c r="H669" s="119"/>
    </row>
    <row r="670" spans="3:8">
      <c r="C670" s="119"/>
      <c r="D670" s="119"/>
      <c r="E670" s="119"/>
      <c r="F670" s="119"/>
      <c r="G670" s="119"/>
      <c r="H670" s="119"/>
    </row>
    <row r="671" spans="3:8">
      <c r="C671" s="119"/>
      <c r="D671" s="119"/>
      <c r="E671" s="119"/>
      <c r="F671" s="119"/>
      <c r="G671" s="119"/>
      <c r="H671" s="119"/>
    </row>
    <row r="672" spans="3:8">
      <c r="C672" s="119"/>
      <c r="D672" s="119"/>
      <c r="E672" s="119"/>
      <c r="F672" s="119"/>
      <c r="G672" s="119"/>
      <c r="H672" s="119"/>
    </row>
    <row r="673" spans="3:8">
      <c r="C673" s="119"/>
      <c r="D673" s="119"/>
      <c r="E673" s="119"/>
      <c r="F673" s="119"/>
      <c r="G673" s="119"/>
      <c r="H673" s="119"/>
    </row>
    <row r="674" spans="3:8">
      <c r="C674" s="119"/>
      <c r="D674" s="119"/>
      <c r="E674" s="119"/>
      <c r="F674" s="119"/>
      <c r="G674" s="119"/>
      <c r="H674" s="119"/>
    </row>
    <row r="675" spans="3:8">
      <c r="C675" s="119"/>
      <c r="D675" s="119"/>
      <c r="E675" s="119"/>
      <c r="F675" s="119"/>
      <c r="G675" s="119"/>
      <c r="H675" s="119"/>
    </row>
    <row r="676" spans="3:8">
      <c r="C676" s="119"/>
      <c r="D676" s="119"/>
      <c r="E676" s="119"/>
      <c r="F676" s="119"/>
      <c r="G676" s="119"/>
      <c r="H676" s="119"/>
    </row>
    <row r="677" spans="3:8">
      <c r="C677" s="119"/>
      <c r="D677" s="119"/>
      <c r="E677" s="119"/>
      <c r="F677" s="119"/>
      <c r="G677" s="119"/>
      <c r="H677" s="119"/>
    </row>
    <row r="678" spans="3:8">
      <c r="C678" s="119"/>
      <c r="D678" s="119"/>
      <c r="E678" s="119"/>
      <c r="F678" s="119"/>
      <c r="G678" s="119"/>
      <c r="H678" s="119"/>
    </row>
    <row r="679" spans="3:8">
      <c r="C679" s="119"/>
      <c r="D679" s="119"/>
      <c r="E679" s="119"/>
      <c r="F679" s="119"/>
      <c r="G679" s="119"/>
      <c r="H679" s="119"/>
    </row>
    <row r="680" spans="3:8">
      <c r="C680" s="119"/>
      <c r="D680" s="119"/>
      <c r="E680" s="119"/>
      <c r="F680" s="119"/>
      <c r="G680" s="119"/>
      <c r="H680" s="119"/>
    </row>
    <row r="681" spans="3:8">
      <c r="C681" s="119"/>
      <c r="D681" s="119"/>
      <c r="E681" s="119"/>
      <c r="F681" s="119"/>
      <c r="G681" s="119"/>
      <c r="H681" s="119"/>
    </row>
    <row r="682" spans="3:8">
      <c r="C682" s="119"/>
      <c r="D682" s="119"/>
      <c r="E682" s="119"/>
      <c r="F682" s="119"/>
      <c r="G682" s="119"/>
      <c r="H682" s="119"/>
    </row>
    <row r="683" spans="3:8">
      <c r="C683" s="119"/>
      <c r="D683" s="119"/>
      <c r="E683" s="119"/>
      <c r="F683" s="119"/>
      <c r="G683" s="119"/>
      <c r="H683" s="119"/>
    </row>
    <row r="684" spans="3:8">
      <c r="C684" s="119"/>
      <c r="D684" s="119"/>
      <c r="E684" s="119"/>
      <c r="F684" s="119"/>
      <c r="G684" s="119"/>
      <c r="H684" s="119"/>
    </row>
    <row r="685" spans="3:8">
      <c r="C685" s="119"/>
      <c r="D685" s="119"/>
      <c r="E685" s="119"/>
      <c r="F685" s="119"/>
      <c r="G685" s="119"/>
      <c r="H685" s="119"/>
    </row>
    <row r="686" spans="3:8">
      <c r="C686" s="119"/>
      <c r="D686" s="119"/>
      <c r="E686" s="119"/>
      <c r="F686" s="119"/>
      <c r="G686" s="119"/>
      <c r="H686" s="119"/>
    </row>
    <row r="687" spans="3:8">
      <c r="C687" s="119"/>
      <c r="D687" s="119"/>
      <c r="E687" s="119"/>
      <c r="F687" s="119"/>
      <c r="G687" s="119"/>
      <c r="H687" s="119"/>
    </row>
    <row r="688" spans="3:8">
      <c r="C688" s="119"/>
      <c r="D688" s="119"/>
      <c r="E688" s="119"/>
      <c r="F688" s="119"/>
      <c r="G688" s="119"/>
      <c r="H688" s="119"/>
    </row>
    <row r="689" spans="3:8">
      <c r="C689" s="119"/>
      <c r="D689" s="119"/>
      <c r="E689" s="119"/>
      <c r="F689" s="119"/>
      <c r="G689" s="119"/>
      <c r="H689" s="119"/>
    </row>
    <row r="690" spans="3:8">
      <c r="C690" s="119"/>
      <c r="D690" s="119"/>
      <c r="E690" s="119"/>
      <c r="F690" s="119"/>
      <c r="G690" s="119"/>
      <c r="H690" s="119"/>
    </row>
    <row r="691" spans="3:8">
      <c r="C691" s="119"/>
      <c r="D691" s="119"/>
      <c r="E691" s="119"/>
      <c r="F691" s="119"/>
      <c r="G691" s="119"/>
      <c r="H691" s="119"/>
    </row>
    <row r="692" spans="3:8">
      <c r="C692" s="119"/>
      <c r="D692" s="119"/>
      <c r="E692" s="119"/>
      <c r="F692" s="119"/>
      <c r="G692" s="119"/>
      <c r="H692" s="119"/>
    </row>
    <row r="693" spans="3:8">
      <c r="C693" s="119"/>
      <c r="D693" s="119"/>
      <c r="E693" s="119"/>
      <c r="F693" s="119"/>
      <c r="G693" s="119"/>
      <c r="H693" s="119"/>
    </row>
    <row r="694" spans="3:8">
      <c r="C694" s="119"/>
      <c r="D694" s="119"/>
      <c r="E694" s="119"/>
      <c r="F694" s="119"/>
      <c r="G694" s="119"/>
      <c r="H694" s="119"/>
    </row>
    <row r="695" spans="3:8">
      <c r="C695" s="119"/>
      <c r="D695" s="119"/>
      <c r="E695" s="119"/>
      <c r="F695" s="119"/>
      <c r="G695" s="119"/>
      <c r="H695" s="119"/>
    </row>
    <row r="696" spans="3:8">
      <c r="C696" s="119"/>
      <c r="D696" s="119"/>
      <c r="E696" s="119"/>
      <c r="F696" s="119"/>
      <c r="G696" s="119"/>
      <c r="H696" s="119"/>
    </row>
    <row r="697" spans="3:8">
      <c r="C697" s="119"/>
      <c r="D697" s="119"/>
      <c r="E697" s="119"/>
      <c r="F697" s="119"/>
      <c r="G697" s="119"/>
      <c r="H697" s="119"/>
    </row>
    <row r="698" spans="3:8">
      <c r="C698" s="119"/>
      <c r="D698" s="119"/>
      <c r="E698" s="119"/>
      <c r="F698" s="119"/>
      <c r="G698" s="119"/>
      <c r="H698" s="119"/>
    </row>
    <row r="699" spans="3:8">
      <c r="C699" s="119"/>
      <c r="D699" s="119"/>
      <c r="E699" s="119"/>
      <c r="F699" s="119"/>
      <c r="G699" s="119"/>
      <c r="H699" s="119"/>
    </row>
    <row r="700" spans="3:8">
      <c r="C700" s="119"/>
      <c r="D700" s="119"/>
      <c r="E700" s="119"/>
      <c r="F700" s="119"/>
      <c r="G700" s="119"/>
      <c r="H700" s="119"/>
    </row>
    <row r="701" spans="3:8">
      <c r="C701" s="119"/>
      <c r="D701" s="119"/>
      <c r="E701" s="119"/>
      <c r="F701" s="119"/>
      <c r="G701" s="119"/>
      <c r="H701" s="119"/>
    </row>
    <row r="702" spans="3:8">
      <c r="C702" s="119"/>
      <c r="D702" s="119"/>
      <c r="E702" s="119"/>
      <c r="F702" s="119"/>
      <c r="G702" s="119"/>
      <c r="H702" s="119"/>
    </row>
    <row r="703" spans="3:8">
      <c r="C703" s="119"/>
      <c r="D703" s="119"/>
      <c r="E703" s="119"/>
      <c r="F703" s="119"/>
      <c r="G703" s="119"/>
      <c r="H703" s="119"/>
    </row>
    <row r="704" spans="3:8">
      <c r="C704" s="119"/>
      <c r="D704" s="119"/>
      <c r="E704" s="119"/>
      <c r="F704" s="119"/>
      <c r="G704" s="119"/>
      <c r="H704" s="119"/>
    </row>
    <row r="705" spans="3:8">
      <c r="C705" s="119"/>
      <c r="D705" s="119"/>
      <c r="E705" s="119"/>
      <c r="F705" s="119"/>
      <c r="G705" s="119"/>
      <c r="H705" s="119"/>
    </row>
    <row r="706" spans="3:8">
      <c r="C706" s="119"/>
      <c r="D706" s="119"/>
      <c r="E706" s="119"/>
      <c r="F706" s="119"/>
      <c r="G706" s="119"/>
      <c r="H706" s="119"/>
    </row>
    <row r="707" spans="3:8">
      <c r="C707" s="119"/>
      <c r="D707" s="119"/>
      <c r="E707" s="119"/>
      <c r="F707" s="119"/>
      <c r="G707" s="119"/>
      <c r="H707" s="119"/>
    </row>
    <row r="708" spans="3:8">
      <c r="C708" s="119"/>
      <c r="D708" s="119"/>
      <c r="E708" s="119"/>
      <c r="F708" s="119"/>
      <c r="G708" s="119"/>
      <c r="H708" s="119"/>
    </row>
    <row r="709" spans="3:8">
      <c r="C709" s="119"/>
      <c r="D709" s="119"/>
      <c r="E709" s="119"/>
      <c r="F709" s="119"/>
      <c r="G709" s="119"/>
      <c r="H709" s="119"/>
    </row>
    <row r="710" spans="3:8">
      <c r="C710" s="119"/>
      <c r="D710" s="119"/>
      <c r="E710" s="119"/>
      <c r="F710" s="119"/>
      <c r="G710" s="119"/>
      <c r="H710" s="119"/>
    </row>
    <row r="711" spans="3:8">
      <c r="C711" s="119"/>
      <c r="D711" s="119"/>
      <c r="E711" s="119"/>
      <c r="F711" s="119"/>
      <c r="G711" s="119"/>
      <c r="H711" s="119"/>
    </row>
    <row r="712" spans="3:8">
      <c r="C712" s="119"/>
      <c r="D712" s="119"/>
      <c r="E712" s="119"/>
      <c r="F712" s="119"/>
      <c r="G712" s="119"/>
      <c r="H712" s="119"/>
    </row>
    <row r="713" spans="3:8">
      <c r="C713" s="119"/>
      <c r="D713" s="119"/>
      <c r="E713" s="119"/>
      <c r="F713" s="119"/>
      <c r="G713" s="119"/>
      <c r="H713" s="119"/>
    </row>
    <row r="714" spans="3:8">
      <c r="C714" s="119"/>
      <c r="D714" s="119"/>
      <c r="E714" s="119"/>
      <c r="F714" s="119"/>
      <c r="G714" s="119"/>
      <c r="H714" s="119"/>
    </row>
    <row r="715" spans="3:8">
      <c r="C715" s="119"/>
      <c r="D715" s="119"/>
      <c r="E715" s="119"/>
      <c r="F715" s="119"/>
      <c r="G715" s="119"/>
      <c r="H715" s="119"/>
    </row>
    <row r="716" spans="3:8">
      <c r="C716" s="119"/>
      <c r="D716" s="119"/>
      <c r="E716" s="119"/>
      <c r="F716" s="119"/>
      <c r="G716" s="119"/>
      <c r="H716" s="119"/>
    </row>
    <row r="717" spans="3:8">
      <c r="C717" s="119"/>
      <c r="D717" s="119"/>
      <c r="E717" s="119"/>
      <c r="F717" s="119"/>
      <c r="G717" s="119"/>
      <c r="H717" s="119"/>
    </row>
    <row r="718" spans="3:8">
      <c r="C718" s="119"/>
      <c r="D718" s="119"/>
      <c r="E718" s="119"/>
      <c r="F718" s="119"/>
      <c r="G718" s="119"/>
      <c r="H718" s="119"/>
    </row>
    <row r="719" spans="3:8">
      <c r="C719" s="119"/>
      <c r="D719" s="119"/>
      <c r="E719" s="119"/>
      <c r="F719" s="119"/>
      <c r="G719" s="119"/>
      <c r="H719" s="119"/>
    </row>
    <row r="720" spans="3:8">
      <c r="C720" s="119"/>
      <c r="D720" s="119"/>
      <c r="E720" s="119"/>
      <c r="F720" s="119"/>
      <c r="G720" s="119"/>
      <c r="H720" s="119"/>
    </row>
    <row r="721" spans="3:8">
      <c r="C721" s="119"/>
      <c r="D721" s="119"/>
      <c r="E721" s="119"/>
      <c r="F721" s="119"/>
      <c r="G721" s="119"/>
      <c r="H721" s="119"/>
    </row>
    <row r="722" spans="3:8">
      <c r="C722" s="119"/>
      <c r="D722" s="119"/>
      <c r="E722" s="119"/>
      <c r="F722" s="119"/>
      <c r="G722" s="119"/>
      <c r="H722" s="119"/>
    </row>
    <row r="723" spans="3:8">
      <c r="C723" s="119"/>
      <c r="D723" s="119"/>
      <c r="E723" s="119"/>
      <c r="F723" s="119"/>
      <c r="G723" s="119"/>
      <c r="H723" s="119"/>
    </row>
    <row r="724" spans="3:8">
      <c r="C724" s="119"/>
      <c r="D724" s="119"/>
      <c r="E724" s="119"/>
      <c r="F724" s="119"/>
      <c r="G724" s="119"/>
      <c r="H724" s="119"/>
    </row>
    <row r="725" spans="3:8">
      <c r="C725" s="119"/>
      <c r="D725" s="119"/>
      <c r="E725" s="119"/>
      <c r="F725" s="119"/>
      <c r="G725" s="119"/>
      <c r="H725" s="119"/>
    </row>
    <row r="726" spans="3:8">
      <c r="C726" s="119"/>
      <c r="D726" s="119"/>
      <c r="E726" s="119"/>
      <c r="F726" s="119"/>
      <c r="G726" s="119"/>
      <c r="H726" s="119"/>
    </row>
    <row r="727" spans="3:8">
      <c r="C727" s="119"/>
      <c r="D727" s="119"/>
      <c r="E727" s="119"/>
      <c r="F727" s="119"/>
      <c r="G727" s="119"/>
      <c r="H727" s="119"/>
    </row>
    <row r="728" spans="3:8">
      <c r="C728" s="119"/>
      <c r="D728" s="119"/>
      <c r="E728" s="119"/>
      <c r="F728" s="119"/>
      <c r="G728" s="119"/>
      <c r="H728" s="119"/>
    </row>
    <row r="729" spans="3:8">
      <c r="C729" s="119"/>
      <c r="D729" s="119"/>
      <c r="E729" s="119"/>
      <c r="F729" s="119"/>
      <c r="G729" s="119"/>
      <c r="H729" s="119"/>
    </row>
    <row r="730" spans="3:8">
      <c r="C730" s="119"/>
      <c r="D730" s="119"/>
      <c r="E730" s="119"/>
      <c r="F730" s="119"/>
      <c r="G730" s="119"/>
      <c r="H730" s="119"/>
    </row>
    <row r="731" spans="3:8">
      <c r="C731" s="119"/>
      <c r="D731" s="119"/>
      <c r="E731" s="119"/>
      <c r="F731" s="119"/>
      <c r="G731" s="119"/>
      <c r="H731" s="119"/>
    </row>
    <row r="732" spans="3:8">
      <c r="C732" s="119"/>
      <c r="D732" s="119"/>
      <c r="E732" s="119"/>
      <c r="F732" s="119"/>
      <c r="G732" s="119"/>
      <c r="H732" s="119"/>
    </row>
    <row r="733" spans="3:8">
      <c r="C733" s="119"/>
      <c r="D733" s="119"/>
      <c r="E733" s="119"/>
      <c r="F733" s="119"/>
      <c r="G733" s="119"/>
      <c r="H733" s="119"/>
    </row>
    <row r="734" spans="3:8">
      <c r="C734" s="119"/>
      <c r="D734" s="119"/>
      <c r="E734" s="119"/>
      <c r="F734" s="119"/>
      <c r="G734" s="119"/>
      <c r="H734" s="119"/>
    </row>
    <row r="735" spans="3:8">
      <c r="C735" s="119"/>
      <c r="D735" s="119"/>
      <c r="E735" s="119"/>
      <c r="F735" s="119"/>
      <c r="G735" s="119"/>
      <c r="H735" s="119"/>
    </row>
    <row r="736" spans="3:8">
      <c r="C736" s="119"/>
      <c r="D736" s="119"/>
      <c r="E736" s="119"/>
      <c r="F736" s="119"/>
      <c r="G736" s="119"/>
      <c r="H736" s="119"/>
    </row>
    <row r="737" spans="3:8">
      <c r="C737" s="119"/>
      <c r="D737" s="119"/>
      <c r="E737" s="119"/>
      <c r="F737" s="119"/>
      <c r="G737" s="119"/>
      <c r="H737" s="119"/>
    </row>
    <row r="738" spans="3:8">
      <c r="C738" s="119"/>
      <c r="D738" s="119"/>
      <c r="E738" s="119"/>
      <c r="F738" s="119"/>
      <c r="G738" s="119"/>
      <c r="H738" s="119"/>
    </row>
    <row r="739" spans="3:8">
      <c r="C739" s="119"/>
      <c r="D739" s="119"/>
      <c r="E739" s="119"/>
      <c r="F739" s="119"/>
      <c r="G739" s="119"/>
      <c r="H739" s="119"/>
    </row>
    <row r="740" spans="3:8">
      <c r="C740" s="119"/>
      <c r="D740" s="119"/>
      <c r="E740" s="119"/>
      <c r="F740" s="119"/>
      <c r="G740" s="119"/>
      <c r="H740" s="119"/>
    </row>
    <row r="741" spans="3:8">
      <c r="C741" s="119"/>
      <c r="D741" s="119"/>
      <c r="E741" s="119"/>
      <c r="F741" s="119"/>
      <c r="G741" s="119"/>
      <c r="H741" s="119"/>
    </row>
    <row r="742" spans="3:8">
      <c r="C742" s="119"/>
      <c r="D742" s="119"/>
      <c r="E742" s="119"/>
      <c r="F742" s="119"/>
      <c r="G742" s="119"/>
      <c r="H742" s="119"/>
    </row>
    <row r="743" spans="3:8">
      <c r="C743" s="119"/>
      <c r="D743" s="119"/>
      <c r="E743" s="119"/>
      <c r="F743" s="119"/>
      <c r="G743" s="119"/>
      <c r="H743" s="119"/>
    </row>
    <row r="744" spans="3:8">
      <c r="C744" s="119"/>
      <c r="D744" s="119"/>
      <c r="E744" s="119"/>
      <c r="F744" s="119"/>
      <c r="G744" s="119"/>
      <c r="H744" s="119"/>
    </row>
    <row r="745" spans="3:8">
      <c r="C745" s="119"/>
      <c r="D745" s="119"/>
      <c r="E745" s="119"/>
      <c r="F745" s="119"/>
      <c r="G745" s="119"/>
      <c r="H745" s="119"/>
    </row>
    <row r="746" spans="3:8">
      <c r="C746" s="119"/>
      <c r="D746" s="119"/>
      <c r="E746" s="119"/>
      <c r="F746" s="119"/>
      <c r="G746" s="119"/>
      <c r="H746" s="119"/>
    </row>
    <row r="747" spans="3:8">
      <c r="C747" s="119"/>
      <c r="D747" s="119"/>
      <c r="E747" s="119"/>
      <c r="F747" s="119"/>
      <c r="G747" s="119"/>
      <c r="H747" s="119"/>
    </row>
    <row r="748" spans="3:8">
      <c r="C748" s="119"/>
      <c r="D748" s="119"/>
      <c r="E748" s="119"/>
      <c r="F748" s="119"/>
      <c r="G748" s="119"/>
      <c r="H748" s="119"/>
    </row>
    <row r="749" spans="3:8">
      <c r="C749" s="119"/>
      <c r="D749" s="119"/>
      <c r="E749" s="119"/>
      <c r="F749" s="119"/>
      <c r="G749" s="119"/>
      <c r="H749" s="119"/>
    </row>
    <row r="750" spans="3:8">
      <c r="C750" s="119"/>
      <c r="D750" s="119"/>
      <c r="E750" s="119"/>
      <c r="F750" s="119"/>
      <c r="G750" s="119"/>
      <c r="H750" s="119"/>
    </row>
    <row r="751" spans="3:8">
      <c r="C751" s="119"/>
      <c r="D751" s="119"/>
      <c r="E751" s="119"/>
      <c r="F751" s="119"/>
      <c r="G751" s="119"/>
      <c r="H751" s="119"/>
    </row>
    <row r="752" spans="3:8">
      <c r="C752" s="119"/>
      <c r="D752" s="119"/>
      <c r="E752" s="119"/>
      <c r="F752" s="119"/>
      <c r="G752" s="119"/>
      <c r="H752" s="119"/>
    </row>
    <row r="753" spans="3:8">
      <c r="C753" s="119"/>
      <c r="D753" s="119"/>
      <c r="E753" s="119"/>
      <c r="F753" s="119"/>
      <c r="G753" s="119"/>
      <c r="H753" s="119"/>
    </row>
    <row r="754" spans="3:8">
      <c r="C754" s="119"/>
      <c r="D754" s="119"/>
      <c r="E754" s="119"/>
      <c r="F754" s="119"/>
      <c r="G754" s="119"/>
      <c r="H754" s="119"/>
    </row>
    <row r="755" spans="3:8">
      <c r="C755" s="119"/>
      <c r="D755" s="119"/>
      <c r="E755" s="119"/>
      <c r="F755" s="119"/>
      <c r="G755" s="119"/>
      <c r="H755" s="119"/>
    </row>
    <row r="756" spans="3:8">
      <c r="C756" s="119"/>
      <c r="D756" s="119"/>
      <c r="E756" s="119"/>
      <c r="F756" s="119"/>
      <c r="G756" s="119"/>
      <c r="H756" s="119"/>
    </row>
    <row r="757" spans="3:8">
      <c r="C757" s="119"/>
      <c r="D757" s="119"/>
      <c r="E757" s="119"/>
      <c r="F757" s="119"/>
      <c r="G757" s="119"/>
      <c r="H757" s="119"/>
    </row>
    <row r="758" spans="3:8">
      <c r="C758" s="119"/>
      <c r="D758" s="119"/>
      <c r="E758" s="119"/>
      <c r="F758" s="119"/>
      <c r="G758" s="119"/>
      <c r="H758" s="119"/>
    </row>
    <row r="759" spans="3:8">
      <c r="C759" s="119"/>
      <c r="D759" s="119"/>
      <c r="E759" s="119"/>
      <c r="F759" s="119"/>
      <c r="G759" s="119"/>
      <c r="H759" s="119"/>
    </row>
    <row r="760" spans="3:8">
      <c r="C760" s="119"/>
      <c r="D760" s="119"/>
      <c r="E760" s="119"/>
      <c r="F760" s="119"/>
      <c r="G760" s="119"/>
      <c r="H760" s="119"/>
    </row>
    <row r="761" spans="3:8">
      <c r="C761" s="119"/>
      <c r="D761" s="119"/>
      <c r="E761" s="119"/>
      <c r="F761" s="119"/>
      <c r="G761" s="119"/>
      <c r="H761" s="119"/>
    </row>
    <row r="762" spans="3:8">
      <c r="C762" s="119"/>
      <c r="D762" s="119"/>
      <c r="E762" s="119"/>
      <c r="F762" s="119"/>
      <c r="G762" s="119"/>
      <c r="H762" s="119"/>
    </row>
    <row r="763" spans="3:8">
      <c r="C763" s="119"/>
      <c r="D763" s="119"/>
      <c r="E763" s="119"/>
      <c r="F763" s="119"/>
      <c r="G763" s="119"/>
      <c r="H763" s="119"/>
    </row>
    <row r="764" spans="3:8">
      <c r="C764" s="119"/>
      <c r="D764" s="119"/>
      <c r="E764" s="119"/>
      <c r="F764" s="119"/>
      <c r="G764" s="119"/>
      <c r="H764" s="119"/>
    </row>
    <row r="765" spans="3:8">
      <c r="C765" s="119"/>
      <c r="D765" s="119"/>
      <c r="E765" s="119"/>
      <c r="F765" s="119"/>
      <c r="G765" s="119"/>
      <c r="H765" s="119"/>
    </row>
    <row r="766" spans="3:8">
      <c r="C766" s="119"/>
      <c r="D766" s="119"/>
      <c r="E766" s="119"/>
      <c r="F766" s="119"/>
      <c r="G766" s="119"/>
      <c r="H766" s="119"/>
    </row>
    <row r="767" spans="3:8">
      <c r="C767" s="119"/>
      <c r="D767" s="119"/>
      <c r="E767" s="119"/>
      <c r="F767" s="119"/>
      <c r="G767" s="119"/>
      <c r="H767" s="119"/>
    </row>
    <row r="768" spans="3:8">
      <c r="C768" s="119"/>
      <c r="D768" s="119"/>
      <c r="E768" s="119"/>
      <c r="F768" s="119"/>
      <c r="G768" s="119"/>
      <c r="H768" s="119"/>
    </row>
    <row r="769" spans="3:8">
      <c r="C769" s="119"/>
      <c r="D769" s="119"/>
      <c r="E769" s="119"/>
      <c r="F769" s="119"/>
      <c r="G769" s="119"/>
      <c r="H769" s="119"/>
    </row>
    <row r="770" spans="3:8">
      <c r="C770" s="119"/>
      <c r="D770" s="119"/>
      <c r="E770" s="119"/>
      <c r="F770" s="119"/>
      <c r="G770" s="119"/>
      <c r="H770" s="119"/>
    </row>
    <row r="771" spans="3:8">
      <c r="C771" s="119"/>
      <c r="D771" s="119"/>
      <c r="E771" s="119"/>
      <c r="F771" s="119"/>
      <c r="G771" s="119"/>
      <c r="H771" s="119"/>
    </row>
    <row r="772" spans="3:8">
      <c r="C772" s="119"/>
      <c r="D772" s="119"/>
      <c r="E772" s="119"/>
      <c r="F772" s="119"/>
      <c r="G772" s="119"/>
      <c r="H772" s="119"/>
    </row>
    <row r="773" spans="3:8">
      <c r="C773" s="119"/>
      <c r="D773" s="119"/>
      <c r="E773" s="119"/>
      <c r="F773" s="119"/>
      <c r="G773" s="119"/>
      <c r="H773" s="119"/>
    </row>
    <row r="774" spans="3:8">
      <c r="C774" s="119"/>
      <c r="D774" s="119"/>
      <c r="E774" s="119"/>
      <c r="F774" s="119"/>
      <c r="G774" s="119"/>
      <c r="H774" s="119"/>
    </row>
    <row r="775" spans="3:8">
      <c r="C775" s="119"/>
      <c r="D775" s="119"/>
      <c r="E775" s="119"/>
      <c r="F775" s="119"/>
      <c r="G775" s="119"/>
      <c r="H775" s="119"/>
    </row>
    <row r="776" spans="3:8">
      <c r="C776" s="119"/>
      <c r="D776" s="119"/>
      <c r="E776" s="119"/>
      <c r="F776" s="119"/>
      <c r="G776" s="119"/>
      <c r="H776" s="119"/>
    </row>
    <row r="777" spans="3:8">
      <c r="C777" s="119"/>
      <c r="D777" s="119"/>
      <c r="E777" s="119"/>
      <c r="F777" s="119"/>
      <c r="G777" s="119"/>
      <c r="H777" s="119"/>
    </row>
    <row r="778" spans="3:8">
      <c r="C778" s="119"/>
      <c r="D778" s="119"/>
      <c r="E778" s="119"/>
      <c r="F778" s="119"/>
      <c r="G778" s="119"/>
      <c r="H778" s="119"/>
    </row>
    <row r="779" spans="3:8">
      <c r="C779" s="119"/>
      <c r="D779" s="119"/>
      <c r="E779" s="119"/>
      <c r="F779" s="119"/>
      <c r="G779" s="119"/>
      <c r="H779" s="119"/>
    </row>
    <row r="780" spans="3:8">
      <c r="C780" s="119"/>
      <c r="D780" s="119"/>
      <c r="E780" s="119"/>
      <c r="F780" s="119"/>
      <c r="G780" s="119"/>
      <c r="H780" s="119"/>
    </row>
    <row r="781" spans="3:8">
      <c r="C781" s="119"/>
      <c r="D781" s="119"/>
      <c r="E781" s="119"/>
      <c r="F781" s="119"/>
      <c r="G781" s="119"/>
      <c r="H781" s="119"/>
    </row>
    <row r="782" spans="3:8">
      <c r="C782" s="119"/>
      <c r="D782" s="119"/>
      <c r="E782" s="119"/>
      <c r="F782" s="119"/>
      <c r="G782" s="119"/>
      <c r="H782" s="119"/>
    </row>
    <row r="783" spans="3:8">
      <c r="C783" s="119"/>
      <c r="D783" s="119"/>
      <c r="E783" s="119"/>
      <c r="F783" s="119"/>
      <c r="G783" s="119"/>
      <c r="H783" s="119"/>
    </row>
    <row r="784" spans="3:8">
      <c r="C784" s="119"/>
      <c r="D784" s="119"/>
      <c r="E784" s="119"/>
      <c r="F784" s="119"/>
      <c r="G784" s="119"/>
      <c r="H784" s="119"/>
    </row>
    <row r="785" spans="3:8">
      <c r="C785" s="119"/>
      <c r="D785" s="119"/>
      <c r="E785" s="119"/>
      <c r="F785" s="119"/>
      <c r="G785" s="119"/>
      <c r="H785" s="119"/>
    </row>
    <row r="786" spans="3:8">
      <c r="C786" s="119"/>
      <c r="D786" s="119"/>
      <c r="E786" s="119"/>
      <c r="F786" s="119"/>
      <c r="G786" s="119"/>
      <c r="H786" s="119"/>
    </row>
    <row r="787" spans="3:8">
      <c r="C787" s="119"/>
      <c r="D787" s="119"/>
      <c r="E787" s="119"/>
      <c r="F787" s="119"/>
      <c r="G787" s="119"/>
      <c r="H787" s="119"/>
    </row>
    <row r="788" spans="3:8">
      <c r="C788" s="119"/>
      <c r="D788" s="119"/>
      <c r="E788" s="119"/>
      <c r="F788" s="119"/>
      <c r="G788" s="119"/>
      <c r="H788" s="119"/>
    </row>
    <row r="789" spans="3:8">
      <c r="C789" s="119"/>
      <c r="D789" s="119"/>
      <c r="E789" s="119"/>
      <c r="F789" s="119"/>
      <c r="G789" s="119"/>
      <c r="H789" s="119"/>
    </row>
    <row r="790" spans="3:8">
      <c r="C790" s="119"/>
      <c r="D790" s="119"/>
      <c r="E790" s="119"/>
      <c r="F790" s="119"/>
      <c r="G790" s="119"/>
      <c r="H790" s="119"/>
    </row>
    <row r="791" spans="3:8">
      <c r="C791" s="119"/>
      <c r="D791" s="119"/>
      <c r="E791" s="119"/>
      <c r="F791" s="119"/>
      <c r="G791" s="119"/>
      <c r="H791" s="119"/>
    </row>
    <row r="792" spans="3:8">
      <c r="C792" s="119"/>
      <c r="D792" s="119"/>
      <c r="E792" s="119"/>
      <c r="F792" s="119"/>
      <c r="G792" s="119"/>
      <c r="H792" s="119"/>
    </row>
    <row r="793" spans="3:8">
      <c r="C793" s="119"/>
      <c r="D793" s="119"/>
      <c r="E793" s="119"/>
      <c r="F793" s="119"/>
      <c r="G793" s="119"/>
      <c r="H793" s="119"/>
    </row>
    <row r="794" spans="3:8">
      <c r="C794" s="119"/>
      <c r="D794" s="119"/>
      <c r="E794" s="119"/>
      <c r="F794" s="119"/>
      <c r="G794" s="119"/>
      <c r="H794" s="119"/>
    </row>
    <row r="795" spans="3:8">
      <c r="C795" s="119"/>
      <c r="D795" s="119"/>
      <c r="E795" s="119"/>
      <c r="F795" s="119"/>
      <c r="G795" s="119"/>
      <c r="H795" s="119"/>
    </row>
    <row r="796" spans="3:8">
      <c r="C796" s="119"/>
      <c r="D796" s="119"/>
      <c r="E796" s="119"/>
      <c r="F796" s="119"/>
      <c r="G796" s="119"/>
      <c r="H796" s="119"/>
    </row>
    <row r="797" spans="3:8">
      <c r="C797" s="119"/>
      <c r="D797" s="119"/>
      <c r="E797" s="119"/>
      <c r="F797" s="119"/>
      <c r="G797" s="119"/>
      <c r="H797" s="119"/>
    </row>
    <row r="798" spans="3:8">
      <c r="C798" s="119"/>
      <c r="D798" s="119"/>
      <c r="E798" s="119"/>
      <c r="F798" s="119"/>
      <c r="G798" s="119"/>
      <c r="H798" s="119"/>
    </row>
    <row r="799" spans="3:8">
      <c r="C799" s="119"/>
      <c r="D799" s="119"/>
      <c r="E799" s="119"/>
      <c r="F799" s="119"/>
      <c r="G799" s="119"/>
      <c r="H799" s="119"/>
    </row>
    <row r="800" spans="3:8">
      <c r="C800" s="119"/>
      <c r="D800" s="119"/>
      <c r="E800" s="119"/>
      <c r="F800" s="119"/>
      <c r="G800" s="119"/>
      <c r="H800" s="119"/>
    </row>
    <row r="801" spans="3:8">
      <c r="C801" s="119"/>
      <c r="D801" s="119"/>
      <c r="E801" s="119"/>
      <c r="F801" s="119"/>
      <c r="G801" s="119"/>
      <c r="H801" s="119"/>
    </row>
    <row r="802" spans="3:8">
      <c r="C802" s="119"/>
      <c r="D802" s="119"/>
      <c r="E802" s="119"/>
      <c r="F802" s="119"/>
      <c r="G802" s="119"/>
      <c r="H802" s="119"/>
    </row>
    <row r="803" spans="3:8">
      <c r="C803" s="119"/>
      <c r="D803" s="119"/>
      <c r="E803" s="119"/>
      <c r="F803" s="119"/>
      <c r="G803" s="119"/>
      <c r="H803" s="119"/>
    </row>
    <row r="804" spans="3:8">
      <c r="C804" s="119"/>
      <c r="D804" s="119"/>
      <c r="E804" s="119"/>
      <c r="F804" s="119"/>
      <c r="G804" s="119"/>
      <c r="H804" s="119"/>
    </row>
    <row r="805" spans="3:8">
      <c r="C805" s="119"/>
      <c r="D805" s="119"/>
      <c r="E805" s="119"/>
      <c r="F805" s="119"/>
      <c r="G805" s="119"/>
      <c r="H805" s="119"/>
    </row>
    <row r="806" spans="3:8">
      <c r="C806" s="119"/>
      <c r="D806" s="119"/>
      <c r="E806" s="119"/>
      <c r="F806" s="119"/>
      <c r="G806" s="119"/>
      <c r="H806" s="119"/>
    </row>
    <row r="807" spans="3:8">
      <c r="C807" s="119"/>
      <c r="D807" s="119"/>
      <c r="E807" s="119"/>
      <c r="F807" s="119"/>
      <c r="G807" s="119"/>
      <c r="H807" s="119"/>
    </row>
    <row r="808" spans="3:8">
      <c r="C808" s="119"/>
      <c r="D808" s="119"/>
      <c r="E808" s="119"/>
      <c r="F808" s="119"/>
      <c r="G808" s="119"/>
      <c r="H808" s="119"/>
    </row>
    <row r="809" spans="3:8">
      <c r="C809" s="119"/>
      <c r="D809" s="119"/>
      <c r="E809" s="119"/>
      <c r="F809" s="119"/>
      <c r="G809" s="119"/>
      <c r="H809" s="119"/>
    </row>
    <row r="810" spans="3:8">
      <c r="C810" s="119"/>
      <c r="D810" s="119"/>
      <c r="E810" s="119"/>
      <c r="F810" s="119"/>
      <c r="G810" s="119"/>
      <c r="H810" s="119"/>
    </row>
    <row r="811" spans="3:8">
      <c r="C811" s="119"/>
      <c r="D811" s="119"/>
      <c r="E811" s="119"/>
      <c r="F811" s="119"/>
      <c r="G811" s="119"/>
      <c r="H811" s="119"/>
    </row>
    <row r="812" spans="3:8">
      <c r="C812" s="119"/>
      <c r="D812" s="119"/>
      <c r="E812" s="119"/>
      <c r="F812" s="119"/>
      <c r="G812" s="119"/>
      <c r="H812" s="119"/>
    </row>
    <row r="813" spans="3:8">
      <c r="C813" s="119"/>
      <c r="D813" s="119"/>
      <c r="E813" s="119"/>
      <c r="F813" s="119"/>
      <c r="G813" s="119"/>
      <c r="H813" s="119"/>
    </row>
    <row r="814" spans="3:8">
      <c r="C814" s="119"/>
      <c r="D814" s="119"/>
      <c r="E814" s="119"/>
      <c r="F814" s="119"/>
      <c r="G814" s="119"/>
      <c r="H814" s="119"/>
    </row>
    <row r="815" spans="3:8">
      <c r="C815" s="119"/>
      <c r="D815" s="119"/>
      <c r="E815" s="119"/>
      <c r="F815" s="119"/>
      <c r="G815" s="119"/>
      <c r="H815" s="119"/>
    </row>
    <row r="816" spans="3:8">
      <c r="C816" s="119"/>
      <c r="D816" s="119"/>
      <c r="E816" s="119"/>
      <c r="F816" s="119"/>
      <c r="G816" s="119"/>
      <c r="H816" s="119"/>
    </row>
    <row r="817" spans="3:8">
      <c r="C817" s="119"/>
      <c r="D817" s="119"/>
      <c r="E817" s="119"/>
      <c r="F817" s="119"/>
      <c r="G817" s="119"/>
      <c r="H817" s="119"/>
    </row>
    <row r="818" spans="3:8">
      <c r="C818" s="119"/>
      <c r="D818" s="119"/>
      <c r="E818" s="119"/>
      <c r="F818" s="119"/>
      <c r="G818" s="119"/>
      <c r="H818" s="119"/>
    </row>
    <row r="819" spans="3:8">
      <c r="C819" s="119"/>
      <c r="D819" s="119"/>
      <c r="E819" s="119"/>
      <c r="F819" s="119"/>
      <c r="G819" s="119"/>
      <c r="H819" s="119"/>
    </row>
    <row r="820" spans="3:8">
      <c r="C820" s="119"/>
      <c r="D820" s="119"/>
      <c r="E820" s="119"/>
      <c r="F820" s="119"/>
      <c r="G820" s="119"/>
      <c r="H820" s="119"/>
    </row>
    <row r="821" spans="3:8">
      <c r="C821" s="119"/>
      <c r="D821" s="119"/>
      <c r="E821" s="119"/>
      <c r="F821" s="119"/>
      <c r="G821" s="119"/>
      <c r="H821" s="119"/>
    </row>
    <row r="822" spans="3:8">
      <c r="C822" s="119"/>
      <c r="D822" s="119"/>
      <c r="E822" s="119"/>
      <c r="F822" s="119"/>
      <c r="G822" s="119"/>
      <c r="H822" s="119"/>
    </row>
    <row r="823" spans="3:8">
      <c r="C823" s="119"/>
      <c r="D823" s="119"/>
      <c r="E823" s="119"/>
      <c r="F823" s="119"/>
      <c r="G823" s="119"/>
      <c r="H823" s="119"/>
    </row>
    <row r="824" spans="3:8">
      <c r="C824" s="119"/>
      <c r="D824" s="119"/>
      <c r="E824" s="119"/>
      <c r="F824" s="119"/>
      <c r="G824" s="119"/>
      <c r="H824" s="119"/>
    </row>
    <row r="825" spans="3:8">
      <c r="C825" s="119"/>
      <c r="D825" s="119"/>
      <c r="E825" s="119"/>
      <c r="F825" s="119"/>
      <c r="G825" s="119"/>
      <c r="H825" s="119"/>
    </row>
    <row r="826" spans="3:8">
      <c r="C826" s="119"/>
      <c r="D826" s="119"/>
      <c r="E826" s="119"/>
      <c r="F826" s="119"/>
      <c r="G826" s="119"/>
      <c r="H826" s="119"/>
    </row>
    <row r="827" spans="3:8">
      <c r="C827" s="119"/>
      <c r="D827" s="119"/>
      <c r="E827" s="119"/>
      <c r="F827" s="119"/>
      <c r="G827" s="119"/>
      <c r="H827" s="119"/>
    </row>
    <row r="828" spans="3:8">
      <c r="C828" s="119"/>
      <c r="D828" s="119"/>
      <c r="E828" s="119"/>
      <c r="F828" s="119"/>
      <c r="G828" s="119"/>
      <c r="H828" s="119"/>
    </row>
    <row r="829" spans="3:8">
      <c r="C829" s="119"/>
      <c r="D829" s="119"/>
      <c r="E829" s="119"/>
      <c r="F829" s="119"/>
      <c r="G829" s="119"/>
      <c r="H829" s="119"/>
    </row>
    <row r="830" spans="3:8">
      <c r="C830" s="119"/>
      <c r="D830" s="119"/>
      <c r="E830" s="119"/>
      <c r="F830" s="119"/>
      <c r="G830" s="119"/>
      <c r="H830" s="119"/>
    </row>
    <row r="831" spans="3:8">
      <c r="C831" s="119"/>
      <c r="D831" s="119"/>
      <c r="E831" s="119"/>
      <c r="F831" s="119"/>
      <c r="G831" s="119"/>
      <c r="H831" s="119"/>
    </row>
    <row r="832" spans="3:8">
      <c r="C832" s="119"/>
      <c r="D832" s="119"/>
      <c r="E832" s="119"/>
      <c r="F832" s="119"/>
      <c r="G832" s="119"/>
      <c r="H832" s="119"/>
    </row>
    <row r="833" spans="3:8">
      <c r="C833" s="119"/>
      <c r="D833" s="119"/>
      <c r="E833" s="119"/>
      <c r="F833" s="119"/>
      <c r="G833" s="119"/>
      <c r="H833" s="119"/>
    </row>
    <row r="834" spans="3:8">
      <c r="C834" s="119"/>
      <c r="D834" s="119"/>
      <c r="E834" s="119"/>
      <c r="F834" s="119"/>
      <c r="G834" s="119"/>
      <c r="H834" s="119"/>
    </row>
    <row r="835" spans="3:8">
      <c r="C835" s="119"/>
      <c r="D835" s="119"/>
      <c r="E835" s="119"/>
      <c r="F835" s="119"/>
      <c r="G835" s="119"/>
      <c r="H835" s="119"/>
    </row>
    <row r="836" spans="3:8">
      <c r="C836" s="119"/>
      <c r="D836" s="119"/>
      <c r="E836" s="119"/>
      <c r="F836" s="119"/>
      <c r="G836" s="119"/>
      <c r="H836" s="119"/>
    </row>
    <row r="837" spans="3:8">
      <c r="C837" s="119"/>
      <c r="D837" s="119"/>
      <c r="E837" s="119"/>
      <c r="F837" s="119"/>
      <c r="G837" s="119"/>
      <c r="H837" s="119"/>
    </row>
    <row r="838" spans="3:8">
      <c r="C838" s="119"/>
      <c r="D838" s="119"/>
      <c r="E838" s="119"/>
      <c r="F838" s="119"/>
      <c r="G838" s="119"/>
      <c r="H838" s="119"/>
    </row>
    <row r="839" spans="3:8">
      <c r="C839" s="119"/>
      <c r="D839" s="119"/>
      <c r="E839" s="119"/>
      <c r="F839" s="119"/>
      <c r="G839" s="119"/>
      <c r="H839" s="119"/>
    </row>
    <row r="840" spans="3:8">
      <c r="C840" s="119"/>
      <c r="D840" s="119"/>
      <c r="E840" s="119"/>
      <c r="F840" s="119"/>
      <c r="G840" s="119"/>
      <c r="H840" s="119"/>
    </row>
    <row r="841" spans="3:8">
      <c r="C841" s="119"/>
      <c r="D841" s="119"/>
      <c r="E841" s="119"/>
      <c r="F841" s="119"/>
      <c r="G841" s="119"/>
      <c r="H841" s="119"/>
    </row>
    <row r="842" spans="3:8">
      <c r="C842" s="119"/>
      <c r="D842" s="119"/>
      <c r="E842" s="119"/>
      <c r="F842" s="119"/>
      <c r="G842" s="119"/>
      <c r="H842" s="119"/>
    </row>
    <row r="843" spans="3:8">
      <c r="C843" s="119"/>
      <c r="D843" s="119"/>
      <c r="E843" s="119"/>
      <c r="F843" s="119"/>
      <c r="G843" s="119"/>
      <c r="H843" s="119"/>
    </row>
    <row r="844" spans="3:8">
      <c r="C844" s="119"/>
      <c r="D844" s="119"/>
      <c r="E844" s="119"/>
      <c r="F844" s="119"/>
      <c r="G844" s="119"/>
      <c r="H844" s="119"/>
    </row>
    <row r="845" spans="3:8">
      <c r="C845" s="119"/>
      <c r="D845" s="119"/>
      <c r="E845" s="119"/>
      <c r="F845" s="119"/>
      <c r="G845" s="119"/>
      <c r="H845" s="119"/>
    </row>
    <row r="846" spans="3:8">
      <c r="C846" s="119"/>
      <c r="D846" s="119"/>
      <c r="E846" s="119"/>
      <c r="F846" s="119"/>
      <c r="G846" s="119"/>
      <c r="H846" s="119"/>
    </row>
    <row r="847" spans="3:8">
      <c r="C847" s="119"/>
      <c r="D847" s="119"/>
      <c r="E847" s="119"/>
      <c r="F847" s="119"/>
      <c r="G847" s="119"/>
      <c r="H847" s="119"/>
    </row>
    <row r="848" spans="3:8">
      <c r="C848" s="119"/>
      <c r="D848" s="119"/>
      <c r="E848" s="119"/>
      <c r="F848" s="119"/>
      <c r="G848" s="119"/>
      <c r="H848" s="119"/>
    </row>
    <row r="849" spans="3:8">
      <c r="C849" s="119"/>
      <c r="D849" s="119"/>
      <c r="E849" s="119"/>
      <c r="F849" s="119"/>
      <c r="G849" s="119"/>
      <c r="H849" s="119"/>
    </row>
    <row r="850" spans="3:8">
      <c r="C850" s="119"/>
      <c r="D850" s="119"/>
      <c r="E850" s="119"/>
      <c r="F850" s="119"/>
      <c r="G850" s="119"/>
      <c r="H850" s="119"/>
    </row>
    <row r="851" spans="3:8">
      <c r="C851" s="119"/>
      <c r="D851" s="119"/>
      <c r="E851" s="119"/>
      <c r="F851" s="119"/>
      <c r="G851" s="119"/>
      <c r="H851" s="119"/>
    </row>
    <row r="852" spans="3:8">
      <c r="C852" s="119"/>
      <c r="D852" s="119"/>
      <c r="E852" s="119"/>
      <c r="F852" s="119"/>
      <c r="G852" s="119"/>
      <c r="H852" s="119"/>
    </row>
    <row r="853" spans="3:8">
      <c r="C853" s="119"/>
      <c r="D853" s="119"/>
      <c r="E853" s="119"/>
      <c r="F853" s="119"/>
      <c r="G853" s="119"/>
      <c r="H853" s="119"/>
    </row>
    <row r="854" spans="3:8">
      <c r="C854" s="119"/>
      <c r="D854" s="119"/>
      <c r="E854" s="119"/>
      <c r="F854" s="119"/>
      <c r="G854" s="119"/>
      <c r="H854" s="119"/>
    </row>
    <row r="855" spans="3:8">
      <c r="C855" s="119"/>
      <c r="D855" s="119"/>
      <c r="E855" s="119"/>
      <c r="F855" s="119"/>
      <c r="G855" s="119"/>
      <c r="H855" s="119"/>
    </row>
    <row r="856" spans="3:8">
      <c r="C856" s="119"/>
      <c r="D856" s="119"/>
      <c r="E856" s="119"/>
      <c r="F856" s="119"/>
      <c r="G856" s="119"/>
      <c r="H856" s="119"/>
    </row>
    <row r="857" spans="3:8">
      <c r="C857" s="119"/>
      <c r="D857" s="119"/>
      <c r="E857" s="119"/>
      <c r="F857" s="119"/>
      <c r="G857" s="119"/>
      <c r="H857" s="119"/>
    </row>
    <row r="858" spans="3:8">
      <c r="C858" s="119"/>
      <c r="D858" s="119"/>
      <c r="E858" s="119"/>
      <c r="F858" s="119"/>
      <c r="G858" s="119"/>
      <c r="H858" s="119"/>
    </row>
    <row r="859" spans="3:8">
      <c r="C859" s="119"/>
      <c r="D859" s="119"/>
      <c r="E859" s="119"/>
      <c r="F859" s="119"/>
      <c r="G859" s="119"/>
      <c r="H859" s="119"/>
    </row>
    <row r="860" spans="3:8">
      <c r="C860" s="119"/>
      <c r="D860" s="119"/>
      <c r="E860" s="119"/>
      <c r="F860" s="119"/>
      <c r="G860" s="119"/>
      <c r="H860" s="119"/>
    </row>
    <row r="861" spans="3:8">
      <c r="C861" s="119"/>
      <c r="D861" s="119"/>
      <c r="E861" s="119"/>
      <c r="F861" s="119"/>
      <c r="G861" s="119"/>
      <c r="H861" s="119"/>
    </row>
    <row r="862" spans="3:8">
      <c r="C862" s="119"/>
      <c r="D862" s="119"/>
      <c r="E862" s="119"/>
      <c r="F862" s="119"/>
      <c r="G862" s="119"/>
      <c r="H862" s="119"/>
    </row>
    <row r="863" spans="3:8">
      <c r="C863" s="119"/>
      <c r="D863" s="119"/>
      <c r="E863" s="119"/>
      <c r="F863" s="119"/>
      <c r="G863" s="119"/>
      <c r="H863" s="119"/>
    </row>
    <row r="864" spans="3:8">
      <c r="C864" s="119"/>
      <c r="D864" s="119"/>
      <c r="E864" s="119"/>
      <c r="F864" s="119"/>
      <c r="G864" s="119"/>
      <c r="H864" s="119"/>
    </row>
    <row r="865" spans="3:8">
      <c r="C865" s="119"/>
      <c r="D865" s="119"/>
      <c r="E865" s="119"/>
      <c r="F865" s="119"/>
      <c r="G865" s="119"/>
      <c r="H865" s="119"/>
    </row>
    <row r="866" spans="3:8">
      <c r="C866" s="119"/>
      <c r="D866" s="119"/>
      <c r="E866" s="119"/>
      <c r="F866" s="119"/>
      <c r="G866" s="119"/>
      <c r="H866" s="119"/>
    </row>
    <row r="867" spans="3:8">
      <c r="C867" s="119"/>
      <c r="D867" s="119"/>
      <c r="E867" s="119"/>
      <c r="F867" s="119"/>
      <c r="G867" s="119"/>
      <c r="H867" s="119"/>
    </row>
    <row r="868" spans="3:8">
      <c r="C868" s="119"/>
      <c r="D868" s="119"/>
      <c r="E868" s="119"/>
      <c r="F868" s="119"/>
      <c r="G868" s="119"/>
      <c r="H868" s="119"/>
    </row>
    <row r="869" spans="3:8">
      <c r="C869" s="119"/>
      <c r="D869" s="119"/>
      <c r="E869" s="119"/>
      <c r="F869" s="119"/>
      <c r="G869" s="119"/>
      <c r="H869" s="119"/>
    </row>
    <row r="870" spans="3:8">
      <c r="C870" s="119"/>
      <c r="D870" s="119"/>
      <c r="E870" s="119"/>
      <c r="F870" s="119"/>
      <c r="G870" s="119"/>
      <c r="H870" s="119"/>
    </row>
    <row r="871" spans="3:8">
      <c r="C871" s="119"/>
      <c r="D871" s="119"/>
      <c r="E871" s="119"/>
      <c r="F871" s="119"/>
      <c r="G871" s="119"/>
      <c r="H871" s="119"/>
    </row>
    <row r="872" spans="3:8">
      <c r="C872" s="119"/>
      <c r="D872" s="119"/>
      <c r="E872" s="119"/>
      <c r="F872" s="119"/>
      <c r="G872" s="119"/>
      <c r="H872" s="119"/>
    </row>
    <row r="873" spans="3:8">
      <c r="C873" s="119"/>
      <c r="D873" s="119"/>
      <c r="E873" s="119"/>
      <c r="F873" s="119"/>
      <c r="G873" s="119"/>
      <c r="H873" s="119"/>
    </row>
    <row r="874" spans="3:8">
      <c r="C874" s="119"/>
      <c r="D874" s="119"/>
      <c r="E874" s="119"/>
      <c r="F874" s="119"/>
      <c r="G874" s="119"/>
      <c r="H874" s="119"/>
    </row>
    <row r="875" spans="3:8">
      <c r="C875" s="119"/>
      <c r="D875" s="119"/>
      <c r="E875" s="119"/>
      <c r="F875" s="119"/>
      <c r="G875" s="119"/>
      <c r="H875" s="119"/>
    </row>
    <row r="876" spans="3:8">
      <c r="C876" s="119"/>
      <c r="D876" s="119"/>
      <c r="E876" s="119"/>
      <c r="F876" s="119"/>
      <c r="G876" s="119"/>
      <c r="H876" s="119"/>
    </row>
    <row r="877" spans="3:8">
      <c r="C877" s="119"/>
      <c r="D877" s="119"/>
      <c r="E877" s="119"/>
      <c r="F877" s="119"/>
      <c r="G877" s="119"/>
      <c r="H877" s="119"/>
    </row>
    <row r="878" spans="3:8">
      <c r="C878" s="119"/>
      <c r="D878" s="119"/>
      <c r="E878" s="119"/>
      <c r="F878" s="119"/>
      <c r="G878" s="119"/>
      <c r="H878" s="119"/>
    </row>
    <row r="879" spans="3:8">
      <c r="C879" s="119"/>
      <c r="D879" s="119"/>
      <c r="E879" s="119"/>
      <c r="F879" s="119"/>
      <c r="G879" s="119"/>
      <c r="H879" s="119"/>
    </row>
    <row r="880" spans="3:8">
      <c r="C880" s="119"/>
      <c r="D880" s="119"/>
      <c r="E880" s="119"/>
      <c r="F880" s="119"/>
      <c r="G880" s="119"/>
      <c r="H880" s="119"/>
    </row>
    <row r="881" spans="3:8">
      <c r="C881" s="119"/>
      <c r="D881" s="119"/>
      <c r="E881" s="119"/>
      <c r="F881" s="119"/>
      <c r="G881" s="119"/>
      <c r="H881" s="119"/>
    </row>
    <row r="882" spans="3:8">
      <c r="C882" s="119"/>
      <c r="D882" s="119"/>
      <c r="E882" s="119"/>
      <c r="F882" s="119"/>
      <c r="G882" s="119"/>
      <c r="H882" s="119"/>
    </row>
    <row r="883" spans="3:8">
      <c r="C883" s="119"/>
      <c r="D883" s="119"/>
      <c r="E883" s="119"/>
      <c r="F883" s="119"/>
      <c r="G883" s="119"/>
      <c r="H883" s="119"/>
    </row>
    <row r="884" spans="3:8">
      <c r="C884" s="119"/>
      <c r="D884" s="119"/>
      <c r="E884" s="119"/>
      <c r="F884" s="119"/>
      <c r="G884" s="119"/>
      <c r="H884" s="119"/>
    </row>
    <row r="885" spans="3:8">
      <c r="C885" s="119"/>
      <c r="D885" s="119"/>
      <c r="E885" s="119"/>
      <c r="F885" s="119"/>
      <c r="G885" s="119"/>
      <c r="H885" s="119"/>
    </row>
    <row r="886" spans="3:8">
      <c r="C886" s="119"/>
      <c r="D886" s="119"/>
      <c r="E886" s="119"/>
      <c r="F886" s="119"/>
      <c r="G886" s="119"/>
      <c r="H886" s="119"/>
    </row>
    <row r="887" spans="3:8">
      <c r="C887" s="119"/>
      <c r="D887" s="119"/>
      <c r="E887" s="119"/>
      <c r="F887" s="119"/>
      <c r="G887" s="119"/>
      <c r="H887" s="119"/>
    </row>
    <row r="888" spans="3:8">
      <c r="C888" s="119"/>
      <c r="D888" s="119"/>
      <c r="E888" s="119"/>
      <c r="F888" s="119"/>
      <c r="G888" s="119"/>
      <c r="H888" s="119"/>
    </row>
    <row r="889" spans="3:8">
      <c r="C889" s="119"/>
      <c r="D889" s="119"/>
      <c r="E889" s="119"/>
      <c r="F889" s="119"/>
      <c r="G889" s="119"/>
      <c r="H889" s="119"/>
    </row>
    <row r="890" spans="3:8">
      <c r="C890" s="119"/>
      <c r="D890" s="119"/>
      <c r="E890" s="119"/>
      <c r="F890" s="119"/>
      <c r="G890" s="119"/>
      <c r="H890" s="119"/>
    </row>
    <row r="891" spans="3:8">
      <c r="C891" s="119"/>
      <c r="D891" s="119"/>
      <c r="E891" s="119"/>
      <c r="F891" s="119"/>
      <c r="G891" s="119"/>
      <c r="H891" s="119"/>
    </row>
    <row r="892" spans="3:8">
      <c r="C892" s="119"/>
      <c r="D892" s="119"/>
      <c r="E892" s="119"/>
      <c r="F892" s="119"/>
      <c r="G892" s="119"/>
      <c r="H892" s="119"/>
    </row>
    <row r="893" spans="3:8">
      <c r="C893" s="119"/>
      <c r="D893" s="119"/>
      <c r="E893" s="119"/>
      <c r="F893" s="119"/>
      <c r="G893" s="119"/>
      <c r="H893" s="119"/>
    </row>
    <row r="894" spans="3:8">
      <c r="C894" s="119"/>
      <c r="D894" s="119"/>
      <c r="E894" s="119"/>
      <c r="F894" s="119"/>
      <c r="G894" s="119"/>
      <c r="H894" s="119"/>
    </row>
    <row r="895" spans="3:8">
      <c r="C895" s="119"/>
      <c r="D895" s="119"/>
      <c r="E895" s="119"/>
      <c r="F895" s="119"/>
      <c r="G895" s="119"/>
      <c r="H895" s="119"/>
    </row>
    <row r="896" spans="3:8">
      <c r="C896" s="119"/>
      <c r="D896" s="119"/>
      <c r="E896" s="119"/>
      <c r="F896" s="119"/>
      <c r="G896" s="119"/>
      <c r="H896" s="119"/>
    </row>
    <row r="897" spans="3:8">
      <c r="C897" s="119"/>
      <c r="D897" s="119"/>
      <c r="E897" s="119"/>
      <c r="F897" s="119"/>
      <c r="G897" s="119"/>
      <c r="H897" s="119"/>
    </row>
    <row r="898" spans="3:8">
      <c r="C898" s="119"/>
      <c r="D898" s="119"/>
      <c r="E898" s="119"/>
      <c r="F898" s="119"/>
      <c r="G898" s="119"/>
      <c r="H898" s="119"/>
    </row>
    <row r="899" spans="3:8">
      <c r="C899" s="119"/>
      <c r="D899" s="119"/>
      <c r="E899" s="119"/>
      <c r="F899" s="119"/>
      <c r="G899" s="119"/>
      <c r="H899" s="119"/>
    </row>
    <row r="900" spans="3:8">
      <c r="C900" s="119"/>
      <c r="D900" s="119"/>
      <c r="E900" s="119"/>
      <c r="F900" s="119"/>
      <c r="G900" s="119"/>
      <c r="H900" s="119"/>
    </row>
    <row r="901" spans="3:8">
      <c r="C901" s="119"/>
      <c r="D901" s="119"/>
      <c r="E901" s="119"/>
      <c r="F901" s="119"/>
      <c r="G901" s="119"/>
      <c r="H901" s="119"/>
    </row>
    <row r="902" spans="3:8">
      <c r="C902" s="119"/>
      <c r="D902" s="119"/>
      <c r="E902" s="119"/>
      <c r="F902" s="119"/>
      <c r="G902" s="119"/>
      <c r="H902" s="119"/>
    </row>
    <row r="903" spans="3:8">
      <c r="C903" s="119"/>
      <c r="D903" s="119"/>
      <c r="E903" s="119"/>
      <c r="F903" s="119"/>
      <c r="G903" s="119"/>
      <c r="H903" s="119"/>
    </row>
    <row r="904" spans="3:8">
      <c r="C904" s="119"/>
      <c r="D904" s="119"/>
      <c r="E904" s="119"/>
      <c r="F904" s="119"/>
      <c r="G904" s="119"/>
      <c r="H904" s="119"/>
    </row>
    <row r="905" spans="3:8">
      <c r="C905" s="119"/>
      <c r="D905" s="119"/>
      <c r="E905" s="119"/>
      <c r="F905" s="119"/>
      <c r="G905" s="119"/>
      <c r="H905" s="119"/>
    </row>
    <row r="906" spans="3:8">
      <c r="C906" s="119"/>
      <c r="D906" s="119"/>
      <c r="E906" s="119"/>
      <c r="F906" s="119"/>
      <c r="G906" s="119"/>
      <c r="H906" s="119"/>
    </row>
    <row r="907" spans="3:8">
      <c r="C907" s="119"/>
      <c r="D907" s="119"/>
      <c r="E907" s="119"/>
      <c r="F907" s="119"/>
      <c r="G907" s="119"/>
      <c r="H907" s="119"/>
    </row>
    <row r="908" spans="3:8">
      <c r="C908" s="119"/>
      <c r="D908" s="119"/>
      <c r="E908" s="119"/>
      <c r="F908" s="119"/>
      <c r="G908" s="119"/>
      <c r="H908" s="119"/>
    </row>
    <row r="909" spans="3:8">
      <c r="C909" s="119"/>
      <c r="D909" s="119"/>
      <c r="E909" s="119"/>
      <c r="F909" s="119"/>
      <c r="G909" s="119"/>
      <c r="H909" s="119"/>
    </row>
    <row r="910" spans="3:8">
      <c r="C910" s="119"/>
      <c r="D910" s="119"/>
      <c r="E910" s="119"/>
      <c r="F910" s="119"/>
      <c r="G910" s="119"/>
      <c r="H910" s="119"/>
    </row>
    <row r="911" spans="3:8">
      <c r="C911" s="119"/>
      <c r="D911" s="119"/>
      <c r="E911" s="119"/>
      <c r="F911" s="119"/>
      <c r="G911" s="119"/>
      <c r="H911" s="119"/>
    </row>
    <row r="912" spans="3:8">
      <c r="C912" s="119"/>
      <c r="D912" s="119"/>
      <c r="E912" s="119"/>
      <c r="F912" s="119"/>
      <c r="G912" s="119"/>
      <c r="H912" s="119"/>
    </row>
    <row r="913" spans="3:8">
      <c r="C913" s="119"/>
      <c r="D913" s="119"/>
      <c r="E913" s="119"/>
      <c r="F913" s="119"/>
      <c r="G913" s="119"/>
      <c r="H913" s="119"/>
    </row>
    <row r="914" spans="3:8">
      <c r="C914" s="119"/>
      <c r="D914" s="119"/>
      <c r="E914" s="119"/>
      <c r="F914" s="119"/>
      <c r="G914" s="119"/>
      <c r="H914" s="119"/>
    </row>
    <row r="915" spans="3:8">
      <c r="C915" s="119"/>
      <c r="D915" s="119"/>
      <c r="E915" s="119"/>
      <c r="F915" s="119"/>
      <c r="G915" s="119"/>
      <c r="H915" s="119"/>
    </row>
    <row r="916" spans="3:8">
      <c r="C916" s="119"/>
      <c r="D916" s="119"/>
      <c r="E916" s="119"/>
      <c r="F916" s="119"/>
      <c r="G916" s="119"/>
      <c r="H916" s="119"/>
    </row>
    <row r="917" spans="3:8">
      <c r="C917" s="119"/>
      <c r="D917" s="119"/>
      <c r="E917" s="119"/>
      <c r="F917" s="119"/>
      <c r="G917" s="119"/>
      <c r="H917" s="119"/>
    </row>
    <row r="918" spans="3:8">
      <c r="C918" s="119"/>
      <c r="D918" s="119"/>
      <c r="E918" s="119"/>
      <c r="F918" s="119"/>
      <c r="G918" s="119"/>
      <c r="H918" s="119"/>
    </row>
    <row r="919" spans="3:8">
      <c r="C919" s="119"/>
      <c r="D919" s="119"/>
      <c r="E919" s="119"/>
      <c r="F919" s="119"/>
      <c r="G919" s="119"/>
      <c r="H919" s="119"/>
    </row>
    <row r="920" spans="3:8">
      <c r="C920" s="119"/>
      <c r="D920" s="119"/>
      <c r="E920" s="119"/>
      <c r="F920" s="119"/>
      <c r="G920" s="119"/>
      <c r="H920" s="119"/>
    </row>
    <row r="921" spans="3:8">
      <c r="C921" s="119"/>
      <c r="D921" s="119"/>
      <c r="E921" s="119"/>
      <c r="F921" s="119"/>
      <c r="G921" s="119"/>
      <c r="H921" s="119"/>
    </row>
    <row r="922" spans="3:8">
      <c r="C922" s="119"/>
      <c r="D922" s="119"/>
      <c r="E922" s="119"/>
      <c r="F922" s="119"/>
      <c r="G922" s="119"/>
      <c r="H922" s="119"/>
    </row>
    <row r="923" spans="3:8">
      <c r="C923" s="119"/>
      <c r="D923" s="119"/>
      <c r="E923" s="119"/>
      <c r="F923" s="119"/>
      <c r="G923" s="119"/>
      <c r="H923" s="119"/>
    </row>
    <row r="924" spans="3:8">
      <c r="C924" s="119"/>
      <c r="D924" s="119"/>
      <c r="E924" s="119"/>
      <c r="F924" s="119"/>
      <c r="G924" s="119"/>
      <c r="H924" s="119"/>
    </row>
    <row r="925" spans="3:8">
      <c r="C925" s="119"/>
      <c r="D925" s="119"/>
      <c r="E925" s="119"/>
      <c r="F925" s="119"/>
      <c r="G925" s="119"/>
      <c r="H925" s="119"/>
    </row>
    <row r="926" spans="3:8">
      <c r="C926" s="119"/>
      <c r="D926" s="119"/>
      <c r="E926" s="119"/>
      <c r="F926" s="119"/>
      <c r="G926" s="119"/>
      <c r="H926" s="119"/>
    </row>
    <row r="927" spans="3:8">
      <c r="C927" s="119"/>
      <c r="D927" s="119"/>
      <c r="E927" s="119"/>
      <c r="F927" s="119"/>
      <c r="G927" s="119"/>
      <c r="H927" s="119"/>
    </row>
    <row r="928" spans="3:8">
      <c r="C928" s="119"/>
      <c r="D928" s="119"/>
      <c r="E928" s="119"/>
      <c r="F928" s="119"/>
      <c r="G928" s="119"/>
      <c r="H928" s="119"/>
    </row>
    <row r="929" spans="3:8">
      <c r="C929" s="119"/>
      <c r="D929" s="119"/>
      <c r="E929" s="119"/>
      <c r="F929" s="119"/>
      <c r="G929" s="119"/>
      <c r="H929" s="119"/>
    </row>
    <row r="930" spans="3:8">
      <c r="C930" s="119"/>
      <c r="D930" s="119"/>
      <c r="E930" s="119"/>
      <c r="F930" s="119"/>
      <c r="G930" s="119"/>
      <c r="H930" s="119"/>
    </row>
    <row r="931" spans="3:8">
      <c r="C931" s="119"/>
      <c r="D931" s="119"/>
      <c r="E931" s="119"/>
      <c r="F931" s="119"/>
      <c r="G931" s="119"/>
      <c r="H931" s="119"/>
    </row>
    <row r="932" spans="3:8">
      <c r="C932" s="119"/>
      <c r="D932" s="119"/>
      <c r="E932" s="119"/>
      <c r="F932" s="119"/>
      <c r="G932" s="119"/>
      <c r="H932" s="119"/>
    </row>
    <row r="933" spans="3:8">
      <c r="C933" s="119"/>
      <c r="D933" s="119"/>
      <c r="E933" s="119"/>
      <c r="F933" s="119"/>
      <c r="G933" s="119"/>
      <c r="H933" s="119"/>
    </row>
    <row r="934" spans="3:8">
      <c r="C934" s="119"/>
      <c r="D934" s="119"/>
      <c r="E934" s="119"/>
      <c r="F934" s="119"/>
      <c r="G934" s="119"/>
      <c r="H934" s="119"/>
    </row>
    <row r="935" spans="3:8">
      <c r="C935" s="119"/>
      <c r="D935" s="119"/>
      <c r="E935" s="119"/>
      <c r="F935" s="119"/>
      <c r="G935" s="119"/>
      <c r="H935" s="119"/>
    </row>
    <row r="936" spans="3:8">
      <c r="C936" s="119"/>
      <c r="D936" s="119"/>
      <c r="E936" s="119"/>
      <c r="F936" s="119"/>
      <c r="G936" s="119"/>
      <c r="H936" s="119"/>
    </row>
    <row r="937" spans="3:8">
      <c r="C937" s="119"/>
      <c r="D937" s="119"/>
      <c r="E937" s="119"/>
      <c r="F937" s="119"/>
      <c r="G937" s="119"/>
      <c r="H937" s="119"/>
    </row>
    <row r="938" spans="3:8">
      <c r="C938" s="119"/>
      <c r="D938" s="119"/>
      <c r="E938" s="119"/>
      <c r="F938" s="119"/>
      <c r="G938" s="119"/>
      <c r="H938" s="119"/>
    </row>
    <row r="939" spans="3:8">
      <c r="C939" s="119"/>
      <c r="D939" s="119"/>
      <c r="E939" s="119"/>
      <c r="F939" s="119"/>
      <c r="G939" s="119"/>
      <c r="H939" s="119"/>
    </row>
    <row r="940" spans="3:8">
      <c r="C940" s="119"/>
      <c r="D940" s="119"/>
      <c r="E940" s="119"/>
      <c r="F940" s="119"/>
      <c r="G940" s="119"/>
      <c r="H940" s="119"/>
    </row>
    <row r="941" spans="3:8">
      <c r="C941" s="119"/>
      <c r="D941" s="119"/>
      <c r="E941" s="119"/>
      <c r="F941" s="119"/>
      <c r="G941" s="119"/>
      <c r="H941" s="119"/>
    </row>
    <row r="942" spans="3:8">
      <c r="C942" s="119"/>
      <c r="D942" s="119"/>
      <c r="E942" s="119"/>
      <c r="F942" s="119"/>
      <c r="G942" s="119"/>
      <c r="H942" s="119"/>
    </row>
    <row r="943" spans="3:8">
      <c r="C943" s="119"/>
      <c r="D943" s="119"/>
      <c r="E943" s="119"/>
      <c r="F943" s="119"/>
      <c r="G943" s="119"/>
      <c r="H943" s="119"/>
    </row>
    <row r="944" spans="3:8">
      <c r="C944" s="119"/>
      <c r="D944" s="119"/>
      <c r="E944" s="119"/>
      <c r="F944" s="119"/>
      <c r="G944" s="119"/>
      <c r="H944" s="119"/>
    </row>
    <row r="945" spans="3:8">
      <c r="C945" s="119"/>
      <c r="D945" s="119"/>
      <c r="E945" s="119"/>
      <c r="F945" s="119"/>
      <c r="G945" s="119"/>
      <c r="H945" s="119"/>
    </row>
    <row r="946" spans="3:8">
      <c r="C946" s="119"/>
      <c r="D946" s="119"/>
      <c r="E946" s="119"/>
      <c r="F946" s="119"/>
      <c r="G946" s="119"/>
      <c r="H946" s="119"/>
    </row>
    <row r="947" spans="3:8">
      <c r="C947" s="119"/>
      <c r="D947" s="119"/>
      <c r="E947" s="119"/>
      <c r="F947" s="119"/>
      <c r="G947" s="119"/>
      <c r="H947" s="119"/>
    </row>
    <row r="948" spans="3:8">
      <c r="C948" s="119"/>
      <c r="D948" s="119"/>
      <c r="E948" s="119"/>
      <c r="F948" s="119"/>
      <c r="G948" s="119"/>
      <c r="H948" s="119"/>
    </row>
    <row r="949" spans="3:8">
      <c r="C949" s="119"/>
      <c r="D949" s="119"/>
      <c r="E949" s="119"/>
      <c r="F949" s="119"/>
      <c r="G949" s="119"/>
      <c r="H949" s="119"/>
    </row>
    <row r="950" spans="3:8">
      <c r="C950" s="119"/>
      <c r="D950" s="119"/>
      <c r="E950" s="119"/>
      <c r="F950" s="119"/>
      <c r="G950" s="119"/>
      <c r="H950" s="119"/>
    </row>
    <row r="951" spans="3:8">
      <c r="C951" s="119"/>
      <c r="D951" s="119"/>
      <c r="E951" s="119"/>
      <c r="F951" s="119"/>
      <c r="G951" s="119"/>
      <c r="H951" s="119"/>
    </row>
    <row r="952" spans="3:8">
      <c r="C952" s="119"/>
      <c r="D952" s="119"/>
      <c r="E952" s="119"/>
      <c r="F952" s="119"/>
      <c r="G952" s="119"/>
      <c r="H952" s="119"/>
    </row>
    <row r="953" spans="3:8">
      <c r="C953" s="119"/>
      <c r="D953" s="119"/>
      <c r="E953" s="119"/>
      <c r="F953" s="119"/>
      <c r="G953" s="119"/>
      <c r="H953" s="119"/>
    </row>
    <row r="954" spans="3:8">
      <c r="C954" s="119"/>
      <c r="D954" s="119"/>
      <c r="E954" s="119"/>
      <c r="F954" s="119"/>
      <c r="G954" s="119"/>
      <c r="H954" s="119"/>
    </row>
    <row r="955" spans="3:8">
      <c r="C955" s="119"/>
      <c r="D955" s="119"/>
      <c r="E955" s="119"/>
      <c r="F955" s="119"/>
      <c r="G955" s="119"/>
      <c r="H955" s="119"/>
    </row>
    <row r="956" spans="3:8">
      <c r="C956" s="119"/>
      <c r="D956" s="119"/>
      <c r="E956" s="119"/>
      <c r="F956" s="119"/>
      <c r="G956" s="119"/>
      <c r="H956" s="119"/>
    </row>
    <row r="957" spans="3:8">
      <c r="C957" s="119"/>
      <c r="D957" s="119"/>
      <c r="E957" s="119"/>
      <c r="F957" s="119"/>
      <c r="G957" s="119"/>
      <c r="H957" s="119"/>
    </row>
    <row r="958" spans="3:8">
      <c r="C958" s="119"/>
      <c r="D958" s="119"/>
      <c r="E958" s="119"/>
      <c r="F958" s="119"/>
      <c r="G958" s="119"/>
      <c r="H958" s="119"/>
    </row>
    <row r="959" spans="3:8">
      <c r="C959" s="119"/>
      <c r="D959" s="119"/>
      <c r="E959" s="119"/>
      <c r="F959" s="119"/>
      <c r="G959" s="119"/>
      <c r="H959" s="119"/>
    </row>
    <row r="960" spans="3:8">
      <c r="C960" s="119"/>
      <c r="D960" s="119"/>
      <c r="E960" s="119"/>
      <c r="F960" s="119"/>
      <c r="G960" s="119"/>
      <c r="H960" s="119"/>
    </row>
    <row r="961" spans="3:8">
      <c r="C961" s="119"/>
      <c r="D961" s="119"/>
      <c r="E961" s="119"/>
      <c r="F961" s="119"/>
      <c r="G961" s="119"/>
      <c r="H961" s="119"/>
    </row>
    <row r="962" spans="3:8">
      <c r="C962" s="119"/>
      <c r="D962" s="119"/>
      <c r="E962" s="119"/>
      <c r="F962" s="119"/>
      <c r="G962" s="119"/>
      <c r="H962" s="119"/>
    </row>
    <row r="963" spans="3:8">
      <c r="C963" s="119"/>
      <c r="D963" s="119"/>
      <c r="E963" s="119"/>
      <c r="F963" s="119"/>
      <c r="G963" s="119"/>
      <c r="H963" s="119"/>
    </row>
    <row r="964" spans="3:8">
      <c r="C964" s="119"/>
      <c r="D964" s="119"/>
      <c r="E964" s="119"/>
      <c r="F964" s="119"/>
      <c r="G964" s="119"/>
      <c r="H964" s="119"/>
    </row>
    <row r="965" spans="3:8">
      <c r="C965" s="119"/>
      <c r="D965" s="119"/>
      <c r="E965" s="119"/>
      <c r="F965" s="119"/>
      <c r="G965" s="119"/>
      <c r="H965" s="119"/>
    </row>
    <row r="966" spans="3:8">
      <c r="C966" s="119"/>
      <c r="D966" s="119"/>
      <c r="E966" s="119"/>
      <c r="F966" s="119"/>
      <c r="G966" s="119"/>
      <c r="H966" s="119"/>
    </row>
    <row r="967" spans="3:8">
      <c r="C967" s="119"/>
      <c r="D967" s="119"/>
      <c r="E967" s="119"/>
      <c r="F967" s="119"/>
      <c r="G967" s="119"/>
      <c r="H967" s="119"/>
    </row>
    <row r="968" spans="3:8">
      <c r="C968" s="119"/>
      <c r="D968" s="119"/>
      <c r="E968" s="119"/>
      <c r="F968" s="119"/>
      <c r="G968" s="119"/>
      <c r="H968" s="119"/>
    </row>
    <row r="969" spans="3:8">
      <c r="C969" s="119"/>
      <c r="D969" s="119"/>
      <c r="E969" s="119"/>
      <c r="F969" s="119"/>
      <c r="G969" s="119"/>
      <c r="H969" s="119"/>
    </row>
    <row r="970" spans="3:8">
      <c r="C970" s="119"/>
      <c r="D970" s="119"/>
      <c r="E970" s="119"/>
      <c r="F970" s="119"/>
      <c r="G970" s="119"/>
      <c r="H970" s="119"/>
    </row>
    <row r="971" spans="3:8">
      <c r="C971" s="119"/>
      <c r="D971" s="119"/>
      <c r="E971" s="119"/>
      <c r="F971" s="119"/>
      <c r="G971" s="119"/>
      <c r="H971" s="119"/>
    </row>
    <row r="972" spans="3:8">
      <c r="C972" s="119"/>
      <c r="D972" s="119"/>
      <c r="E972" s="119"/>
      <c r="F972" s="119"/>
      <c r="G972" s="119"/>
      <c r="H972" s="119"/>
    </row>
    <row r="973" spans="3:8">
      <c r="C973" s="119"/>
      <c r="D973" s="119"/>
      <c r="E973" s="119"/>
      <c r="F973" s="119"/>
      <c r="G973" s="119"/>
      <c r="H973" s="119"/>
    </row>
    <row r="974" spans="3:8">
      <c r="C974" s="119"/>
      <c r="D974" s="119"/>
      <c r="E974" s="119"/>
      <c r="F974" s="119"/>
      <c r="G974" s="119"/>
      <c r="H974" s="119"/>
    </row>
    <row r="975" spans="3:8">
      <c r="C975" s="119"/>
      <c r="D975" s="119"/>
      <c r="E975" s="119"/>
      <c r="F975" s="119"/>
      <c r="G975" s="119"/>
      <c r="H975" s="119"/>
    </row>
    <row r="976" spans="3:8">
      <c r="C976" s="119"/>
      <c r="D976" s="119"/>
      <c r="E976" s="119"/>
      <c r="F976" s="119"/>
      <c r="G976" s="119"/>
      <c r="H976" s="119"/>
    </row>
    <row r="977" spans="3:8">
      <c r="C977" s="119"/>
      <c r="D977" s="119"/>
      <c r="E977" s="119"/>
      <c r="F977" s="119"/>
      <c r="G977" s="119"/>
      <c r="H977" s="119"/>
    </row>
    <row r="978" spans="3:8">
      <c r="C978" s="119"/>
      <c r="D978" s="119"/>
      <c r="E978" s="119"/>
      <c r="F978" s="119"/>
      <c r="G978" s="119"/>
      <c r="H978" s="119"/>
    </row>
    <row r="979" spans="3:8">
      <c r="C979" s="119"/>
      <c r="D979" s="119"/>
      <c r="E979" s="119"/>
      <c r="F979" s="119"/>
      <c r="G979" s="119"/>
      <c r="H979" s="119"/>
    </row>
    <row r="980" spans="3:8">
      <c r="C980" s="119"/>
      <c r="D980" s="119"/>
      <c r="E980" s="119"/>
      <c r="F980" s="119"/>
      <c r="G980" s="119"/>
      <c r="H980" s="119"/>
    </row>
    <row r="981" spans="3:8">
      <c r="C981" s="119"/>
      <c r="D981" s="119"/>
      <c r="E981" s="119"/>
      <c r="F981" s="119"/>
      <c r="G981" s="119"/>
      <c r="H981" s="119"/>
    </row>
    <row r="982" spans="3:8">
      <c r="C982" s="119"/>
      <c r="D982" s="119"/>
      <c r="E982" s="119"/>
      <c r="F982" s="119"/>
      <c r="G982" s="119"/>
      <c r="H982" s="119"/>
    </row>
    <row r="983" spans="3:8">
      <c r="C983" s="119"/>
      <c r="D983" s="119"/>
      <c r="E983" s="119"/>
      <c r="F983" s="119"/>
      <c r="G983" s="119"/>
      <c r="H983" s="119"/>
    </row>
    <row r="984" spans="3:8">
      <c r="C984" s="119"/>
      <c r="D984" s="119"/>
      <c r="E984" s="119"/>
      <c r="F984" s="119"/>
      <c r="G984" s="119"/>
      <c r="H984" s="119"/>
    </row>
    <row r="985" spans="3:8">
      <c r="C985" s="119"/>
      <c r="D985" s="119"/>
      <c r="E985" s="119"/>
      <c r="F985" s="119"/>
      <c r="G985" s="119"/>
      <c r="H985" s="119"/>
    </row>
    <row r="986" spans="3:8">
      <c r="C986" s="119"/>
      <c r="D986" s="119"/>
      <c r="E986" s="119"/>
      <c r="F986" s="119"/>
      <c r="G986" s="119"/>
      <c r="H986" s="119"/>
    </row>
    <row r="987" spans="3:8">
      <c r="C987" s="119"/>
      <c r="D987" s="119"/>
      <c r="E987" s="119"/>
      <c r="F987" s="119"/>
      <c r="G987" s="119"/>
      <c r="H987" s="119"/>
    </row>
    <row r="988" spans="3:8">
      <c r="C988" s="119"/>
      <c r="D988" s="119"/>
      <c r="E988" s="119"/>
      <c r="F988" s="119"/>
      <c r="G988" s="119"/>
      <c r="H988" s="119"/>
    </row>
    <row r="989" spans="3:8">
      <c r="C989" s="119"/>
      <c r="D989" s="119"/>
      <c r="E989" s="119"/>
      <c r="F989" s="119"/>
      <c r="G989" s="119"/>
      <c r="H989" s="119"/>
    </row>
    <row r="990" spans="3:8">
      <c r="C990" s="119"/>
      <c r="D990" s="119"/>
      <c r="E990" s="119"/>
      <c r="F990" s="119"/>
      <c r="G990" s="119"/>
      <c r="H990" s="119"/>
    </row>
    <row r="991" spans="3:8">
      <c r="C991" s="119"/>
      <c r="D991" s="119"/>
      <c r="E991" s="119"/>
      <c r="F991" s="119"/>
      <c r="G991" s="119"/>
      <c r="H991" s="119"/>
    </row>
    <row r="992" spans="3:8">
      <c r="C992" s="119"/>
      <c r="D992" s="119"/>
      <c r="E992" s="119"/>
      <c r="F992" s="119"/>
      <c r="G992" s="119"/>
      <c r="H992" s="119"/>
    </row>
    <row r="993" spans="3:8">
      <c r="C993" s="119"/>
      <c r="D993" s="119"/>
      <c r="E993" s="119"/>
      <c r="F993" s="119"/>
      <c r="G993" s="119"/>
      <c r="H993" s="119"/>
    </row>
    <row r="994" spans="3:8">
      <c r="C994" s="119"/>
      <c r="D994" s="119"/>
      <c r="E994" s="119"/>
      <c r="F994" s="119"/>
      <c r="G994" s="119"/>
      <c r="H994" s="119"/>
    </row>
    <row r="995" spans="3:8">
      <c r="C995" s="119"/>
      <c r="D995" s="119"/>
      <c r="E995" s="119"/>
      <c r="F995" s="119"/>
      <c r="G995" s="119"/>
      <c r="H995" s="119"/>
    </row>
    <row r="996" spans="3:8">
      <c r="C996" s="119"/>
      <c r="D996" s="119"/>
      <c r="E996" s="119"/>
      <c r="F996" s="119"/>
      <c r="G996" s="119"/>
      <c r="H996" s="119"/>
    </row>
    <row r="997" spans="3:8">
      <c r="C997" s="119"/>
      <c r="D997" s="119"/>
      <c r="E997" s="119"/>
      <c r="F997" s="119"/>
      <c r="G997" s="119"/>
      <c r="H997" s="119"/>
    </row>
    <row r="998" spans="3:8">
      <c r="C998" s="119"/>
      <c r="D998" s="119"/>
      <c r="E998" s="119"/>
      <c r="F998" s="119"/>
      <c r="G998" s="119"/>
      <c r="H998" s="119"/>
    </row>
    <row r="999" spans="3:8">
      <c r="C999" s="119"/>
      <c r="D999" s="119"/>
      <c r="E999" s="119"/>
      <c r="F999" s="119"/>
      <c r="G999" s="119"/>
      <c r="H999" s="119"/>
    </row>
    <row r="1000" spans="3:8">
      <c r="C1000" s="119"/>
      <c r="D1000" s="119"/>
      <c r="E1000" s="119"/>
      <c r="F1000" s="119"/>
      <c r="G1000" s="119"/>
      <c r="H1000" s="119"/>
    </row>
    <row r="1001" spans="3:8">
      <c r="C1001" s="119"/>
      <c r="D1001" s="119"/>
      <c r="E1001" s="119"/>
      <c r="F1001" s="119"/>
      <c r="G1001" s="119"/>
      <c r="H1001" s="119"/>
    </row>
    <row r="1002" spans="3:8">
      <c r="C1002" s="119"/>
      <c r="D1002" s="119"/>
      <c r="E1002" s="119"/>
      <c r="F1002" s="119"/>
      <c r="G1002" s="119"/>
      <c r="H1002" s="119"/>
    </row>
    <row r="1003" spans="3:8">
      <c r="C1003" s="119"/>
      <c r="D1003" s="119"/>
      <c r="E1003" s="119"/>
      <c r="F1003" s="119"/>
      <c r="G1003" s="119"/>
      <c r="H1003" s="119"/>
    </row>
    <row r="1004" spans="3:8">
      <c r="C1004" s="119"/>
      <c r="D1004" s="119"/>
      <c r="E1004" s="119"/>
      <c r="F1004" s="119"/>
      <c r="G1004" s="119"/>
      <c r="H1004" s="119"/>
    </row>
    <row r="1005" spans="3:8">
      <c r="C1005" s="119"/>
      <c r="D1005" s="119"/>
      <c r="E1005" s="119"/>
      <c r="F1005" s="119"/>
      <c r="G1005" s="119"/>
      <c r="H1005" s="119"/>
    </row>
    <row r="1006" spans="3:8">
      <c r="C1006" s="119"/>
      <c r="D1006" s="119"/>
      <c r="E1006" s="119"/>
      <c r="F1006" s="119"/>
      <c r="G1006" s="119"/>
      <c r="H1006" s="119"/>
    </row>
    <row r="1007" spans="3:8">
      <c r="C1007" s="119"/>
      <c r="D1007" s="119"/>
      <c r="E1007" s="119"/>
      <c r="F1007" s="119"/>
      <c r="G1007" s="119"/>
      <c r="H1007" s="119"/>
    </row>
    <row r="1008" spans="3:8">
      <c r="C1008" s="119"/>
      <c r="D1008" s="119"/>
      <c r="E1008" s="119"/>
      <c r="F1008" s="119"/>
      <c r="G1008" s="119"/>
      <c r="H1008" s="119"/>
    </row>
    <row r="1009" spans="3:8">
      <c r="C1009" s="119"/>
      <c r="D1009" s="119"/>
      <c r="E1009" s="119"/>
      <c r="F1009" s="119"/>
      <c r="G1009" s="119"/>
      <c r="H1009" s="119"/>
    </row>
    <row r="1010" spans="3:8">
      <c r="C1010" s="119"/>
      <c r="D1010" s="119"/>
      <c r="E1010" s="119"/>
      <c r="F1010" s="119"/>
      <c r="G1010" s="119"/>
      <c r="H1010" s="119"/>
    </row>
    <row r="1011" spans="3:8">
      <c r="C1011" s="119"/>
      <c r="D1011" s="119"/>
      <c r="E1011" s="119"/>
      <c r="F1011" s="119"/>
      <c r="G1011" s="119"/>
      <c r="H1011" s="119"/>
    </row>
    <row r="1012" spans="3:8">
      <c r="C1012" s="119"/>
      <c r="D1012" s="119"/>
      <c r="E1012" s="119"/>
      <c r="F1012" s="119"/>
      <c r="G1012" s="119"/>
      <c r="H1012" s="119"/>
    </row>
    <row r="1013" spans="3:8">
      <c r="C1013" s="119"/>
      <c r="D1013" s="119"/>
      <c r="E1013" s="119"/>
      <c r="F1013" s="119"/>
      <c r="G1013" s="119"/>
      <c r="H1013" s="119"/>
    </row>
    <row r="1014" spans="3:8">
      <c r="C1014" s="119"/>
      <c r="D1014" s="119"/>
      <c r="E1014" s="119"/>
      <c r="F1014" s="119"/>
      <c r="G1014" s="119"/>
      <c r="H1014" s="119"/>
    </row>
    <row r="1015" spans="3:8">
      <c r="C1015" s="119"/>
      <c r="D1015" s="119"/>
      <c r="E1015" s="119"/>
      <c r="F1015" s="119"/>
      <c r="G1015" s="119"/>
      <c r="H1015" s="119"/>
    </row>
    <row r="1016" spans="3:8">
      <c r="C1016" s="119"/>
      <c r="D1016" s="119"/>
      <c r="E1016" s="119"/>
      <c r="F1016" s="119"/>
      <c r="G1016" s="119"/>
      <c r="H1016" s="119"/>
    </row>
    <row r="1017" spans="3:8">
      <c r="C1017" s="119"/>
      <c r="D1017" s="119"/>
      <c r="E1017" s="119"/>
      <c r="F1017" s="119"/>
      <c r="G1017" s="119"/>
      <c r="H1017" s="119"/>
    </row>
    <row r="1018" spans="3:8">
      <c r="C1018" s="119"/>
      <c r="D1018" s="119"/>
      <c r="E1018" s="119"/>
      <c r="F1018" s="119"/>
      <c r="G1018" s="119"/>
      <c r="H1018" s="119"/>
    </row>
    <row r="1019" spans="3:8">
      <c r="C1019" s="119"/>
      <c r="D1019" s="119"/>
      <c r="E1019" s="119"/>
      <c r="F1019" s="119"/>
      <c r="G1019" s="119"/>
      <c r="H1019" s="119"/>
    </row>
    <row r="1020" spans="3:8">
      <c r="C1020" s="119"/>
      <c r="D1020" s="119"/>
      <c r="E1020" s="119"/>
      <c r="F1020" s="119"/>
      <c r="G1020" s="119"/>
      <c r="H1020" s="119"/>
    </row>
    <row r="1021" spans="3:8">
      <c r="C1021" s="119"/>
      <c r="D1021" s="119"/>
      <c r="E1021" s="119"/>
      <c r="F1021" s="119"/>
      <c r="G1021" s="119"/>
      <c r="H1021" s="119"/>
    </row>
    <row r="1022" spans="3:8">
      <c r="C1022" s="119"/>
      <c r="D1022" s="119"/>
      <c r="E1022" s="119"/>
      <c r="F1022" s="119"/>
      <c r="G1022" s="119"/>
      <c r="H1022" s="119"/>
    </row>
    <row r="1023" spans="3:8">
      <c r="C1023" s="119"/>
      <c r="D1023" s="119"/>
      <c r="E1023" s="119"/>
      <c r="F1023" s="119"/>
      <c r="G1023" s="119"/>
      <c r="H1023" s="119"/>
    </row>
    <row r="1024" spans="3:8">
      <c r="C1024" s="119"/>
      <c r="D1024" s="119"/>
      <c r="E1024" s="119"/>
      <c r="F1024" s="119"/>
      <c r="G1024" s="119"/>
      <c r="H1024" s="119"/>
    </row>
    <row r="1025" spans="3:8">
      <c r="C1025" s="119"/>
      <c r="D1025" s="119"/>
      <c r="E1025" s="119"/>
      <c r="F1025" s="119"/>
      <c r="G1025" s="119"/>
      <c r="H1025" s="119"/>
    </row>
    <row r="1026" spans="3:8">
      <c r="C1026" s="119"/>
      <c r="D1026" s="119"/>
      <c r="E1026" s="119"/>
      <c r="F1026" s="119"/>
      <c r="G1026" s="119"/>
      <c r="H1026" s="119"/>
    </row>
    <row r="1027" spans="3:8">
      <c r="C1027" s="119"/>
      <c r="D1027" s="119"/>
      <c r="E1027" s="119"/>
      <c r="F1027" s="119"/>
      <c r="G1027" s="119"/>
      <c r="H1027" s="119"/>
    </row>
    <row r="1028" spans="3:8">
      <c r="C1028" s="119"/>
      <c r="D1028" s="119"/>
      <c r="E1028" s="119"/>
      <c r="F1028" s="119"/>
      <c r="G1028" s="119"/>
      <c r="H1028" s="119"/>
    </row>
    <row r="1029" spans="3:8">
      <c r="C1029" s="119"/>
      <c r="D1029" s="119"/>
      <c r="E1029" s="119"/>
      <c r="F1029" s="119"/>
      <c r="G1029" s="119"/>
      <c r="H1029" s="119"/>
    </row>
    <row r="1030" spans="3:8">
      <c r="C1030" s="119"/>
      <c r="D1030" s="119"/>
      <c r="E1030" s="119"/>
      <c r="F1030" s="119"/>
      <c r="G1030" s="119"/>
      <c r="H1030" s="119"/>
    </row>
    <row r="1031" spans="3:8">
      <c r="C1031" s="119"/>
      <c r="D1031" s="119"/>
      <c r="E1031" s="119"/>
      <c r="F1031" s="119"/>
      <c r="G1031" s="119"/>
      <c r="H1031" s="119"/>
    </row>
    <row r="1032" spans="3:8">
      <c r="C1032" s="119"/>
      <c r="D1032" s="119"/>
      <c r="E1032" s="119"/>
      <c r="F1032" s="119"/>
      <c r="G1032" s="119"/>
      <c r="H1032" s="119"/>
    </row>
    <row r="1033" spans="3:8">
      <c r="C1033" s="119"/>
      <c r="D1033" s="119"/>
      <c r="E1033" s="119"/>
      <c r="F1033" s="119"/>
      <c r="G1033" s="119"/>
      <c r="H1033" s="119"/>
    </row>
    <row r="1034" spans="3:8">
      <c r="C1034" s="119"/>
      <c r="D1034" s="119"/>
      <c r="E1034" s="119"/>
      <c r="F1034" s="119"/>
      <c r="G1034" s="119"/>
      <c r="H1034" s="119"/>
    </row>
    <row r="1035" spans="3:8">
      <c r="C1035" s="119"/>
      <c r="D1035" s="119"/>
      <c r="E1035" s="119"/>
      <c r="F1035" s="119"/>
      <c r="G1035" s="119"/>
      <c r="H1035" s="119"/>
    </row>
    <row r="1036" spans="3:8">
      <c r="C1036" s="119"/>
      <c r="D1036" s="119"/>
      <c r="E1036" s="119"/>
      <c r="F1036" s="119"/>
      <c r="G1036" s="119"/>
      <c r="H1036" s="119"/>
    </row>
    <row r="1037" spans="3:8">
      <c r="C1037" s="119"/>
      <c r="D1037" s="119"/>
      <c r="E1037" s="119"/>
      <c r="F1037" s="119"/>
      <c r="G1037" s="119"/>
      <c r="H1037" s="119"/>
    </row>
    <row r="1038" spans="3:8">
      <c r="C1038" s="119"/>
      <c r="D1038" s="119"/>
      <c r="E1038" s="119"/>
      <c r="F1038" s="119"/>
      <c r="G1038" s="119"/>
      <c r="H1038" s="119"/>
    </row>
    <row r="1039" spans="3:8">
      <c r="C1039" s="119"/>
      <c r="D1039" s="119"/>
      <c r="E1039" s="119"/>
      <c r="F1039" s="119"/>
      <c r="G1039" s="119"/>
      <c r="H1039" s="119"/>
    </row>
    <row r="1040" spans="3:8">
      <c r="C1040" s="119"/>
      <c r="D1040" s="119"/>
      <c r="E1040" s="119"/>
      <c r="F1040" s="119"/>
      <c r="G1040" s="119"/>
      <c r="H1040" s="119"/>
    </row>
    <row r="1041" spans="3:8">
      <c r="C1041" s="119"/>
      <c r="D1041" s="119"/>
      <c r="E1041" s="119"/>
      <c r="F1041" s="119"/>
      <c r="G1041" s="119"/>
      <c r="H1041" s="119"/>
    </row>
    <row r="1042" spans="3:8">
      <c r="C1042" s="119"/>
      <c r="D1042" s="119"/>
      <c r="E1042" s="119"/>
      <c r="F1042" s="119"/>
      <c r="G1042" s="119"/>
      <c r="H1042" s="119"/>
    </row>
    <row r="1043" spans="3:8">
      <c r="C1043" s="119"/>
      <c r="D1043" s="119"/>
      <c r="E1043" s="119"/>
      <c r="F1043" s="119"/>
      <c r="G1043" s="119"/>
      <c r="H1043" s="119"/>
    </row>
    <row r="1044" spans="3:8">
      <c r="C1044" s="119"/>
      <c r="D1044" s="119"/>
      <c r="E1044" s="119"/>
      <c r="F1044" s="119"/>
      <c r="G1044" s="119"/>
      <c r="H1044" s="119"/>
    </row>
    <row r="1045" spans="3:8">
      <c r="C1045" s="119"/>
      <c r="D1045" s="119"/>
      <c r="E1045" s="119"/>
      <c r="F1045" s="119"/>
      <c r="G1045" s="119"/>
      <c r="H1045" s="119"/>
    </row>
    <row r="1046" spans="3:8">
      <c r="C1046" s="119"/>
      <c r="D1046" s="119"/>
      <c r="E1046" s="119"/>
      <c r="F1046" s="119"/>
      <c r="G1046" s="119"/>
      <c r="H1046" s="119"/>
    </row>
    <row r="1047" spans="3:8">
      <c r="C1047" s="119"/>
      <c r="D1047" s="119"/>
      <c r="E1047" s="119"/>
      <c r="F1047" s="119"/>
      <c r="G1047" s="119"/>
      <c r="H1047" s="119"/>
    </row>
    <row r="1048" spans="3:8">
      <c r="C1048" s="119"/>
      <c r="D1048" s="119"/>
      <c r="E1048" s="119"/>
      <c r="F1048" s="119"/>
      <c r="G1048" s="119"/>
      <c r="H1048" s="119"/>
    </row>
    <row r="1049" spans="3:8">
      <c r="C1049" s="119"/>
      <c r="D1049" s="119"/>
      <c r="E1049" s="119"/>
      <c r="F1049" s="119"/>
      <c r="G1049" s="119"/>
      <c r="H1049" s="119"/>
    </row>
    <row r="1050" spans="3:8">
      <c r="C1050" s="119"/>
      <c r="D1050" s="119"/>
      <c r="E1050" s="119"/>
      <c r="F1050" s="119"/>
      <c r="G1050" s="119"/>
      <c r="H1050" s="119"/>
    </row>
    <row r="1051" spans="3:8">
      <c r="C1051" s="119"/>
      <c r="D1051" s="119"/>
      <c r="E1051" s="119"/>
      <c r="F1051" s="119"/>
      <c r="G1051" s="119"/>
      <c r="H1051" s="119"/>
    </row>
    <row r="1052" spans="3:8">
      <c r="C1052" s="119"/>
      <c r="D1052" s="119"/>
      <c r="E1052" s="119"/>
      <c r="F1052" s="119"/>
      <c r="G1052" s="119"/>
      <c r="H1052" s="119"/>
    </row>
    <row r="1053" spans="3:8">
      <c r="C1053" s="119"/>
      <c r="D1053" s="119"/>
      <c r="E1053" s="119"/>
      <c r="F1053" s="119"/>
      <c r="G1053" s="119"/>
      <c r="H1053" s="119"/>
    </row>
    <row r="1054" spans="3:8">
      <c r="C1054" s="119"/>
      <c r="D1054" s="119"/>
      <c r="E1054" s="119"/>
      <c r="F1054" s="119"/>
      <c r="G1054" s="119"/>
      <c r="H1054" s="119"/>
    </row>
    <row r="1055" spans="3:8">
      <c r="C1055" s="119"/>
      <c r="D1055" s="119"/>
      <c r="E1055" s="119"/>
      <c r="F1055" s="119"/>
      <c r="G1055" s="119"/>
      <c r="H1055" s="119"/>
    </row>
    <row r="1056" spans="3:8">
      <c r="C1056" s="119"/>
      <c r="D1056" s="119"/>
      <c r="E1056" s="119"/>
      <c r="F1056" s="119"/>
      <c r="G1056" s="119"/>
      <c r="H1056" s="119"/>
    </row>
    <row r="1057" spans="3:8">
      <c r="C1057" s="119"/>
      <c r="D1057" s="119"/>
      <c r="E1057" s="119"/>
      <c r="F1057" s="119"/>
      <c r="G1057" s="119"/>
      <c r="H1057" s="119"/>
    </row>
    <row r="1058" spans="3:8">
      <c r="C1058" s="119"/>
      <c r="D1058" s="119"/>
      <c r="E1058" s="119"/>
      <c r="F1058" s="119"/>
      <c r="G1058" s="119"/>
      <c r="H1058" s="119"/>
    </row>
    <row r="1059" spans="3:8">
      <c r="C1059" s="119"/>
      <c r="D1059" s="119"/>
      <c r="E1059" s="119"/>
      <c r="F1059" s="119"/>
      <c r="G1059" s="119"/>
      <c r="H1059" s="119"/>
    </row>
    <row r="1060" spans="3:8">
      <c r="C1060" s="119"/>
      <c r="D1060" s="119"/>
      <c r="E1060" s="119"/>
      <c r="F1060" s="119"/>
      <c r="G1060" s="119"/>
      <c r="H1060" s="119"/>
    </row>
    <row r="1061" spans="3:8">
      <c r="C1061" s="119"/>
      <c r="D1061" s="119"/>
      <c r="E1061" s="119"/>
      <c r="F1061" s="119"/>
      <c r="G1061" s="119"/>
      <c r="H1061" s="119"/>
    </row>
    <row r="1062" spans="3:8">
      <c r="C1062" s="119"/>
      <c r="D1062" s="119"/>
      <c r="E1062" s="119"/>
      <c r="F1062" s="119"/>
      <c r="G1062" s="119"/>
      <c r="H1062" s="119"/>
    </row>
    <row r="1063" spans="3:8">
      <c r="C1063" s="119"/>
      <c r="D1063" s="119"/>
      <c r="E1063" s="119"/>
      <c r="F1063" s="119"/>
      <c r="G1063" s="119"/>
      <c r="H1063" s="119"/>
    </row>
    <row r="1064" spans="3:8">
      <c r="C1064" s="119"/>
      <c r="D1064" s="119"/>
      <c r="E1064" s="119"/>
      <c r="F1064" s="119"/>
      <c r="G1064" s="119"/>
      <c r="H1064" s="119"/>
    </row>
    <row r="1065" spans="3:8">
      <c r="C1065" s="119"/>
      <c r="D1065" s="119"/>
      <c r="E1065" s="119"/>
      <c r="F1065" s="119"/>
      <c r="G1065" s="119"/>
      <c r="H1065" s="119"/>
    </row>
    <row r="1066" spans="3:8">
      <c r="C1066" s="119"/>
      <c r="D1066" s="119"/>
      <c r="E1066" s="119"/>
      <c r="F1066" s="119"/>
      <c r="G1066" s="119"/>
      <c r="H1066" s="119"/>
    </row>
    <row r="1067" spans="3:8">
      <c r="C1067" s="119"/>
      <c r="D1067" s="119"/>
      <c r="E1067" s="119"/>
      <c r="F1067" s="119"/>
      <c r="G1067" s="119"/>
      <c r="H1067" s="119"/>
    </row>
    <row r="1068" spans="3:8">
      <c r="C1068" s="119"/>
      <c r="D1068" s="119"/>
      <c r="E1068" s="119"/>
      <c r="F1068" s="119"/>
      <c r="G1068" s="119"/>
      <c r="H1068" s="119"/>
    </row>
    <row r="1069" spans="3:8">
      <c r="C1069" s="119"/>
      <c r="D1069" s="119"/>
      <c r="E1069" s="119"/>
      <c r="F1069" s="119"/>
      <c r="G1069" s="119"/>
      <c r="H1069" s="119"/>
    </row>
    <row r="1070" spans="3:8">
      <c r="C1070" s="119"/>
      <c r="D1070" s="119"/>
      <c r="E1070" s="119"/>
      <c r="F1070" s="119"/>
      <c r="G1070" s="119"/>
      <c r="H1070" s="119"/>
    </row>
    <row r="1071" spans="3:8">
      <c r="C1071" s="119"/>
      <c r="D1071" s="119"/>
      <c r="E1071" s="119"/>
      <c r="F1071" s="119"/>
      <c r="G1071" s="119"/>
      <c r="H1071" s="119"/>
    </row>
    <row r="1072" spans="3:8">
      <c r="C1072" s="119"/>
      <c r="D1072" s="119"/>
      <c r="E1072" s="119"/>
      <c r="F1072" s="119"/>
      <c r="G1072" s="119"/>
      <c r="H1072" s="119"/>
    </row>
    <row r="1073" spans="3:8">
      <c r="C1073" s="119"/>
      <c r="D1073" s="119"/>
      <c r="E1073" s="119"/>
      <c r="F1073" s="119"/>
      <c r="G1073" s="119"/>
      <c r="H1073" s="119"/>
    </row>
    <row r="1074" spans="3:8">
      <c r="C1074" s="119"/>
      <c r="D1074" s="119"/>
      <c r="E1074" s="119"/>
      <c r="F1074" s="119"/>
      <c r="G1074" s="119"/>
      <c r="H1074" s="119"/>
    </row>
    <row r="1075" spans="3:8">
      <c r="C1075" s="119"/>
      <c r="D1075" s="119"/>
      <c r="E1075" s="119"/>
      <c r="F1075" s="119"/>
      <c r="G1075" s="119"/>
      <c r="H1075" s="119"/>
    </row>
    <row r="1076" spans="3:8">
      <c r="C1076" s="119"/>
      <c r="D1076" s="119"/>
      <c r="E1076" s="119"/>
      <c r="F1076" s="119"/>
      <c r="G1076" s="119"/>
      <c r="H1076" s="119"/>
    </row>
    <row r="1077" spans="3:8">
      <c r="C1077" s="119"/>
      <c r="D1077" s="119"/>
      <c r="E1077" s="119"/>
      <c r="F1077" s="119"/>
      <c r="G1077" s="119"/>
      <c r="H1077" s="119"/>
    </row>
    <row r="1078" spans="3:8">
      <c r="C1078" s="119"/>
      <c r="D1078" s="119"/>
      <c r="E1078" s="119"/>
      <c r="F1078" s="119"/>
      <c r="G1078" s="119"/>
      <c r="H1078" s="119"/>
    </row>
    <row r="1079" spans="3:8">
      <c r="C1079" s="119"/>
      <c r="D1079" s="119"/>
      <c r="E1079" s="119"/>
      <c r="F1079" s="119"/>
      <c r="G1079" s="119"/>
      <c r="H1079" s="119"/>
    </row>
    <row r="1080" spans="3:8">
      <c r="C1080" s="119"/>
      <c r="D1080" s="119"/>
      <c r="E1080" s="119"/>
      <c r="F1080" s="119"/>
      <c r="G1080" s="119"/>
      <c r="H1080" s="119"/>
    </row>
    <row r="1081" spans="3:8">
      <c r="C1081" s="119"/>
      <c r="D1081" s="119"/>
      <c r="E1081" s="119"/>
      <c r="F1081" s="119"/>
      <c r="G1081" s="119"/>
      <c r="H1081" s="119"/>
    </row>
    <row r="1082" spans="3:8">
      <c r="C1082" s="119"/>
      <c r="D1082" s="119"/>
      <c r="E1082" s="119"/>
      <c r="F1082" s="119"/>
      <c r="G1082" s="119"/>
      <c r="H1082" s="119"/>
    </row>
    <row r="1083" spans="3:8">
      <c r="C1083" s="119"/>
      <c r="D1083" s="119"/>
      <c r="E1083" s="119"/>
      <c r="F1083" s="119"/>
      <c r="G1083" s="119"/>
      <c r="H1083" s="119"/>
    </row>
    <row r="1084" spans="3:8">
      <c r="C1084" s="119"/>
      <c r="D1084" s="119"/>
      <c r="E1084" s="119"/>
      <c r="F1084" s="119"/>
      <c r="G1084" s="119"/>
      <c r="H1084" s="119"/>
    </row>
    <row r="1085" spans="3:8">
      <c r="C1085" s="119"/>
      <c r="D1085" s="119"/>
      <c r="E1085" s="119"/>
      <c r="F1085" s="119"/>
      <c r="G1085" s="119"/>
      <c r="H1085" s="119"/>
    </row>
    <row r="1086" spans="3:8">
      <c r="C1086" s="119"/>
      <c r="D1086" s="119"/>
      <c r="E1086" s="119"/>
      <c r="F1086" s="119"/>
      <c r="G1086" s="119"/>
      <c r="H1086" s="119"/>
    </row>
    <row r="1087" spans="3:8">
      <c r="C1087" s="119"/>
      <c r="D1087" s="119"/>
      <c r="E1087" s="119"/>
      <c r="F1087" s="119"/>
      <c r="G1087" s="119"/>
      <c r="H1087" s="119"/>
    </row>
    <row r="1088" spans="3:8">
      <c r="C1088" s="119"/>
      <c r="D1088" s="119"/>
      <c r="E1088" s="119"/>
      <c r="F1088" s="119"/>
      <c r="G1088" s="119"/>
      <c r="H1088" s="119"/>
    </row>
    <row r="1089" spans="3:8">
      <c r="C1089" s="119"/>
      <c r="D1089" s="119"/>
      <c r="E1089" s="119"/>
      <c r="F1089" s="119"/>
      <c r="G1089" s="119"/>
      <c r="H1089" s="119"/>
    </row>
    <row r="1090" spans="3:8">
      <c r="C1090" s="119"/>
      <c r="D1090" s="119"/>
      <c r="E1090" s="119"/>
      <c r="F1090" s="119"/>
      <c r="G1090" s="119"/>
      <c r="H1090" s="119"/>
    </row>
    <row r="1091" spans="3:8">
      <c r="C1091" s="119"/>
      <c r="D1091" s="119"/>
      <c r="E1091" s="119"/>
      <c r="F1091" s="119"/>
      <c r="G1091" s="119"/>
      <c r="H1091" s="119"/>
    </row>
    <row r="1092" spans="3:8">
      <c r="C1092" s="119"/>
      <c r="D1092" s="119"/>
      <c r="E1092" s="119"/>
      <c r="F1092" s="119"/>
      <c r="G1092" s="119"/>
      <c r="H1092" s="119"/>
    </row>
    <row r="1093" spans="3:8">
      <c r="C1093" s="119"/>
      <c r="D1093" s="119"/>
      <c r="E1093" s="119"/>
      <c r="F1093" s="119"/>
      <c r="G1093" s="119"/>
      <c r="H1093" s="119"/>
    </row>
    <row r="1094" spans="3:8">
      <c r="C1094" s="119"/>
      <c r="D1094" s="119"/>
      <c r="E1094" s="119"/>
      <c r="F1094" s="119"/>
      <c r="G1094" s="119"/>
      <c r="H1094" s="119"/>
    </row>
    <row r="1095" spans="3:8">
      <c r="C1095" s="119"/>
      <c r="D1095" s="119"/>
      <c r="E1095" s="119"/>
      <c r="F1095" s="119"/>
      <c r="G1095" s="119"/>
      <c r="H1095" s="119"/>
    </row>
    <row r="1096" spans="3:8">
      <c r="C1096" s="119"/>
      <c r="D1096" s="119"/>
      <c r="E1096" s="119"/>
      <c r="F1096" s="119"/>
      <c r="G1096" s="119"/>
      <c r="H1096" s="119"/>
    </row>
    <row r="1097" spans="3:8">
      <c r="C1097" s="119"/>
      <c r="D1097" s="119"/>
      <c r="E1097" s="119"/>
      <c r="F1097" s="119"/>
      <c r="G1097" s="119"/>
      <c r="H1097" s="119"/>
    </row>
    <row r="1098" spans="3:8">
      <c r="C1098" s="119"/>
      <c r="D1098" s="119"/>
      <c r="E1098" s="119"/>
      <c r="F1098" s="119"/>
      <c r="G1098" s="119"/>
      <c r="H1098" s="119"/>
    </row>
    <row r="1099" spans="3:8">
      <c r="C1099" s="119"/>
      <c r="D1099" s="119"/>
      <c r="E1099" s="119"/>
      <c r="F1099" s="119"/>
      <c r="G1099" s="119"/>
      <c r="H1099" s="119"/>
    </row>
    <row r="1100" spans="3:8">
      <c r="C1100" s="119"/>
      <c r="D1100" s="119"/>
      <c r="E1100" s="119"/>
      <c r="F1100" s="119"/>
      <c r="G1100" s="119"/>
      <c r="H1100" s="119"/>
    </row>
    <row r="1101" spans="3:8">
      <c r="C1101" s="119"/>
      <c r="D1101" s="119"/>
      <c r="E1101" s="119"/>
      <c r="F1101" s="119"/>
      <c r="G1101" s="119"/>
      <c r="H1101" s="119"/>
    </row>
    <row r="1102" spans="3:8">
      <c r="C1102" s="119"/>
      <c r="D1102" s="119"/>
      <c r="E1102" s="119"/>
      <c r="F1102" s="119"/>
      <c r="G1102" s="119"/>
      <c r="H1102" s="119"/>
    </row>
    <row r="1103" spans="3:8">
      <c r="C1103" s="119"/>
      <c r="D1103" s="119"/>
      <c r="E1103" s="119"/>
      <c r="F1103" s="119"/>
      <c r="G1103" s="119"/>
      <c r="H1103" s="119"/>
    </row>
    <row r="1104" spans="3:8">
      <c r="C1104" s="119"/>
      <c r="D1104" s="119"/>
      <c r="E1104" s="119"/>
      <c r="F1104" s="119"/>
      <c r="G1104" s="119"/>
      <c r="H1104" s="119"/>
    </row>
    <row r="1105" spans="3:8">
      <c r="C1105" s="119"/>
      <c r="D1105" s="119"/>
      <c r="E1105" s="119"/>
      <c r="F1105" s="119"/>
      <c r="G1105" s="119"/>
      <c r="H1105" s="119"/>
    </row>
    <row r="1106" spans="3:8">
      <c r="C1106" s="119"/>
      <c r="D1106" s="119"/>
      <c r="E1106" s="119"/>
      <c r="F1106" s="119"/>
      <c r="G1106" s="119"/>
      <c r="H1106" s="119"/>
    </row>
    <row r="1107" spans="3:8">
      <c r="C1107" s="119"/>
      <c r="D1107" s="119"/>
      <c r="E1107" s="119"/>
      <c r="F1107" s="119"/>
      <c r="G1107" s="119"/>
      <c r="H1107" s="119"/>
    </row>
    <row r="1108" spans="3:8">
      <c r="C1108" s="119"/>
      <c r="D1108" s="119"/>
      <c r="E1108" s="119"/>
      <c r="F1108" s="119"/>
      <c r="G1108" s="119"/>
      <c r="H1108" s="119"/>
    </row>
    <row r="1109" spans="3:8">
      <c r="C1109" s="119"/>
      <c r="D1109" s="119"/>
      <c r="E1109" s="119"/>
      <c r="F1109" s="119"/>
      <c r="G1109" s="119"/>
      <c r="H1109" s="119"/>
    </row>
    <row r="1110" spans="3:8">
      <c r="C1110" s="119"/>
      <c r="D1110" s="119"/>
      <c r="E1110" s="119"/>
      <c r="F1110" s="119"/>
      <c r="G1110" s="119"/>
      <c r="H1110" s="119"/>
    </row>
    <row r="1111" spans="3:8">
      <c r="C1111" s="119"/>
      <c r="D1111" s="119"/>
      <c r="E1111" s="119"/>
      <c r="F1111" s="119"/>
      <c r="G1111" s="119"/>
      <c r="H1111" s="119"/>
    </row>
    <row r="1112" spans="3:8">
      <c r="C1112" s="119"/>
      <c r="D1112" s="119"/>
      <c r="E1112" s="119"/>
      <c r="F1112" s="119"/>
      <c r="G1112" s="119"/>
      <c r="H1112" s="119"/>
    </row>
    <row r="1113" spans="3:8">
      <c r="C1113" s="119"/>
      <c r="D1113" s="119"/>
      <c r="E1113" s="119"/>
      <c r="F1113" s="119"/>
      <c r="G1113" s="119"/>
      <c r="H1113" s="119"/>
    </row>
    <row r="1114" spans="3:8">
      <c r="C1114" s="119"/>
      <c r="D1114" s="119"/>
      <c r="E1114" s="119"/>
      <c r="F1114" s="119"/>
      <c r="G1114" s="119"/>
      <c r="H1114" s="119"/>
    </row>
    <row r="1115" spans="3:8">
      <c r="C1115" s="119"/>
      <c r="D1115" s="119"/>
      <c r="E1115" s="119"/>
      <c r="F1115" s="119"/>
      <c r="G1115" s="119"/>
      <c r="H1115" s="119"/>
    </row>
    <row r="1116" spans="3:8">
      <c r="C1116" s="119"/>
      <c r="D1116" s="119"/>
      <c r="E1116" s="119"/>
      <c r="F1116" s="119"/>
      <c r="G1116" s="119"/>
      <c r="H1116" s="119"/>
    </row>
    <row r="1117" spans="3:8">
      <c r="C1117" s="119"/>
      <c r="D1117" s="119"/>
      <c r="E1117" s="119"/>
      <c r="F1117" s="119"/>
      <c r="G1117" s="119"/>
      <c r="H1117" s="119"/>
    </row>
    <row r="1118" spans="3:8">
      <c r="C1118" s="119"/>
      <c r="D1118" s="119"/>
      <c r="E1118" s="119"/>
      <c r="F1118" s="119"/>
      <c r="G1118" s="119"/>
      <c r="H1118" s="119"/>
    </row>
    <row r="1119" spans="3:8">
      <c r="C1119" s="119"/>
      <c r="D1119" s="119"/>
      <c r="E1119" s="119"/>
      <c r="F1119" s="119"/>
      <c r="G1119" s="119"/>
      <c r="H1119" s="119"/>
    </row>
    <row r="1120" spans="3:8">
      <c r="C1120" s="119"/>
      <c r="D1120" s="119"/>
      <c r="E1120" s="119"/>
      <c r="F1120" s="119"/>
      <c r="G1120" s="119"/>
      <c r="H1120" s="119"/>
    </row>
    <row r="1121" spans="3:8">
      <c r="C1121" s="119"/>
      <c r="D1121" s="119"/>
      <c r="E1121" s="119"/>
      <c r="F1121" s="119"/>
      <c r="G1121" s="119"/>
      <c r="H1121" s="119"/>
    </row>
    <row r="1122" spans="3:8">
      <c r="C1122" s="119"/>
      <c r="D1122" s="119"/>
      <c r="E1122" s="119"/>
      <c r="F1122" s="119"/>
      <c r="G1122" s="119"/>
      <c r="H1122" s="119"/>
    </row>
    <row r="1123" spans="3:8">
      <c r="C1123" s="119"/>
      <c r="D1123" s="119"/>
      <c r="E1123" s="119"/>
      <c r="F1123" s="119"/>
      <c r="G1123" s="119"/>
      <c r="H1123" s="119"/>
    </row>
    <row r="1124" spans="3:8">
      <c r="C1124" s="119"/>
      <c r="D1124" s="119"/>
      <c r="E1124" s="119"/>
      <c r="F1124" s="119"/>
      <c r="G1124" s="119"/>
      <c r="H1124" s="119"/>
    </row>
    <row r="1125" spans="3:8">
      <c r="C1125" s="119"/>
      <c r="D1125" s="119"/>
      <c r="E1125" s="119"/>
      <c r="F1125" s="119"/>
      <c r="G1125" s="119"/>
      <c r="H1125" s="119"/>
    </row>
    <row r="1126" spans="3:8">
      <c r="C1126" s="119"/>
      <c r="D1126" s="119"/>
      <c r="E1126" s="119"/>
      <c r="F1126" s="119"/>
      <c r="G1126" s="119"/>
      <c r="H1126" s="119"/>
    </row>
    <row r="1127" spans="3:8">
      <c r="C1127" s="119"/>
      <c r="D1127" s="119"/>
      <c r="E1127" s="119"/>
      <c r="F1127" s="119"/>
      <c r="G1127" s="119"/>
      <c r="H1127" s="119"/>
    </row>
    <row r="1128" spans="3:8">
      <c r="C1128" s="119"/>
      <c r="D1128" s="119"/>
      <c r="E1128" s="119"/>
      <c r="F1128" s="119"/>
      <c r="G1128" s="119"/>
      <c r="H1128" s="119"/>
    </row>
    <row r="1129" spans="3:8">
      <c r="C1129" s="119"/>
      <c r="D1129" s="119"/>
      <c r="E1129" s="119"/>
      <c r="F1129" s="119"/>
      <c r="G1129" s="119"/>
      <c r="H1129" s="119"/>
    </row>
    <row r="1130" spans="3:8">
      <c r="C1130" s="119"/>
      <c r="D1130" s="119"/>
      <c r="E1130" s="119"/>
      <c r="F1130" s="119"/>
      <c r="G1130" s="119"/>
      <c r="H1130" s="119"/>
    </row>
    <row r="1131" spans="3:8">
      <c r="C1131" s="119"/>
      <c r="D1131" s="119"/>
      <c r="E1131" s="119"/>
      <c r="F1131" s="119"/>
      <c r="G1131" s="119"/>
      <c r="H1131" s="119"/>
    </row>
    <row r="1132" spans="3:8">
      <c r="C1132" s="119"/>
      <c r="D1132" s="119"/>
      <c r="E1132" s="119"/>
      <c r="F1132" s="119"/>
      <c r="G1132" s="119"/>
      <c r="H1132" s="119"/>
    </row>
    <row r="1133" spans="3:8">
      <c r="C1133" s="119"/>
      <c r="D1133" s="119"/>
      <c r="E1133" s="119"/>
      <c r="F1133" s="119"/>
      <c r="G1133" s="119"/>
      <c r="H1133" s="119"/>
    </row>
    <row r="1134" spans="3:8">
      <c r="C1134" s="119"/>
      <c r="D1134" s="119"/>
      <c r="E1134" s="119"/>
      <c r="F1134" s="119"/>
      <c r="G1134" s="119"/>
      <c r="H1134" s="119"/>
    </row>
    <row r="1135" spans="3:8">
      <c r="C1135" s="119"/>
      <c r="D1135" s="119"/>
      <c r="E1135" s="119"/>
      <c r="F1135" s="119"/>
      <c r="G1135" s="119"/>
      <c r="H1135" s="119"/>
    </row>
    <row r="1136" spans="3:8">
      <c r="C1136" s="119"/>
      <c r="D1136" s="119"/>
      <c r="E1136" s="119"/>
      <c r="F1136" s="119"/>
      <c r="G1136" s="119"/>
      <c r="H1136" s="119"/>
    </row>
    <row r="1137" spans="3:8">
      <c r="C1137" s="119"/>
      <c r="D1137" s="119"/>
      <c r="E1137" s="119"/>
      <c r="F1137" s="119"/>
      <c r="G1137" s="119"/>
      <c r="H1137" s="119"/>
    </row>
    <row r="1138" spans="3:8">
      <c r="C1138" s="119"/>
      <c r="D1138" s="119"/>
      <c r="E1138" s="119"/>
      <c r="F1138" s="119"/>
      <c r="G1138" s="119"/>
      <c r="H1138" s="119"/>
    </row>
    <row r="1139" spans="3:8">
      <c r="C1139" s="119"/>
      <c r="D1139" s="119"/>
      <c r="E1139" s="119"/>
      <c r="F1139" s="119"/>
      <c r="G1139" s="119"/>
      <c r="H1139" s="119"/>
    </row>
    <row r="1140" spans="3:8">
      <c r="C1140" s="119"/>
      <c r="D1140" s="119"/>
      <c r="E1140" s="119"/>
      <c r="F1140" s="119"/>
      <c r="G1140" s="119"/>
      <c r="H1140" s="119"/>
    </row>
    <row r="1141" spans="3:8">
      <c r="C1141" s="119"/>
      <c r="D1141" s="119"/>
      <c r="E1141" s="119"/>
      <c r="F1141" s="119"/>
      <c r="G1141" s="119"/>
      <c r="H1141" s="119"/>
    </row>
    <row r="1142" spans="3:8">
      <c r="C1142" s="119"/>
      <c r="D1142" s="119"/>
      <c r="E1142" s="119"/>
      <c r="F1142" s="119"/>
      <c r="G1142" s="119"/>
      <c r="H1142" s="119"/>
    </row>
    <row r="1143" spans="3:8">
      <c r="C1143" s="119"/>
      <c r="D1143" s="119"/>
      <c r="E1143" s="119"/>
      <c r="F1143" s="119"/>
      <c r="G1143" s="119"/>
      <c r="H1143" s="119"/>
    </row>
    <row r="1144" spans="3:8">
      <c r="C1144" s="119"/>
      <c r="D1144" s="119"/>
      <c r="E1144" s="119"/>
      <c r="F1144" s="119"/>
      <c r="G1144" s="119"/>
      <c r="H1144" s="119"/>
    </row>
    <row r="1145" spans="3:8">
      <c r="C1145" s="119"/>
      <c r="D1145" s="119"/>
      <c r="E1145" s="119"/>
      <c r="F1145" s="119"/>
      <c r="G1145" s="119"/>
      <c r="H1145" s="119"/>
    </row>
    <row r="1146" spans="3:8">
      <c r="C1146" s="119"/>
      <c r="D1146" s="119"/>
      <c r="E1146" s="119"/>
      <c r="F1146" s="119"/>
      <c r="G1146" s="119"/>
      <c r="H1146" s="119"/>
    </row>
    <row r="1147" spans="3:8">
      <c r="C1147" s="119"/>
      <c r="D1147" s="119"/>
      <c r="E1147" s="119"/>
      <c r="F1147" s="119"/>
      <c r="G1147" s="119"/>
      <c r="H1147" s="119"/>
    </row>
    <row r="1148" spans="3:8">
      <c r="C1148" s="119"/>
      <c r="D1148" s="119"/>
      <c r="E1148" s="119"/>
      <c r="F1148" s="119"/>
      <c r="G1148" s="119"/>
      <c r="H1148" s="119"/>
    </row>
    <row r="1149" spans="3:8">
      <c r="C1149" s="119"/>
      <c r="D1149" s="119"/>
      <c r="E1149" s="119"/>
      <c r="F1149" s="119"/>
      <c r="G1149" s="119"/>
      <c r="H1149" s="119"/>
    </row>
    <row r="1150" spans="3:8">
      <c r="C1150" s="119"/>
      <c r="D1150" s="119"/>
      <c r="E1150" s="119"/>
      <c r="F1150" s="119"/>
      <c r="G1150" s="119"/>
      <c r="H1150" s="119"/>
    </row>
    <row r="1151" spans="3:8">
      <c r="C1151" s="119"/>
      <c r="D1151" s="119"/>
      <c r="E1151" s="119"/>
      <c r="F1151" s="119"/>
      <c r="G1151" s="119"/>
      <c r="H1151" s="119"/>
    </row>
    <row r="1152" spans="3:8">
      <c r="C1152" s="119"/>
      <c r="D1152" s="119"/>
      <c r="E1152" s="119"/>
      <c r="F1152" s="119"/>
      <c r="G1152" s="119"/>
      <c r="H1152" s="119"/>
    </row>
    <row r="1153" spans="3:8">
      <c r="C1153" s="119"/>
      <c r="D1153" s="119"/>
      <c r="E1153" s="119"/>
      <c r="F1153" s="119"/>
      <c r="G1153" s="119"/>
      <c r="H1153" s="119"/>
    </row>
    <row r="1154" spans="3:8">
      <c r="C1154" s="119"/>
      <c r="D1154" s="119"/>
      <c r="E1154" s="119"/>
      <c r="F1154" s="119"/>
      <c r="G1154" s="119"/>
      <c r="H1154" s="119"/>
    </row>
    <row r="1155" spans="3:8">
      <c r="C1155" s="119"/>
      <c r="D1155" s="119"/>
      <c r="E1155" s="119"/>
      <c r="F1155" s="119"/>
      <c r="G1155" s="119"/>
      <c r="H1155" s="119"/>
    </row>
    <row r="1156" spans="3:8">
      <c r="C1156" s="119"/>
      <c r="D1156" s="119"/>
      <c r="E1156" s="119"/>
      <c r="F1156" s="119"/>
      <c r="G1156" s="119"/>
      <c r="H1156" s="119"/>
    </row>
    <row r="1157" spans="3:8">
      <c r="C1157" s="119"/>
      <c r="D1157" s="119"/>
      <c r="E1157" s="119"/>
      <c r="F1157" s="119"/>
      <c r="G1157" s="119"/>
      <c r="H1157" s="119"/>
    </row>
    <row r="1158" spans="3:8">
      <c r="C1158" s="119"/>
      <c r="D1158" s="119"/>
      <c r="E1158" s="119"/>
      <c r="F1158" s="119"/>
      <c r="G1158" s="119"/>
      <c r="H1158" s="119"/>
    </row>
    <row r="1159" spans="3:8">
      <c r="C1159" s="119"/>
      <c r="D1159" s="119"/>
      <c r="E1159" s="119"/>
      <c r="F1159" s="119"/>
      <c r="G1159" s="119"/>
      <c r="H1159" s="119"/>
    </row>
    <row r="1160" spans="3:8">
      <c r="C1160" s="119"/>
      <c r="D1160" s="119"/>
      <c r="E1160" s="119"/>
      <c r="F1160" s="119"/>
      <c r="G1160" s="119"/>
      <c r="H1160" s="119"/>
    </row>
    <row r="1161" spans="3:8">
      <c r="C1161" s="119"/>
      <c r="D1161" s="119"/>
      <c r="E1161" s="119"/>
      <c r="F1161" s="119"/>
      <c r="G1161" s="119"/>
      <c r="H1161" s="119"/>
    </row>
    <row r="1162" spans="3:8">
      <c r="C1162" s="119"/>
      <c r="D1162" s="119"/>
      <c r="E1162" s="119"/>
      <c r="F1162" s="119"/>
      <c r="G1162" s="119"/>
      <c r="H1162" s="119"/>
    </row>
    <row r="1163" spans="3:8">
      <c r="C1163" s="119"/>
      <c r="D1163" s="119"/>
      <c r="E1163" s="119"/>
      <c r="F1163" s="119"/>
      <c r="G1163" s="119"/>
      <c r="H1163" s="119"/>
    </row>
    <row r="1164" spans="3:8">
      <c r="C1164" s="119"/>
      <c r="D1164" s="119"/>
      <c r="E1164" s="119"/>
      <c r="F1164" s="119"/>
      <c r="G1164" s="119"/>
      <c r="H1164" s="119"/>
    </row>
    <row r="1165" spans="3:8">
      <c r="C1165" s="119"/>
      <c r="D1165" s="119"/>
      <c r="E1165" s="119"/>
      <c r="F1165" s="119"/>
      <c r="G1165" s="119"/>
      <c r="H1165" s="119"/>
    </row>
    <row r="1166" spans="3:8">
      <c r="C1166" s="119"/>
      <c r="D1166" s="119"/>
      <c r="E1166" s="119"/>
      <c r="F1166" s="119"/>
      <c r="G1166" s="119"/>
      <c r="H1166" s="119"/>
    </row>
    <row r="1167" spans="3:8">
      <c r="C1167" s="119"/>
      <c r="D1167" s="119"/>
      <c r="E1167" s="119"/>
      <c r="F1167" s="119"/>
      <c r="G1167" s="119"/>
      <c r="H1167" s="119"/>
    </row>
    <row r="1168" spans="3:8">
      <c r="C1168" s="119"/>
      <c r="D1168" s="119"/>
      <c r="E1168" s="119"/>
      <c r="F1168" s="119"/>
      <c r="G1168" s="119"/>
      <c r="H1168" s="119"/>
    </row>
    <row r="1169" spans="3:8">
      <c r="C1169" s="119"/>
      <c r="D1169" s="119"/>
      <c r="E1169" s="119"/>
      <c r="F1169" s="119"/>
      <c r="G1169" s="119"/>
      <c r="H1169" s="119"/>
    </row>
    <row r="1170" spans="3:8">
      <c r="C1170" s="119"/>
      <c r="D1170" s="119"/>
      <c r="E1170" s="119"/>
      <c r="F1170" s="119"/>
      <c r="G1170" s="119"/>
      <c r="H1170" s="119"/>
    </row>
    <row r="1171" spans="3:8">
      <c r="C1171" s="119"/>
      <c r="D1171" s="119"/>
      <c r="E1171" s="119"/>
      <c r="F1171" s="119"/>
      <c r="G1171" s="119"/>
      <c r="H1171" s="119"/>
    </row>
    <row r="1172" spans="3:8">
      <c r="C1172" s="119"/>
      <c r="D1172" s="119"/>
      <c r="E1172" s="119"/>
      <c r="F1172" s="119"/>
      <c r="G1172" s="119"/>
      <c r="H1172" s="119"/>
    </row>
    <row r="1173" spans="3:8">
      <c r="C1173" s="119"/>
      <c r="D1173" s="119"/>
      <c r="E1173" s="119"/>
      <c r="F1173" s="119"/>
      <c r="G1173" s="119"/>
      <c r="H1173" s="119"/>
    </row>
    <row r="1174" spans="3:8">
      <c r="C1174" s="119"/>
      <c r="D1174" s="119"/>
      <c r="E1174" s="119"/>
      <c r="F1174" s="119"/>
      <c r="G1174" s="119"/>
      <c r="H1174" s="119"/>
    </row>
    <row r="1175" spans="3:8">
      <c r="C1175" s="119"/>
      <c r="D1175" s="119"/>
      <c r="E1175" s="119"/>
      <c r="F1175" s="119"/>
      <c r="G1175" s="119"/>
      <c r="H1175" s="119"/>
    </row>
    <row r="1176" spans="3:8">
      <c r="C1176" s="119"/>
      <c r="D1176" s="119"/>
      <c r="E1176" s="119"/>
      <c r="F1176" s="119"/>
      <c r="G1176" s="119"/>
      <c r="H1176" s="119"/>
    </row>
    <row r="1177" spans="3:8">
      <c r="C1177" s="119"/>
      <c r="D1177" s="119"/>
      <c r="E1177" s="119"/>
      <c r="F1177" s="119"/>
      <c r="G1177" s="119"/>
      <c r="H1177" s="119"/>
    </row>
    <row r="1178" spans="3:8">
      <c r="C1178" s="119"/>
      <c r="D1178" s="119"/>
      <c r="E1178" s="119"/>
      <c r="F1178" s="119"/>
      <c r="G1178" s="119"/>
      <c r="H1178" s="119"/>
    </row>
    <row r="1179" spans="3:8">
      <c r="C1179" s="119"/>
      <c r="D1179" s="119"/>
      <c r="E1179" s="119"/>
      <c r="F1179" s="119"/>
      <c r="G1179" s="119"/>
      <c r="H1179" s="119"/>
    </row>
    <row r="1180" spans="3:8">
      <c r="C1180" s="119"/>
      <c r="D1180" s="119"/>
      <c r="E1180" s="119"/>
      <c r="F1180" s="119"/>
      <c r="G1180" s="119"/>
      <c r="H1180" s="119"/>
    </row>
    <row r="1181" spans="3:8">
      <c r="C1181" s="119"/>
      <c r="D1181" s="119"/>
      <c r="E1181" s="119"/>
      <c r="F1181" s="119"/>
      <c r="G1181" s="119"/>
      <c r="H1181" s="119"/>
    </row>
    <row r="1182" spans="3:8">
      <c r="C1182" s="119"/>
      <c r="D1182" s="119"/>
      <c r="E1182" s="119"/>
      <c r="F1182" s="119"/>
      <c r="G1182" s="119"/>
      <c r="H1182" s="119"/>
    </row>
    <row r="1183" spans="3:8">
      <c r="C1183" s="119"/>
      <c r="D1183" s="119"/>
      <c r="E1183" s="119"/>
      <c r="F1183" s="119"/>
      <c r="G1183" s="119"/>
      <c r="H1183" s="119"/>
    </row>
    <row r="1184" spans="3:8">
      <c r="C1184" s="119"/>
      <c r="D1184" s="119"/>
      <c r="E1184" s="119"/>
      <c r="F1184" s="119"/>
      <c r="G1184" s="119"/>
      <c r="H1184" s="119"/>
    </row>
    <row r="1185" spans="3:8">
      <c r="C1185" s="119"/>
      <c r="D1185" s="119"/>
      <c r="E1185" s="119"/>
      <c r="F1185" s="119"/>
      <c r="G1185" s="119"/>
      <c r="H1185" s="119"/>
    </row>
    <row r="1186" spans="3:8">
      <c r="C1186" s="119"/>
      <c r="D1186" s="119"/>
      <c r="E1186" s="119"/>
      <c r="F1186" s="119"/>
      <c r="G1186" s="119"/>
      <c r="H1186" s="119"/>
    </row>
    <row r="1187" spans="3:8">
      <c r="C1187" s="119"/>
      <c r="D1187" s="119"/>
      <c r="E1187" s="119"/>
      <c r="F1187" s="119"/>
      <c r="G1187" s="119"/>
      <c r="H1187" s="119"/>
    </row>
    <row r="1188" spans="3:8">
      <c r="C1188" s="119"/>
      <c r="D1188" s="119"/>
      <c r="E1188" s="119"/>
      <c r="F1188" s="119"/>
      <c r="G1188" s="119"/>
      <c r="H1188" s="119"/>
    </row>
    <row r="1189" spans="3:8">
      <c r="C1189" s="119"/>
      <c r="D1189" s="119"/>
      <c r="E1189" s="119"/>
      <c r="F1189" s="119"/>
      <c r="G1189" s="119"/>
      <c r="H1189" s="119"/>
    </row>
    <row r="1190" spans="3:8">
      <c r="C1190" s="119"/>
      <c r="D1190" s="119"/>
      <c r="E1190" s="119"/>
      <c r="F1190" s="119"/>
      <c r="G1190" s="119"/>
      <c r="H1190" s="119"/>
    </row>
    <row r="1191" spans="3:8">
      <c r="C1191" s="119"/>
      <c r="D1191" s="119"/>
      <c r="E1191" s="119"/>
      <c r="F1191" s="119"/>
      <c r="G1191" s="119"/>
      <c r="H1191" s="119"/>
    </row>
    <row r="1192" spans="3:8">
      <c r="C1192" s="119"/>
      <c r="D1192" s="119"/>
      <c r="E1192" s="119"/>
      <c r="F1192" s="119"/>
      <c r="G1192" s="119"/>
      <c r="H1192" s="119"/>
    </row>
    <row r="1193" spans="3:8">
      <c r="C1193" s="119"/>
      <c r="D1193" s="119"/>
      <c r="E1193" s="119"/>
      <c r="F1193" s="119"/>
      <c r="G1193" s="119"/>
      <c r="H1193" s="119"/>
    </row>
    <row r="1194" spans="3:8">
      <c r="C1194" s="119"/>
      <c r="D1194" s="119"/>
      <c r="E1194" s="119"/>
      <c r="F1194" s="119"/>
      <c r="G1194" s="119"/>
      <c r="H1194" s="119"/>
    </row>
    <row r="1195" spans="3:8">
      <c r="C1195" s="119"/>
      <c r="D1195" s="119"/>
      <c r="E1195" s="119"/>
      <c r="F1195" s="119"/>
      <c r="G1195" s="119"/>
      <c r="H1195" s="119"/>
    </row>
    <row r="1196" spans="3:8">
      <c r="C1196" s="119"/>
      <c r="D1196" s="119"/>
      <c r="E1196" s="119"/>
      <c r="F1196" s="119"/>
      <c r="G1196" s="119"/>
      <c r="H1196" s="119"/>
    </row>
    <row r="1197" spans="3:8">
      <c r="C1197" s="119"/>
      <c r="D1197" s="119"/>
      <c r="E1197" s="119"/>
      <c r="F1197" s="119"/>
      <c r="G1197" s="119"/>
      <c r="H1197" s="119"/>
    </row>
    <row r="1198" spans="3:8">
      <c r="C1198" s="119"/>
      <c r="D1198" s="119"/>
      <c r="E1198" s="119"/>
      <c r="F1198" s="119"/>
      <c r="G1198" s="119"/>
      <c r="H1198" s="119"/>
    </row>
    <row r="1199" spans="3:8">
      <c r="C1199" s="119"/>
      <c r="D1199" s="119"/>
      <c r="E1199" s="119"/>
      <c r="F1199" s="119"/>
      <c r="G1199" s="119"/>
      <c r="H1199" s="119"/>
    </row>
    <row r="1200" spans="3:8">
      <c r="C1200" s="119"/>
      <c r="D1200" s="119"/>
      <c r="E1200" s="119"/>
      <c r="F1200" s="119"/>
      <c r="G1200" s="119"/>
      <c r="H1200" s="119"/>
    </row>
    <row r="1201" spans="3:8">
      <c r="C1201" s="119"/>
      <c r="D1201" s="119"/>
      <c r="E1201" s="119"/>
      <c r="F1201" s="119"/>
      <c r="G1201" s="119"/>
      <c r="H1201" s="119"/>
    </row>
    <row r="1202" spans="3:8">
      <c r="C1202" s="119"/>
      <c r="D1202" s="119"/>
      <c r="E1202" s="119"/>
      <c r="F1202" s="119"/>
      <c r="G1202" s="119"/>
      <c r="H1202" s="119"/>
    </row>
    <row r="1203" spans="3:8">
      <c r="C1203" s="119"/>
      <c r="D1203" s="119"/>
      <c r="E1203" s="119"/>
      <c r="F1203" s="119"/>
      <c r="G1203" s="119"/>
      <c r="H1203" s="119"/>
    </row>
    <row r="1204" spans="3:8">
      <c r="C1204" s="119"/>
      <c r="D1204" s="119"/>
      <c r="E1204" s="119"/>
      <c r="F1204" s="119"/>
      <c r="G1204" s="119"/>
      <c r="H1204" s="119"/>
    </row>
    <row r="1205" spans="3:8">
      <c r="C1205" s="119"/>
      <c r="D1205" s="119"/>
      <c r="E1205" s="119"/>
      <c r="F1205" s="119"/>
      <c r="G1205" s="119"/>
      <c r="H1205" s="119"/>
    </row>
    <row r="1206" spans="3:8">
      <c r="C1206" s="119"/>
      <c r="D1206" s="119"/>
      <c r="E1206" s="119"/>
      <c r="F1206" s="119"/>
      <c r="G1206" s="119"/>
      <c r="H1206" s="119"/>
    </row>
    <row r="1207" spans="3:8">
      <c r="C1207" s="119"/>
      <c r="D1207" s="119"/>
      <c r="E1207" s="119"/>
      <c r="F1207" s="119"/>
      <c r="G1207" s="119"/>
      <c r="H1207" s="119"/>
    </row>
    <row r="1208" spans="3:8">
      <c r="C1208" s="119"/>
      <c r="D1208" s="119"/>
      <c r="E1208" s="119"/>
      <c r="F1208" s="119"/>
      <c r="G1208" s="119"/>
      <c r="H1208" s="119"/>
    </row>
    <row r="1209" spans="3:8">
      <c r="C1209" s="119"/>
      <c r="D1209" s="119"/>
      <c r="E1209" s="119"/>
      <c r="F1209" s="119"/>
      <c r="G1209" s="119"/>
      <c r="H1209" s="119"/>
    </row>
    <row r="1210" spans="3:8">
      <c r="C1210" s="119"/>
      <c r="D1210" s="119"/>
      <c r="E1210" s="119"/>
      <c r="F1210" s="119"/>
      <c r="G1210" s="119"/>
      <c r="H1210" s="119"/>
    </row>
    <row r="1211" spans="3:8">
      <c r="C1211" s="119"/>
      <c r="D1211" s="119"/>
      <c r="E1211" s="119"/>
      <c r="F1211" s="119"/>
      <c r="G1211" s="119"/>
      <c r="H1211" s="119"/>
    </row>
    <row r="1212" spans="3:8">
      <c r="C1212" s="119"/>
      <c r="D1212" s="119"/>
      <c r="E1212" s="119"/>
      <c r="F1212" s="119"/>
      <c r="G1212" s="119"/>
      <c r="H1212" s="119"/>
    </row>
    <row r="1213" spans="3:8">
      <c r="C1213" s="119"/>
      <c r="D1213" s="119"/>
      <c r="E1213" s="119"/>
      <c r="F1213" s="119"/>
      <c r="G1213" s="119"/>
      <c r="H1213" s="119"/>
    </row>
    <row r="1214" spans="3:8">
      <c r="C1214" s="119"/>
      <c r="D1214" s="119"/>
      <c r="E1214" s="119"/>
      <c r="F1214" s="119"/>
      <c r="G1214" s="119"/>
      <c r="H1214" s="119"/>
    </row>
    <row r="1215" spans="3:8">
      <c r="C1215" s="119"/>
      <c r="D1215" s="119"/>
      <c r="E1215" s="119"/>
      <c r="F1215" s="119"/>
      <c r="G1215" s="119"/>
      <c r="H1215" s="119"/>
    </row>
    <row r="1216" spans="3:8">
      <c r="C1216" s="119"/>
      <c r="D1216" s="119"/>
      <c r="E1216" s="119"/>
      <c r="F1216" s="119"/>
      <c r="G1216" s="119"/>
      <c r="H1216" s="119"/>
    </row>
    <row r="1217" spans="3:8">
      <c r="C1217" s="119"/>
      <c r="D1217" s="119"/>
      <c r="E1217" s="119"/>
      <c r="F1217" s="119"/>
      <c r="G1217" s="119"/>
      <c r="H1217" s="119"/>
    </row>
    <row r="1218" spans="3:8">
      <c r="C1218" s="119"/>
      <c r="D1218" s="119"/>
      <c r="E1218" s="119"/>
      <c r="F1218" s="119"/>
      <c r="G1218" s="119"/>
      <c r="H1218" s="119"/>
    </row>
    <row r="1219" spans="3:8">
      <c r="C1219" s="119"/>
      <c r="D1219" s="119"/>
      <c r="E1219" s="119"/>
      <c r="F1219" s="119"/>
      <c r="G1219" s="119"/>
      <c r="H1219" s="119"/>
    </row>
    <row r="1220" spans="3:8">
      <c r="C1220" s="119"/>
      <c r="D1220" s="119"/>
      <c r="E1220" s="119"/>
      <c r="F1220" s="119"/>
      <c r="G1220" s="119"/>
      <c r="H1220" s="119"/>
    </row>
    <row r="1221" spans="3:8">
      <c r="C1221" s="119"/>
      <c r="D1221" s="119"/>
      <c r="E1221" s="119"/>
      <c r="F1221" s="119"/>
      <c r="G1221" s="119"/>
      <c r="H1221" s="119"/>
    </row>
    <row r="1222" spans="3:8">
      <c r="C1222" s="119"/>
      <c r="D1222" s="119"/>
      <c r="E1222" s="119"/>
      <c r="F1222" s="119"/>
      <c r="G1222" s="119"/>
      <c r="H1222" s="119"/>
    </row>
    <row r="1223" spans="3:8">
      <c r="C1223" s="119"/>
      <c r="D1223" s="119"/>
      <c r="E1223" s="119"/>
      <c r="F1223" s="119"/>
      <c r="G1223" s="119"/>
      <c r="H1223" s="119"/>
    </row>
    <row r="1224" spans="3:8">
      <c r="C1224" s="119"/>
      <c r="D1224" s="119"/>
      <c r="E1224" s="119"/>
      <c r="F1224" s="119"/>
      <c r="G1224" s="119"/>
      <c r="H1224" s="119"/>
    </row>
    <row r="1225" spans="3:8">
      <c r="C1225" s="119"/>
      <c r="D1225" s="119"/>
      <c r="E1225" s="119"/>
      <c r="F1225" s="119"/>
      <c r="G1225" s="119"/>
      <c r="H1225" s="119"/>
    </row>
    <row r="1226" spans="3:8">
      <c r="C1226" s="119"/>
      <c r="D1226" s="119"/>
      <c r="E1226" s="119"/>
      <c r="F1226" s="119"/>
      <c r="G1226" s="119"/>
      <c r="H1226" s="119"/>
    </row>
    <row r="1227" spans="3:8">
      <c r="C1227" s="119"/>
      <c r="D1227" s="119"/>
      <c r="E1227" s="119"/>
      <c r="F1227" s="119"/>
      <c r="G1227" s="119"/>
      <c r="H1227" s="119"/>
    </row>
    <row r="1228" spans="3:8">
      <c r="C1228" s="119"/>
      <c r="D1228" s="119"/>
      <c r="E1228" s="119"/>
      <c r="F1228" s="119"/>
      <c r="G1228" s="119"/>
      <c r="H1228" s="119"/>
    </row>
    <row r="1229" spans="3:8">
      <c r="C1229" s="119"/>
      <c r="D1229" s="119"/>
      <c r="E1229" s="119"/>
      <c r="F1229" s="119"/>
      <c r="G1229" s="119"/>
      <c r="H1229" s="119"/>
    </row>
    <row r="1230" spans="3:8">
      <c r="C1230" s="119"/>
      <c r="D1230" s="119"/>
      <c r="E1230" s="119"/>
      <c r="F1230" s="119"/>
      <c r="G1230" s="119"/>
      <c r="H1230" s="119"/>
    </row>
    <row r="1231" spans="3:8">
      <c r="C1231" s="119"/>
      <c r="D1231" s="119"/>
      <c r="E1231" s="119"/>
      <c r="F1231" s="119"/>
      <c r="G1231" s="119"/>
      <c r="H1231" s="119"/>
    </row>
    <row r="1232" spans="3:8">
      <c r="C1232" s="119"/>
      <c r="D1232" s="119"/>
      <c r="E1232" s="119"/>
      <c r="F1232" s="119"/>
      <c r="G1232" s="119"/>
      <c r="H1232" s="119"/>
    </row>
    <row r="1233" spans="3:8">
      <c r="C1233" s="119"/>
      <c r="D1233" s="119"/>
      <c r="E1233" s="119"/>
      <c r="F1233" s="119"/>
      <c r="G1233" s="119"/>
      <c r="H1233" s="119"/>
    </row>
    <row r="1234" spans="3:8">
      <c r="C1234" s="119"/>
      <c r="D1234" s="119"/>
      <c r="E1234" s="119"/>
      <c r="F1234" s="119"/>
      <c r="G1234" s="119"/>
      <c r="H1234" s="119"/>
    </row>
    <row r="1235" spans="3:8">
      <c r="C1235" s="119"/>
      <c r="D1235" s="119"/>
      <c r="E1235" s="119"/>
      <c r="F1235" s="119"/>
      <c r="G1235" s="119"/>
      <c r="H1235" s="119"/>
    </row>
    <row r="1236" spans="3:8">
      <c r="C1236" s="119"/>
      <c r="D1236" s="119"/>
      <c r="E1236" s="119"/>
      <c r="F1236" s="119"/>
      <c r="G1236" s="119"/>
      <c r="H1236" s="119"/>
    </row>
    <row r="1237" spans="3:8">
      <c r="C1237" s="119"/>
      <c r="D1237" s="119"/>
      <c r="E1237" s="119"/>
      <c r="F1237" s="119"/>
      <c r="G1237" s="119"/>
      <c r="H1237" s="119"/>
    </row>
    <row r="1238" spans="3:8">
      <c r="C1238" s="119"/>
      <c r="D1238" s="119"/>
      <c r="E1238" s="119"/>
      <c r="F1238" s="119"/>
      <c r="G1238" s="119"/>
      <c r="H1238" s="119"/>
    </row>
    <row r="1239" spans="3:8">
      <c r="C1239" s="119"/>
      <c r="D1239" s="119"/>
      <c r="E1239" s="119"/>
      <c r="F1239" s="119"/>
      <c r="G1239" s="119"/>
      <c r="H1239" s="119"/>
    </row>
    <row r="1240" spans="3:8">
      <c r="C1240" s="119"/>
      <c r="D1240" s="119"/>
      <c r="E1240" s="119"/>
      <c r="F1240" s="119"/>
      <c r="G1240" s="119"/>
      <c r="H1240" s="119"/>
    </row>
    <row r="1241" spans="3:8">
      <c r="C1241" s="119"/>
      <c r="D1241" s="119"/>
      <c r="E1241" s="119"/>
      <c r="F1241" s="119"/>
      <c r="G1241" s="119"/>
      <c r="H1241" s="119"/>
    </row>
    <row r="1242" spans="3:8">
      <c r="C1242" s="119"/>
      <c r="D1242" s="119"/>
      <c r="E1242" s="119"/>
      <c r="F1242" s="119"/>
      <c r="G1242" s="119"/>
      <c r="H1242" s="119"/>
    </row>
    <row r="1243" spans="3:8">
      <c r="C1243" s="119"/>
      <c r="D1243" s="119"/>
      <c r="E1243" s="119"/>
      <c r="F1243" s="119"/>
      <c r="G1243" s="119"/>
      <c r="H1243" s="119"/>
    </row>
    <row r="1244" spans="3:8">
      <c r="C1244" s="119"/>
      <c r="D1244" s="119"/>
      <c r="E1244" s="119"/>
      <c r="F1244" s="119"/>
      <c r="G1244" s="119"/>
      <c r="H1244" s="119"/>
    </row>
    <row r="1245" spans="3:8">
      <c r="C1245" s="119"/>
      <c r="D1245" s="119"/>
      <c r="E1245" s="119"/>
      <c r="F1245" s="119"/>
      <c r="G1245" s="119"/>
      <c r="H1245" s="119"/>
    </row>
    <row r="1246" spans="3:8">
      <c r="C1246" s="119"/>
      <c r="D1246" s="119"/>
      <c r="E1246" s="119"/>
      <c r="F1246" s="119"/>
      <c r="G1246" s="119"/>
      <c r="H1246" s="119"/>
    </row>
    <row r="1247" spans="3:8">
      <c r="C1247" s="119"/>
      <c r="D1247" s="119"/>
      <c r="E1247" s="119"/>
      <c r="F1247" s="119"/>
      <c r="G1247" s="119"/>
      <c r="H1247" s="119"/>
    </row>
    <row r="1248" spans="3:8">
      <c r="C1248" s="119"/>
      <c r="D1248" s="119"/>
      <c r="E1248" s="119"/>
      <c r="F1248" s="119"/>
      <c r="G1248" s="119"/>
      <c r="H1248" s="119"/>
    </row>
    <row r="1249" spans="3:8">
      <c r="C1249" s="119"/>
      <c r="D1249" s="119"/>
      <c r="E1249" s="119"/>
      <c r="F1249" s="119"/>
      <c r="G1249" s="119"/>
      <c r="H1249" s="119"/>
    </row>
    <row r="1250" spans="3:8">
      <c r="C1250" s="119"/>
      <c r="D1250" s="119"/>
      <c r="E1250" s="119"/>
      <c r="F1250" s="119"/>
      <c r="G1250" s="119"/>
      <c r="H1250" s="119"/>
    </row>
    <row r="1251" spans="3:8">
      <c r="C1251" s="119"/>
      <c r="D1251" s="119"/>
      <c r="E1251" s="119"/>
      <c r="F1251" s="119"/>
      <c r="G1251" s="119"/>
      <c r="H1251" s="119"/>
    </row>
    <row r="1252" spans="3:8">
      <c r="C1252" s="119"/>
      <c r="D1252" s="119"/>
      <c r="E1252" s="119"/>
      <c r="F1252" s="119"/>
      <c r="G1252" s="119"/>
      <c r="H1252" s="119"/>
    </row>
    <row r="1253" spans="3:8">
      <c r="C1253" s="119"/>
      <c r="D1253" s="119"/>
      <c r="E1253" s="119"/>
      <c r="F1253" s="119"/>
      <c r="G1253" s="119"/>
      <c r="H1253" s="119"/>
    </row>
    <row r="1254" spans="3:8">
      <c r="C1254" s="119"/>
      <c r="D1254" s="119"/>
      <c r="E1254" s="119"/>
      <c r="F1254" s="119"/>
      <c r="G1254" s="119"/>
      <c r="H1254" s="119"/>
    </row>
    <row r="1255" spans="3:8">
      <c r="C1255" s="119"/>
      <c r="D1255" s="119"/>
      <c r="E1255" s="119"/>
      <c r="F1255" s="119"/>
      <c r="G1255" s="119"/>
      <c r="H1255" s="119"/>
    </row>
    <row r="1256" spans="3:8">
      <c r="C1256" s="119"/>
      <c r="D1256" s="119"/>
      <c r="E1256" s="119"/>
      <c r="F1256" s="119"/>
      <c r="G1256" s="119"/>
      <c r="H1256" s="119"/>
    </row>
    <row r="1257" spans="3:8">
      <c r="C1257" s="119"/>
      <c r="D1257" s="119"/>
      <c r="E1257" s="119"/>
      <c r="F1257" s="119"/>
      <c r="G1257" s="119"/>
      <c r="H1257" s="119"/>
    </row>
    <row r="1258" spans="3:8">
      <c r="C1258" s="119"/>
      <c r="D1258" s="119"/>
      <c r="E1258" s="119"/>
      <c r="F1258" s="119"/>
      <c r="G1258" s="119"/>
      <c r="H1258" s="119"/>
    </row>
    <row r="1259" spans="3:8">
      <c r="C1259" s="119"/>
      <c r="D1259" s="119"/>
      <c r="E1259" s="119"/>
      <c r="F1259" s="119"/>
      <c r="G1259" s="119"/>
      <c r="H1259" s="119"/>
    </row>
    <row r="1260" spans="3:8">
      <c r="C1260" s="119"/>
      <c r="D1260" s="119"/>
      <c r="E1260" s="119"/>
      <c r="F1260" s="119"/>
      <c r="G1260" s="119"/>
      <c r="H1260" s="119"/>
    </row>
    <row r="1261" spans="3:8">
      <c r="C1261" s="119"/>
      <c r="D1261" s="119"/>
      <c r="E1261" s="119"/>
      <c r="F1261" s="119"/>
      <c r="G1261" s="119"/>
      <c r="H1261" s="119"/>
    </row>
    <row r="1262" spans="3:8">
      <c r="C1262" s="119"/>
      <c r="D1262" s="119"/>
      <c r="E1262" s="119"/>
      <c r="F1262" s="119"/>
      <c r="G1262" s="119"/>
      <c r="H1262" s="119"/>
    </row>
    <row r="1263" spans="3:8">
      <c r="C1263" s="119"/>
      <c r="D1263" s="119"/>
      <c r="E1263" s="119"/>
      <c r="F1263" s="119"/>
      <c r="G1263" s="119"/>
      <c r="H1263" s="119"/>
    </row>
    <row r="1264" spans="3:8">
      <c r="C1264" s="119"/>
      <c r="D1264" s="119"/>
      <c r="E1264" s="119"/>
      <c r="F1264" s="119"/>
      <c r="G1264" s="119"/>
      <c r="H1264" s="119"/>
    </row>
    <row r="1265" spans="3:8">
      <c r="C1265" s="119"/>
      <c r="D1265" s="119"/>
      <c r="E1265" s="119"/>
      <c r="F1265" s="119"/>
      <c r="G1265" s="119"/>
      <c r="H1265" s="119"/>
    </row>
    <row r="1266" spans="3:8">
      <c r="C1266" s="119"/>
      <c r="D1266" s="119"/>
      <c r="E1266" s="119"/>
      <c r="F1266" s="119"/>
      <c r="G1266" s="119"/>
      <c r="H1266" s="119"/>
    </row>
    <row r="1267" spans="3:8">
      <c r="C1267" s="119"/>
      <c r="D1267" s="119"/>
      <c r="E1267" s="119"/>
      <c r="F1267" s="119"/>
      <c r="G1267" s="119"/>
      <c r="H1267" s="119"/>
    </row>
    <row r="1268" spans="3:8">
      <c r="C1268" s="119"/>
      <c r="D1268" s="119"/>
      <c r="E1268" s="119"/>
      <c r="F1268" s="119"/>
      <c r="G1268" s="119"/>
      <c r="H1268" s="119"/>
    </row>
    <row r="1269" spans="3:8">
      <c r="C1269" s="119"/>
      <c r="D1269" s="119"/>
      <c r="E1269" s="119"/>
      <c r="F1269" s="119"/>
      <c r="G1269" s="119"/>
      <c r="H1269" s="119"/>
    </row>
    <row r="1270" spans="3:8">
      <c r="C1270" s="119"/>
      <c r="D1270" s="119"/>
      <c r="E1270" s="119"/>
      <c r="F1270" s="119"/>
      <c r="G1270" s="119"/>
      <c r="H1270" s="119"/>
    </row>
    <row r="1271" spans="3:8">
      <c r="C1271" s="119"/>
      <c r="D1271" s="119"/>
      <c r="E1271" s="119"/>
      <c r="F1271" s="119"/>
      <c r="G1271" s="119"/>
      <c r="H1271" s="119"/>
    </row>
    <row r="1272" spans="3:8">
      <c r="C1272" s="119"/>
      <c r="D1272" s="119"/>
      <c r="E1272" s="119"/>
      <c r="F1272" s="119"/>
      <c r="G1272" s="119"/>
      <c r="H1272" s="119"/>
    </row>
    <row r="1273" spans="3:8">
      <c r="C1273" s="119"/>
      <c r="D1273" s="119"/>
      <c r="E1273" s="119"/>
      <c r="F1273" s="119"/>
      <c r="G1273" s="119"/>
      <c r="H1273" s="119"/>
    </row>
    <row r="1274" spans="3:8">
      <c r="C1274" s="119"/>
      <c r="D1274" s="119"/>
      <c r="E1274" s="119"/>
      <c r="F1274" s="119"/>
      <c r="G1274" s="119"/>
      <c r="H1274" s="119"/>
    </row>
    <row r="1275" spans="3:8">
      <c r="C1275" s="119"/>
      <c r="D1275" s="119"/>
      <c r="E1275" s="119"/>
      <c r="F1275" s="119"/>
      <c r="G1275" s="119"/>
      <c r="H1275" s="119"/>
    </row>
    <row r="1276" spans="3:8">
      <c r="C1276" s="119"/>
      <c r="D1276" s="119"/>
      <c r="E1276" s="119"/>
      <c r="F1276" s="119"/>
      <c r="G1276" s="119"/>
      <c r="H1276" s="119"/>
    </row>
    <row r="1277" spans="3:8">
      <c r="C1277" s="119"/>
      <c r="D1277" s="119"/>
      <c r="E1277" s="119"/>
      <c r="F1277" s="119"/>
      <c r="G1277" s="119"/>
      <c r="H1277" s="119"/>
    </row>
    <row r="1278" spans="3:8">
      <c r="C1278" s="119"/>
      <c r="D1278" s="119"/>
      <c r="E1278" s="119"/>
      <c r="F1278" s="119"/>
      <c r="G1278" s="119"/>
      <c r="H1278" s="119"/>
    </row>
    <row r="1279" spans="3:8">
      <c r="C1279" s="119"/>
      <c r="D1279" s="119"/>
      <c r="E1279" s="119"/>
      <c r="F1279" s="119"/>
      <c r="G1279" s="119"/>
      <c r="H1279" s="119"/>
    </row>
    <row r="1280" spans="3:8">
      <c r="C1280" s="119"/>
      <c r="D1280" s="119"/>
      <c r="E1280" s="119"/>
      <c r="F1280" s="119"/>
      <c r="G1280" s="119"/>
      <c r="H1280" s="119"/>
    </row>
    <row r="1281" spans="3:8">
      <c r="C1281" s="119"/>
      <c r="D1281" s="119"/>
      <c r="E1281" s="119"/>
      <c r="F1281" s="119"/>
      <c r="G1281" s="119"/>
      <c r="H1281" s="119"/>
    </row>
    <row r="1282" spans="3:8">
      <c r="C1282" s="119"/>
      <c r="D1282" s="119"/>
      <c r="E1282" s="119"/>
      <c r="F1282" s="119"/>
      <c r="G1282" s="119"/>
      <c r="H1282" s="119"/>
    </row>
    <row r="1283" spans="3:8">
      <c r="C1283" s="119"/>
      <c r="D1283" s="119"/>
      <c r="E1283" s="119"/>
      <c r="F1283" s="119"/>
      <c r="G1283" s="119"/>
      <c r="H1283" s="119"/>
    </row>
    <row r="1284" spans="3:8">
      <c r="C1284" s="119"/>
      <c r="D1284" s="119"/>
      <c r="E1284" s="119"/>
      <c r="F1284" s="119"/>
      <c r="G1284" s="119"/>
      <c r="H1284" s="119"/>
    </row>
    <row r="1285" spans="3:8">
      <c r="C1285" s="119"/>
      <c r="D1285" s="119"/>
      <c r="E1285" s="119"/>
      <c r="F1285" s="119"/>
      <c r="G1285" s="119"/>
      <c r="H1285" s="119"/>
    </row>
    <row r="1286" spans="3:8">
      <c r="C1286" s="119"/>
      <c r="D1286" s="119"/>
      <c r="E1286" s="119"/>
      <c r="F1286" s="119"/>
      <c r="G1286" s="119"/>
      <c r="H1286" s="119"/>
    </row>
    <row r="1287" spans="3:8">
      <c r="C1287" s="119"/>
      <c r="D1287" s="119"/>
      <c r="E1287" s="119"/>
      <c r="F1287" s="119"/>
      <c r="G1287" s="119"/>
      <c r="H1287" s="119"/>
    </row>
    <row r="1288" spans="3:8">
      <c r="C1288" s="119"/>
      <c r="D1288" s="119"/>
      <c r="E1288" s="119"/>
      <c r="F1288" s="119"/>
      <c r="G1288" s="119"/>
      <c r="H1288" s="119"/>
    </row>
    <row r="1289" spans="3:8">
      <c r="C1289" s="119"/>
      <c r="D1289" s="119"/>
      <c r="E1289" s="119"/>
      <c r="F1289" s="119"/>
      <c r="G1289" s="119"/>
      <c r="H1289" s="119"/>
    </row>
    <row r="1290" spans="3:8">
      <c r="C1290" s="119"/>
      <c r="D1290" s="119"/>
      <c r="E1290" s="119"/>
      <c r="F1290" s="119"/>
      <c r="G1290" s="119"/>
      <c r="H1290" s="119"/>
    </row>
    <row r="1291" spans="3:8">
      <c r="C1291" s="119"/>
      <c r="D1291" s="119"/>
      <c r="E1291" s="119"/>
      <c r="F1291" s="119"/>
      <c r="G1291" s="119"/>
      <c r="H1291" s="119"/>
    </row>
    <row r="1292" spans="3:8">
      <c r="C1292" s="119"/>
      <c r="D1292" s="119"/>
      <c r="E1292" s="119"/>
      <c r="F1292" s="119"/>
      <c r="G1292" s="119"/>
      <c r="H1292" s="119"/>
    </row>
    <row r="1293" spans="3:8">
      <c r="C1293" s="119"/>
      <c r="D1293" s="119"/>
      <c r="E1293" s="119"/>
      <c r="F1293" s="119"/>
      <c r="G1293" s="119"/>
      <c r="H1293" s="119"/>
    </row>
    <row r="1294" spans="3:8">
      <c r="C1294" s="119"/>
      <c r="D1294" s="119"/>
      <c r="E1294" s="119"/>
      <c r="F1294" s="119"/>
      <c r="G1294" s="119"/>
      <c r="H1294" s="119"/>
    </row>
    <row r="1295" spans="3:8">
      <c r="C1295" s="119"/>
      <c r="D1295" s="119"/>
      <c r="E1295" s="119"/>
      <c r="F1295" s="119"/>
      <c r="G1295" s="119"/>
      <c r="H1295" s="119"/>
    </row>
    <row r="1296" spans="3:8">
      <c r="C1296" s="119"/>
      <c r="D1296" s="119"/>
      <c r="E1296" s="119"/>
      <c r="F1296" s="119"/>
      <c r="G1296" s="119"/>
      <c r="H1296" s="119"/>
    </row>
    <row r="1297" spans="3:8">
      <c r="C1297" s="119"/>
      <c r="D1297" s="119"/>
      <c r="E1297" s="119"/>
      <c r="F1297" s="119"/>
      <c r="G1297" s="119"/>
      <c r="H1297" s="119"/>
    </row>
    <row r="1298" spans="3:8">
      <c r="C1298" s="119"/>
      <c r="D1298" s="119"/>
      <c r="E1298" s="119"/>
      <c r="F1298" s="119"/>
      <c r="G1298" s="119"/>
      <c r="H1298" s="119"/>
    </row>
    <row r="1299" spans="3:8">
      <c r="C1299" s="119"/>
      <c r="D1299" s="119"/>
      <c r="E1299" s="119"/>
      <c r="F1299" s="119"/>
      <c r="G1299" s="119"/>
      <c r="H1299" s="119"/>
    </row>
    <row r="1300" spans="3:8">
      <c r="C1300" s="119"/>
      <c r="D1300" s="119"/>
      <c r="E1300" s="119"/>
      <c r="F1300" s="119"/>
      <c r="G1300" s="119"/>
      <c r="H1300" s="119"/>
    </row>
    <row r="1301" spans="3:8">
      <c r="C1301" s="119"/>
      <c r="D1301" s="119"/>
      <c r="E1301" s="119"/>
      <c r="F1301" s="119"/>
      <c r="G1301" s="119"/>
      <c r="H1301" s="119"/>
    </row>
    <row r="1302" spans="3:8">
      <c r="C1302" s="119"/>
      <c r="D1302" s="119"/>
      <c r="E1302" s="119"/>
      <c r="F1302" s="119"/>
      <c r="G1302" s="119"/>
      <c r="H1302" s="119"/>
    </row>
    <row r="1303" spans="3:8">
      <c r="C1303" s="119"/>
      <c r="D1303" s="119"/>
      <c r="E1303" s="119"/>
      <c r="F1303" s="119"/>
      <c r="G1303" s="119"/>
      <c r="H1303" s="119"/>
    </row>
    <row r="1304" spans="3:8">
      <c r="C1304" s="119"/>
      <c r="D1304" s="119"/>
      <c r="E1304" s="119"/>
      <c r="F1304" s="119"/>
      <c r="G1304" s="119"/>
      <c r="H1304" s="119"/>
    </row>
    <row r="1305" spans="3:8">
      <c r="C1305" s="119"/>
      <c r="D1305" s="119"/>
      <c r="E1305" s="119"/>
      <c r="F1305" s="119"/>
      <c r="G1305" s="119"/>
      <c r="H1305" s="119"/>
    </row>
    <row r="1306" spans="3:8">
      <c r="C1306" s="119"/>
      <c r="D1306" s="119"/>
      <c r="E1306" s="119"/>
      <c r="F1306" s="119"/>
      <c r="G1306" s="119"/>
      <c r="H1306" s="119"/>
    </row>
    <row r="1307" spans="3:8">
      <c r="C1307" s="119"/>
      <c r="D1307" s="119"/>
      <c r="E1307" s="119"/>
      <c r="F1307" s="119"/>
      <c r="G1307" s="119"/>
      <c r="H1307" s="119"/>
    </row>
    <row r="1308" spans="3:8">
      <c r="C1308" s="119"/>
      <c r="D1308" s="119"/>
      <c r="E1308" s="119"/>
      <c r="F1308" s="119"/>
      <c r="G1308" s="119"/>
      <c r="H1308" s="119"/>
    </row>
    <row r="1309" spans="3:8">
      <c r="C1309" s="119"/>
      <c r="D1309" s="119"/>
      <c r="E1309" s="119"/>
      <c r="F1309" s="119"/>
      <c r="G1309" s="119"/>
      <c r="H1309" s="119"/>
    </row>
    <row r="1310" spans="3:8">
      <c r="C1310" s="119"/>
      <c r="D1310" s="119"/>
      <c r="E1310" s="119"/>
      <c r="F1310" s="119"/>
      <c r="G1310" s="119"/>
      <c r="H1310" s="119"/>
    </row>
    <row r="1311" spans="3:8">
      <c r="C1311" s="119"/>
      <c r="D1311" s="119"/>
      <c r="E1311" s="119"/>
      <c r="F1311" s="119"/>
      <c r="G1311" s="119"/>
      <c r="H1311" s="119"/>
    </row>
    <row r="1312" spans="3:8">
      <c r="C1312" s="119"/>
      <c r="D1312" s="119"/>
      <c r="E1312" s="119"/>
      <c r="F1312" s="119"/>
      <c r="G1312" s="119"/>
      <c r="H1312" s="119"/>
    </row>
    <row r="1313" spans="3:8">
      <c r="C1313" s="119"/>
      <c r="D1313" s="119"/>
      <c r="E1313" s="119"/>
      <c r="F1313" s="119"/>
      <c r="G1313" s="119"/>
      <c r="H1313" s="119"/>
    </row>
    <row r="1314" spans="3:8">
      <c r="C1314" s="119"/>
      <c r="D1314" s="119"/>
      <c r="E1314" s="119"/>
      <c r="F1314" s="119"/>
      <c r="G1314" s="119"/>
      <c r="H1314" s="119"/>
    </row>
    <row r="1315" spans="3:8">
      <c r="C1315" s="119"/>
      <c r="D1315" s="119"/>
      <c r="E1315" s="119"/>
      <c r="F1315" s="119"/>
      <c r="G1315" s="119"/>
      <c r="H1315" s="119"/>
    </row>
    <row r="1316" spans="3:8">
      <c r="C1316" s="119"/>
      <c r="D1316" s="119"/>
      <c r="E1316" s="119"/>
      <c r="F1316" s="119"/>
      <c r="G1316" s="119"/>
      <c r="H1316" s="119"/>
    </row>
    <row r="1317" spans="3:8">
      <c r="C1317" s="119"/>
      <c r="D1317" s="119"/>
      <c r="E1317" s="119"/>
      <c r="F1317" s="119"/>
      <c r="G1317" s="119"/>
      <c r="H1317" s="119"/>
    </row>
    <row r="1318" spans="3:8">
      <c r="C1318" s="119"/>
      <c r="D1318" s="119"/>
      <c r="E1318" s="119"/>
      <c r="F1318" s="119"/>
      <c r="G1318" s="119"/>
      <c r="H1318" s="119"/>
    </row>
    <row r="1319" spans="3:8">
      <c r="C1319" s="119"/>
      <c r="D1319" s="119"/>
      <c r="E1319" s="119"/>
      <c r="F1319" s="119"/>
      <c r="G1319" s="119"/>
      <c r="H1319" s="119"/>
    </row>
    <row r="1320" spans="3:8">
      <c r="C1320" s="119"/>
      <c r="D1320" s="119"/>
      <c r="E1320" s="119"/>
      <c r="F1320" s="119"/>
      <c r="G1320" s="119"/>
      <c r="H1320" s="119"/>
    </row>
    <row r="1321" spans="3:8">
      <c r="C1321" s="119"/>
      <c r="D1321" s="119"/>
      <c r="E1321" s="119"/>
      <c r="F1321" s="119"/>
      <c r="G1321" s="119"/>
      <c r="H1321" s="119"/>
    </row>
    <row r="1322" spans="3:8">
      <c r="C1322" s="119"/>
      <c r="D1322" s="119"/>
      <c r="E1322" s="119"/>
      <c r="F1322" s="119"/>
      <c r="G1322" s="119"/>
      <c r="H1322" s="119"/>
    </row>
    <row r="1323" spans="3:8">
      <c r="C1323" s="119"/>
      <c r="D1323" s="119"/>
      <c r="E1323" s="119"/>
      <c r="F1323" s="119"/>
      <c r="G1323" s="119"/>
      <c r="H1323" s="119"/>
    </row>
    <row r="1324" spans="3:8">
      <c r="C1324" s="119"/>
      <c r="D1324" s="119"/>
      <c r="E1324" s="119"/>
      <c r="F1324" s="119"/>
      <c r="G1324" s="119"/>
      <c r="H1324" s="119"/>
    </row>
    <row r="1325" spans="3:8">
      <c r="C1325" s="119"/>
      <c r="D1325" s="119"/>
      <c r="E1325" s="119"/>
      <c r="F1325" s="119"/>
      <c r="G1325" s="119"/>
      <c r="H1325" s="119"/>
    </row>
    <row r="1326" spans="3:8">
      <c r="C1326" s="119"/>
      <c r="D1326" s="119"/>
      <c r="E1326" s="119"/>
      <c r="F1326" s="119"/>
      <c r="G1326" s="119"/>
      <c r="H1326" s="119"/>
    </row>
    <row r="1327" spans="3:8">
      <c r="C1327" s="119"/>
      <c r="D1327" s="119"/>
      <c r="E1327" s="119"/>
      <c r="F1327" s="119"/>
      <c r="G1327" s="119"/>
      <c r="H1327" s="119"/>
    </row>
    <row r="1328" spans="3:8">
      <c r="C1328" s="119"/>
      <c r="D1328" s="119"/>
      <c r="E1328" s="119"/>
      <c r="F1328" s="119"/>
      <c r="G1328" s="119"/>
      <c r="H1328" s="119"/>
    </row>
    <row r="1329" spans="3:8">
      <c r="C1329" s="119"/>
      <c r="D1329" s="119"/>
      <c r="E1329" s="119"/>
      <c r="F1329" s="119"/>
      <c r="G1329" s="119"/>
      <c r="H1329" s="119"/>
    </row>
    <row r="1330" spans="3:8">
      <c r="C1330" s="119"/>
      <c r="D1330" s="119"/>
      <c r="E1330" s="119"/>
      <c r="F1330" s="119"/>
      <c r="G1330" s="119"/>
      <c r="H1330" s="119"/>
    </row>
    <row r="1331" spans="3:8">
      <c r="C1331" s="119"/>
      <c r="D1331" s="119"/>
      <c r="E1331" s="119"/>
      <c r="F1331" s="119"/>
      <c r="G1331" s="119"/>
      <c r="H1331" s="119"/>
    </row>
    <row r="1332" spans="3:8">
      <c r="C1332" s="119"/>
      <c r="D1332" s="119"/>
      <c r="E1332" s="119"/>
      <c r="F1332" s="119"/>
      <c r="G1332" s="119"/>
      <c r="H1332" s="119"/>
    </row>
    <row r="1333" spans="3:8">
      <c r="C1333" s="119"/>
      <c r="D1333" s="119"/>
      <c r="E1333" s="119"/>
      <c r="F1333" s="119"/>
      <c r="G1333" s="119"/>
      <c r="H1333" s="119"/>
    </row>
    <row r="1334" spans="3:8">
      <c r="C1334" s="119"/>
      <c r="D1334" s="119"/>
      <c r="E1334" s="119"/>
      <c r="F1334" s="119"/>
      <c r="G1334" s="119"/>
      <c r="H1334" s="119"/>
    </row>
    <row r="1335" spans="3:8">
      <c r="C1335" s="119"/>
      <c r="D1335" s="119"/>
      <c r="E1335" s="119"/>
      <c r="F1335" s="119"/>
      <c r="G1335" s="119"/>
      <c r="H1335" s="119"/>
    </row>
    <row r="1336" spans="3:8">
      <c r="C1336" s="119"/>
      <c r="D1336" s="119"/>
      <c r="E1336" s="119"/>
      <c r="F1336" s="119"/>
      <c r="G1336" s="119"/>
      <c r="H1336" s="119"/>
    </row>
    <row r="1337" spans="3:8">
      <c r="C1337" s="119"/>
      <c r="D1337" s="119"/>
      <c r="E1337" s="119"/>
      <c r="F1337" s="119"/>
      <c r="G1337" s="119"/>
      <c r="H1337" s="119"/>
    </row>
    <row r="1338" spans="3:8">
      <c r="C1338" s="119"/>
      <c r="D1338" s="119"/>
      <c r="E1338" s="119"/>
      <c r="F1338" s="119"/>
      <c r="G1338" s="119"/>
      <c r="H1338" s="119"/>
    </row>
    <row r="1339" spans="3:8">
      <c r="C1339" s="119"/>
      <c r="D1339" s="119"/>
      <c r="E1339" s="119"/>
      <c r="F1339" s="119"/>
      <c r="G1339" s="119"/>
      <c r="H1339" s="119"/>
    </row>
    <row r="1340" spans="3:8">
      <c r="C1340" s="119"/>
      <c r="D1340" s="119"/>
      <c r="E1340" s="119"/>
      <c r="F1340" s="119"/>
      <c r="G1340" s="119"/>
      <c r="H1340" s="119"/>
    </row>
    <row r="1341" spans="3:8">
      <c r="C1341" s="119"/>
      <c r="D1341" s="119"/>
      <c r="E1341" s="119"/>
      <c r="F1341" s="119"/>
      <c r="G1341" s="119"/>
      <c r="H1341" s="119"/>
    </row>
    <row r="1342" spans="3:8">
      <c r="C1342" s="119"/>
      <c r="D1342" s="119"/>
      <c r="E1342" s="119"/>
      <c r="F1342" s="119"/>
      <c r="G1342" s="119"/>
      <c r="H1342" s="119"/>
    </row>
    <row r="1343" spans="3:8">
      <c r="C1343" s="119"/>
      <c r="D1343" s="119"/>
      <c r="E1343" s="119"/>
      <c r="F1343" s="119"/>
      <c r="G1343" s="119"/>
      <c r="H1343" s="119"/>
    </row>
    <row r="1344" spans="3:8">
      <c r="C1344" s="119"/>
      <c r="D1344" s="119"/>
      <c r="E1344" s="119"/>
      <c r="F1344" s="119"/>
      <c r="G1344" s="119"/>
      <c r="H1344" s="119"/>
    </row>
    <row r="1345" spans="3:8">
      <c r="C1345" s="119"/>
      <c r="D1345" s="119"/>
      <c r="E1345" s="119"/>
      <c r="F1345" s="119"/>
      <c r="G1345" s="119"/>
      <c r="H1345" s="119"/>
    </row>
    <row r="1346" spans="3:8">
      <c r="C1346" s="119"/>
      <c r="D1346" s="119"/>
      <c r="E1346" s="119"/>
      <c r="F1346" s="119"/>
      <c r="G1346" s="119"/>
      <c r="H1346" s="119"/>
    </row>
    <row r="1347" spans="3:8">
      <c r="C1347" s="119"/>
      <c r="D1347" s="119"/>
      <c r="E1347" s="119"/>
      <c r="F1347" s="119"/>
      <c r="G1347" s="119"/>
      <c r="H1347" s="119"/>
    </row>
    <row r="1348" spans="3:8">
      <c r="C1348" s="119"/>
      <c r="D1348" s="119"/>
      <c r="E1348" s="119"/>
      <c r="F1348" s="119"/>
      <c r="G1348" s="119"/>
      <c r="H1348" s="119"/>
    </row>
    <row r="1349" spans="3:8">
      <c r="C1349" s="119"/>
      <c r="D1349" s="119"/>
      <c r="E1349" s="119"/>
      <c r="F1349" s="119"/>
      <c r="G1349" s="119"/>
      <c r="H1349" s="119"/>
    </row>
    <row r="1350" spans="3:8">
      <c r="C1350" s="119"/>
      <c r="D1350" s="119"/>
      <c r="E1350" s="119"/>
      <c r="F1350" s="119"/>
      <c r="G1350" s="119"/>
      <c r="H1350" s="119"/>
    </row>
    <row r="1351" spans="3:8">
      <c r="C1351" s="119"/>
      <c r="D1351" s="119"/>
      <c r="E1351" s="119"/>
      <c r="F1351" s="119"/>
      <c r="G1351" s="119"/>
      <c r="H1351" s="119"/>
    </row>
    <row r="1352" spans="3:8">
      <c r="C1352" s="119"/>
      <c r="D1352" s="119"/>
      <c r="E1352" s="119"/>
      <c r="F1352" s="119"/>
      <c r="G1352" s="119"/>
      <c r="H1352" s="119"/>
    </row>
    <row r="1353" spans="3:8">
      <c r="C1353" s="119"/>
      <c r="D1353" s="119"/>
      <c r="E1353" s="119"/>
      <c r="F1353" s="119"/>
      <c r="G1353" s="119"/>
      <c r="H1353" s="119"/>
    </row>
    <row r="1354" spans="3:8">
      <c r="C1354" s="119"/>
      <c r="D1354" s="119"/>
      <c r="E1354" s="119"/>
      <c r="F1354" s="119"/>
      <c r="G1354" s="119"/>
      <c r="H1354" s="119"/>
    </row>
    <row r="1355" spans="3:8">
      <c r="C1355" s="119"/>
      <c r="D1355" s="119"/>
      <c r="E1355" s="119"/>
      <c r="F1355" s="119"/>
      <c r="G1355" s="119"/>
      <c r="H1355" s="119"/>
    </row>
    <row r="1356" spans="3:8">
      <c r="C1356" s="119"/>
      <c r="D1356" s="119"/>
      <c r="E1356" s="119"/>
      <c r="F1356" s="119"/>
      <c r="G1356" s="119"/>
      <c r="H1356" s="119"/>
    </row>
    <row r="1357" spans="3:8">
      <c r="C1357" s="119"/>
      <c r="D1357" s="119"/>
      <c r="E1357" s="119"/>
      <c r="F1357" s="119"/>
      <c r="G1357" s="119"/>
      <c r="H1357" s="119"/>
    </row>
    <row r="1358" spans="3:8">
      <c r="C1358" s="119"/>
      <c r="D1358" s="119"/>
      <c r="E1358" s="119"/>
      <c r="F1358" s="119"/>
      <c r="G1358" s="119"/>
      <c r="H1358" s="119"/>
    </row>
    <row r="1359" spans="3:8">
      <c r="C1359" s="119"/>
      <c r="D1359" s="119"/>
      <c r="E1359" s="119"/>
      <c r="F1359" s="119"/>
      <c r="G1359" s="119"/>
      <c r="H1359" s="119"/>
    </row>
    <row r="1360" spans="3:8">
      <c r="C1360" s="119"/>
      <c r="D1360" s="119"/>
      <c r="E1360" s="119"/>
      <c r="F1360" s="119"/>
      <c r="G1360" s="119"/>
      <c r="H1360" s="119"/>
    </row>
    <row r="1361" spans="3:8">
      <c r="C1361" s="119"/>
      <c r="D1361" s="119"/>
      <c r="E1361" s="119"/>
      <c r="F1361" s="119"/>
      <c r="G1361" s="119"/>
      <c r="H1361" s="119"/>
    </row>
    <row r="1362" spans="3:8">
      <c r="C1362" s="119"/>
      <c r="D1362" s="119"/>
      <c r="E1362" s="119"/>
      <c r="F1362" s="119"/>
      <c r="G1362" s="119"/>
      <c r="H1362" s="119"/>
    </row>
    <row r="1363" spans="3:8">
      <c r="C1363" s="119"/>
      <c r="D1363" s="119"/>
      <c r="E1363" s="119"/>
      <c r="F1363" s="119"/>
      <c r="G1363" s="119"/>
      <c r="H1363" s="119"/>
    </row>
    <row r="1364" spans="3:8">
      <c r="C1364" s="119"/>
      <c r="D1364" s="119"/>
      <c r="E1364" s="119"/>
      <c r="F1364" s="119"/>
      <c r="G1364" s="119"/>
      <c r="H1364" s="119"/>
    </row>
    <row r="1365" spans="3:8">
      <c r="C1365" s="119"/>
      <c r="D1365" s="119"/>
      <c r="E1365" s="119"/>
      <c r="F1365" s="119"/>
      <c r="G1365" s="119"/>
      <c r="H1365" s="119"/>
    </row>
    <row r="1366" spans="3:8">
      <c r="C1366" s="119"/>
      <c r="D1366" s="119"/>
      <c r="E1366" s="119"/>
      <c r="F1366" s="119"/>
      <c r="G1366" s="119"/>
      <c r="H1366" s="119"/>
    </row>
    <row r="1367" spans="3:8">
      <c r="C1367" s="119"/>
      <c r="D1367" s="119"/>
      <c r="E1367" s="119"/>
      <c r="F1367" s="119"/>
      <c r="G1367" s="119"/>
      <c r="H1367" s="119"/>
    </row>
    <row r="1368" spans="3:8">
      <c r="C1368" s="119"/>
      <c r="D1368" s="119"/>
      <c r="E1368" s="119"/>
      <c r="F1368" s="119"/>
      <c r="G1368" s="119"/>
      <c r="H1368" s="119"/>
    </row>
    <row r="1369" spans="3:8">
      <c r="C1369" s="119"/>
      <c r="D1369" s="119"/>
      <c r="E1369" s="119"/>
      <c r="F1369" s="119"/>
      <c r="G1369" s="119"/>
      <c r="H1369" s="119"/>
    </row>
    <row r="1370" spans="3:8">
      <c r="C1370" s="119"/>
      <c r="D1370" s="119"/>
      <c r="E1370" s="119"/>
      <c r="F1370" s="119"/>
      <c r="G1370" s="119"/>
      <c r="H1370" s="119"/>
    </row>
    <row r="1371" spans="3:8">
      <c r="C1371" s="119"/>
      <c r="D1371" s="119"/>
      <c r="E1371" s="119"/>
      <c r="F1371" s="119"/>
      <c r="G1371" s="119"/>
      <c r="H1371" s="119"/>
    </row>
    <row r="1372" spans="3:8">
      <c r="C1372" s="119"/>
      <c r="D1372" s="119"/>
      <c r="E1372" s="119"/>
      <c r="F1372" s="119"/>
      <c r="G1372" s="119"/>
      <c r="H1372" s="119"/>
    </row>
    <row r="1373" spans="3:8">
      <c r="C1373" s="119"/>
      <c r="D1373" s="119"/>
      <c r="E1373" s="119"/>
      <c r="F1373" s="119"/>
      <c r="G1373" s="119"/>
      <c r="H1373" s="119"/>
    </row>
    <row r="1374" spans="3:8">
      <c r="C1374" s="119"/>
      <c r="D1374" s="119"/>
      <c r="E1374" s="119"/>
      <c r="F1374" s="119"/>
      <c r="G1374" s="119"/>
      <c r="H1374" s="119"/>
    </row>
    <row r="1375" spans="3:8">
      <c r="C1375" s="119"/>
      <c r="D1375" s="119"/>
      <c r="E1375" s="119"/>
      <c r="F1375" s="119"/>
      <c r="G1375" s="119"/>
      <c r="H1375" s="119"/>
    </row>
    <row r="1376" spans="3:8">
      <c r="C1376" s="119"/>
      <c r="D1376" s="119"/>
      <c r="E1376" s="119"/>
      <c r="F1376" s="119"/>
      <c r="G1376" s="119"/>
      <c r="H1376" s="119"/>
    </row>
    <row r="1377" spans="3:8">
      <c r="C1377" s="119"/>
      <c r="D1377" s="119"/>
      <c r="E1377" s="119"/>
      <c r="F1377" s="119"/>
      <c r="G1377" s="119"/>
      <c r="H1377" s="119"/>
    </row>
    <row r="1378" spans="3:8">
      <c r="C1378" s="119"/>
      <c r="D1378" s="119"/>
      <c r="E1378" s="119"/>
      <c r="F1378" s="119"/>
      <c r="G1378" s="119"/>
      <c r="H1378" s="119"/>
    </row>
    <row r="1379" spans="3:8">
      <c r="C1379" s="119"/>
      <c r="D1379" s="119"/>
      <c r="E1379" s="119"/>
      <c r="F1379" s="119"/>
      <c r="G1379" s="119"/>
      <c r="H1379" s="119"/>
    </row>
    <row r="1380" spans="3:8">
      <c r="C1380" s="119"/>
      <c r="D1380" s="119"/>
      <c r="E1380" s="119"/>
      <c r="F1380" s="119"/>
      <c r="G1380" s="119"/>
      <c r="H1380" s="119"/>
    </row>
    <row r="1381" spans="3:8">
      <c r="C1381" s="119"/>
      <c r="D1381" s="119"/>
      <c r="E1381" s="119"/>
      <c r="F1381" s="119"/>
      <c r="G1381" s="119"/>
      <c r="H1381" s="119"/>
    </row>
    <row r="1382" spans="3:8">
      <c r="C1382" s="119"/>
      <c r="D1382" s="119"/>
      <c r="E1382" s="119"/>
      <c r="F1382" s="119"/>
      <c r="G1382" s="119"/>
      <c r="H1382" s="119"/>
    </row>
    <row r="1383" spans="3:8">
      <c r="C1383" s="119"/>
      <c r="D1383" s="119"/>
      <c r="E1383" s="119"/>
      <c r="F1383" s="119"/>
      <c r="G1383" s="119"/>
      <c r="H1383" s="119"/>
    </row>
    <row r="1384" spans="3:8">
      <c r="C1384" s="119"/>
      <c r="D1384" s="119"/>
      <c r="E1384" s="119"/>
      <c r="F1384" s="119"/>
      <c r="G1384" s="119"/>
      <c r="H1384" s="119"/>
    </row>
    <row r="1385" spans="3:8">
      <c r="C1385" s="119"/>
      <c r="D1385" s="119"/>
      <c r="E1385" s="119"/>
      <c r="F1385" s="119"/>
      <c r="G1385" s="119"/>
      <c r="H1385" s="119"/>
    </row>
    <row r="1386" spans="3:8">
      <c r="C1386" s="119"/>
      <c r="D1386" s="119"/>
      <c r="E1386" s="119"/>
      <c r="F1386" s="119"/>
      <c r="G1386" s="119"/>
      <c r="H1386" s="119"/>
    </row>
    <row r="1387" spans="3:8">
      <c r="C1387" s="119"/>
      <c r="D1387" s="119"/>
      <c r="E1387" s="119"/>
      <c r="F1387" s="119"/>
      <c r="G1387" s="119"/>
      <c r="H1387" s="119"/>
    </row>
    <row r="1388" spans="3:8">
      <c r="C1388" s="119"/>
      <c r="D1388" s="119"/>
      <c r="E1388" s="119"/>
      <c r="F1388" s="119"/>
      <c r="G1388" s="119"/>
      <c r="H1388" s="119"/>
    </row>
    <row r="1389" spans="3:8">
      <c r="C1389" s="119"/>
      <c r="D1389" s="119"/>
      <c r="E1389" s="119"/>
      <c r="F1389" s="119"/>
      <c r="G1389" s="119"/>
      <c r="H1389" s="119"/>
    </row>
    <row r="1390" spans="3:8">
      <c r="C1390" s="119"/>
      <c r="D1390" s="119"/>
      <c r="E1390" s="119"/>
      <c r="F1390" s="119"/>
      <c r="G1390" s="119"/>
      <c r="H1390" s="119"/>
    </row>
    <row r="1391" spans="3:8">
      <c r="C1391" s="119"/>
      <c r="D1391" s="119"/>
      <c r="E1391" s="119"/>
      <c r="F1391" s="119"/>
      <c r="G1391" s="119"/>
      <c r="H1391" s="119"/>
    </row>
    <row r="1392" spans="3:8">
      <c r="C1392" s="119"/>
      <c r="D1392" s="119"/>
      <c r="E1392" s="119"/>
      <c r="F1392" s="119"/>
      <c r="G1392" s="119"/>
      <c r="H1392" s="119"/>
    </row>
    <row r="1393" spans="3:8">
      <c r="C1393" s="119"/>
      <c r="D1393" s="119"/>
      <c r="E1393" s="119"/>
      <c r="F1393" s="119"/>
      <c r="G1393" s="119"/>
      <c r="H1393" s="119"/>
    </row>
    <row r="1394" spans="3:8">
      <c r="C1394" s="119"/>
      <c r="D1394" s="119"/>
      <c r="E1394" s="119"/>
      <c r="F1394" s="119"/>
      <c r="G1394" s="119"/>
      <c r="H1394" s="119"/>
    </row>
    <row r="1395" spans="3:8">
      <c r="C1395" s="119"/>
      <c r="D1395" s="119"/>
      <c r="E1395" s="119"/>
      <c r="F1395" s="119"/>
      <c r="G1395" s="119"/>
      <c r="H1395" s="119"/>
    </row>
    <row r="1396" spans="3:8">
      <c r="C1396" s="119"/>
      <c r="D1396" s="119"/>
      <c r="E1396" s="119"/>
      <c r="F1396" s="119"/>
      <c r="G1396" s="119"/>
      <c r="H1396" s="119"/>
    </row>
    <row r="1397" spans="3:8">
      <c r="C1397" s="119"/>
      <c r="D1397" s="119"/>
      <c r="E1397" s="119"/>
      <c r="F1397" s="119"/>
      <c r="G1397" s="119"/>
      <c r="H1397" s="119"/>
    </row>
    <row r="1398" spans="3:8">
      <c r="C1398" s="119"/>
      <c r="D1398" s="119"/>
      <c r="E1398" s="119"/>
      <c r="F1398" s="119"/>
      <c r="G1398" s="119"/>
      <c r="H1398" s="119"/>
    </row>
    <row r="1399" spans="3:8">
      <c r="C1399" s="119"/>
      <c r="D1399" s="119"/>
      <c r="E1399" s="119"/>
      <c r="F1399" s="119"/>
      <c r="G1399" s="119"/>
      <c r="H1399" s="119"/>
    </row>
    <row r="1400" spans="3:8">
      <c r="C1400" s="119"/>
      <c r="D1400" s="119"/>
      <c r="E1400" s="119"/>
      <c r="F1400" s="119"/>
      <c r="G1400" s="119"/>
      <c r="H1400" s="119"/>
    </row>
    <row r="1401" spans="3:8">
      <c r="C1401" s="119"/>
      <c r="D1401" s="119"/>
      <c r="E1401" s="119"/>
      <c r="F1401" s="119"/>
      <c r="G1401" s="119"/>
      <c r="H1401" s="119"/>
    </row>
    <row r="1402" spans="3:8">
      <c r="C1402" s="119"/>
      <c r="D1402" s="119"/>
      <c r="E1402" s="119"/>
      <c r="F1402" s="119"/>
      <c r="G1402" s="119"/>
      <c r="H1402" s="119"/>
    </row>
    <row r="1403" spans="3:8">
      <c r="C1403" s="119"/>
      <c r="D1403" s="119"/>
      <c r="E1403" s="119"/>
      <c r="F1403" s="119"/>
      <c r="G1403" s="119"/>
      <c r="H1403" s="119"/>
    </row>
    <row r="1404" spans="3:8">
      <c r="C1404" s="119"/>
      <c r="D1404" s="119"/>
      <c r="E1404" s="119"/>
      <c r="F1404" s="119"/>
      <c r="G1404" s="119"/>
      <c r="H1404" s="119"/>
    </row>
    <row r="1405" spans="3:8">
      <c r="C1405" s="119"/>
      <c r="D1405" s="119"/>
      <c r="E1405" s="119"/>
      <c r="F1405" s="119"/>
      <c r="G1405" s="119"/>
      <c r="H1405" s="119"/>
    </row>
    <row r="1406" spans="3:8">
      <c r="C1406" s="119"/>
      <c r="D1406" s="119"/>
      <c r="E1406" s="119"/>
      <c r="F1406" s="119"/>
      <c r="G1406" s="119"/>
      <c r="H1406" s="119"/>
    </row>
    <row r="1407" spans="3:8">
      <c r="C1407" s="119"/>
      <c r="D1407" s="119"/>
      <c r="E1407" s="119"/>
      <c r="F1407" s="119"/>
      <c r="G1407" s="119"/>
      <c r="H1407" s="119"/>
    </row>
    <row r="1408" spans="3:8">
      <c r="C1408" s="119"/>
      <c r="D1408" s="119"/>
      <c r="E1408" s="119"/>
      <c r="F1408" s="119"/>
      <c r="G1408" s="119"/>
      <c r="H1408" s="119"/>
    </row>
    <row r="1409" spans="3:8">
      <c r="C1409" s="119"/>
      <c r="D1409" s="119"/>
      <c r="E1409" s="119"/>
      <c r="F1409" s="119"/>
      <c r="G1409" s="119"/>
      <c r="H1409" s="119"/>
    </row>
    <row r="1410" spans="3:8">
      <c r="C1410" s="119"/>
      <c r="D1410" s="119"/>
      <c r="E1410" s="119"/>
      <c r="F1410" s="119"/>
      <c r="G1410" s="119"/>
      <c r="H1410" s="119"/>
    </row>
    <row r="1411" spans="3:8">
      <c r="C1411" s="119"/>
      <c r="D1411" s="119"/>
      <c r="E1411" s="119"/>
      <c r="F1411" s="119"/>
      <c r="G1411" s="119"/>
      <c r="H1411" s="119"/>
    </row>
    <row r="1412" spans="3:8">
      <c r="C1412" s="119"/>
      <c r="D1412" s="119"/>
      <c r="E1412" s="119"/>
      <c r="F1412" s="119"/>
      <c r="G1412" s="119"/>
      <c r="H1412" s="119"/>
    </row>
    <row r="1413" spans="3:8">
      <c r="C1413" s="119"/>
      <c r="D1413" s="119"/>
      <c r="E1413" s="119"/>
      <c r="F1413" s="119"/>
      <c r="G1413" s="119"/>
      <c r="H1413" s="119"/>
    </row>
    <row r="1414" spans="3:8">
      <c r="C1414" s="119"/>
      <c r="D1414" s="119"/>
      <c r="E1414" s="119"/>
      <c r="F1414" s="119"/>
      <c r="G1414" s="119"/>
      <c r="H1414" s="119"/>
    </row>
    <row r="1415" spans="3:8">
      <c r="C1415" s="119"/>
      <c r="D1415" s="119"/>
      <c r="E1415" s="119"/>
      <c r="F1415" s="119"/>
      <c r="G1415" s="119"/>
      <c r="H1415" s="119"/>
    </row>
    <row r="1416" spans="3:8">
      <c r="C1416" s="119"/>
      <c r="D1416" s="119"/>
      <c r="E1416" s="119"/>
      <c r="F1416" s="119"/>
      <c r="G1416" s="119"/>
      <c r="H1416" s="119"/>
    </row>
    <row r="1417" spans="3:8">
      <c r="C1417" s="119"/>
      <c r="D1417" s="119"/>
      <c r="E1417" s="119"/>
      <c r="F1417" s="119"/>
      <c r="G1417" s="119"/>
      <c r="H1417" s="119"/>
    </row>
    <row r="1418" spans="3:8">
      <c r="C1418" s="119"/>
      <c r="D1418" s="119"/>
      <c r="E1418" s="119"/>
      <c r="F1418" s="119"/>
      <c r="G1418" s="119"/>
      <c r="H1418" s="119"/>
    </row>
    <row r="1419" spans="3:8">
      <c r="C1419" s="119"/>
      <c r="D1419" s="119"/>
      <c r="E1419" s="119"/>
      <c r="F1419" s="119"/>
      <c r="G1419" s="119"/>
      <c r="H1419" s="119"/>
    </row>
    <row r="1420" spans="3:8">
      <c r="C1420" s="119"/>
      <c r="D1420" s="119"/>
      <c r="E1420" s="119"/>
      <c r="F1420" s="119"/>
      <c r="G1420" s="119"/>
      <c r="H1420" s="119"/>
    </row>
    <row r="1421" spans="3:8">
      <c r="C1421" s="119"/>
      <c r="D1421" s="119"/>
      <c r="E1421" s="119"/>
      <c r="F1421" s="119"/>
      <c r="G1421" s="119"/>
      <c r="H1421" s="119"/>
    </row>
    <row r="1422" spans="3:8">
      <c r="C1422" s="119"/>
      <c r="D1422" s="119"/>
      <c r="E1422" s="119"/>
      <c r="F1422" s="119"/>
      <c r="G1422" s="119"/>
      <c r="H1422" s="119"/>
    </row>
    <row r="1423" spans="3:8">
      <c r="C1423" s="119"/>
      <c r="D1423" s="119"/>
      <c r="E1423" s="119"/>
      <c r="F1423" s="119"/>
      <c r="G1423" s="119"/>
      <c r="H1423" s="119"/>
    </row>
    <row r="1424" spans="3:8">
      <c r="C1424" s="119"/>
      <c r="D1424" s="119"/>
      <c r="E1424" s="119"/>
      <c r="F1424" s="119"/>
      <c r="G1424" s="119"/>
      <c r="H1424" s="119"/>
    </row>
    <row r="1425" spans="3:8">
      <c r="C1425" s="119"/>
      <c r="D1425" s="119"/>
      <c r="E1425" s="119"/>
      <c r="F1425" s="119"/>
      <c r="G1425" s="119"/>
      <c r="H1425" s="119"/>
    </row>
    <row r="1426" spans="3:8">
      <c r="C1426" s="119"/>
      <c r="D1426" s="119"/>
      <c r="E1426" s="119"/>
      <c r="F1426" s="119"/>
      <c r="G1426" s="119"/>
      <c r="H1426" s="119"/>
    </row>
    <row r="1427" spans="3:8">
      <c r="C1427" s="119"/>
      <c r="D1427" s="119"/>
      <c r="E1427" s="119"/>
      <c r="F1427" s="119"/>
      <c r="G1427" s="119"/>
      <c r="H1427" s="119"/>
    </row>
    <row r="1428" spans="3:8">
      <c r="C1428" s="119"/>
      <c r="D1428" s="119"/>
      <c r="E1428" s="119"/>
      <c r="F1428" s="119"/>
      <c r="G1428" s="119"/>
      <c r="H1428" s="119"/>
    </row>
    <row r="1429" spans="3:8">
      <c r="C1429" s="119"/>
      <c r="D1429" s="119"/>
      <c r="E1429" s="119"/>
      <c r="F1429" s="119"/>
      <c r="G1429" s="119"/>
      <c r="H1429" s="119"/>
    </row>
    <row r="1430" spans="3:8">
      <c r="C1430" s="119"/>
      <c r="D1430" s="119"/>
      <c r="E1430" s="119"/>
      <c r="F1430" s="119"/>
      <c r="G1430" s="119"/>
      <c r="H1430" s="119"/>
    </row>
    <row r="1431" spans="3:8">
      <c r="C1431" s="119"/>
      <c r="D1431" s="119"/>
      <c r="E1431" s="119"/>
      <c r="F1431" s="119"/>
      <c r="G1431" s="119"/>
      <c r="H1431" s="119"/>
    </row>
    <row r="1432" spans="3:8">
      <c r="C1432" s="119"/>
      <c r="D1432" s="119"/>
      <c r="E1432" s="119"/>
      <c r="F1432" s="119"/>
      <c r="G1432" s="119"/>
      <c r="H1432" s="119"/>
    </row>
    <row r="1433" spans="3:8">
      <c r="C1433" s="119"/>
      <c r="D1433" s="119"/>
      <c r="E1433" s="119"/>
      <c r="F1433" s="119"/>
      <c r="G1433" s="119"/>
      <c r="H1433" s="119"/>
    </row>
    <row r="1434" spans="3:8">
      <c r="C1434" s="119"/>
      <c r="D1434" s="119"/>
      <c r="E1434" s="119"/>
      <c r="F1434" s="119"/>
      <c r="G1434" s="119"/>
      <c r="H1434" s="119"/>
    </row>
    <row r="1435" spans="3:8">
      <c r="C1435" s="119"/>
      <c r="D1435" s="119"/>
      <c r="E1435" s="119"/>
      <c r="F1435" s="119"/>
      <c r="G1435" s="119"/>
      <c r="H1435" s="119"/>
    </row>
    <row r="1436" spans="3:8">
      <c r="C1436" s="119"/>
      <c r="D1436" s="119"/>
      <c r="E1436" s="119"/>
      <c r="F1436" s="119"/>
      <c r="G1436" s="119"/>
      <c r="H1436" s="119"/>
    </row>
    <row r="1437" spans="3:8">
      <c r="C1437" s="119"/>
      <c r="D1437" s="119"/>
      <c r="E1437" s="119"/>
      <c r="F1437" s="119"/>
      <c r="G1437" s="119"/>
      <c r="H1437" s="119"/>
    </row>
    <row r="1438" spans="3:8">
      <c r="C1438" s="119"/>
      <c r="D1438" s="119"/>
      <c r="E1438" s="119"/>
      <c r="F1438" s="119"/>
      <c r="G1438" s="119"/>
      <c r="H1438" s="119"/>
    </row>
    <row r="1439" spans="3:8">
      <c r="C1439" s="119"/>
      <c r="D1439" s="119"/>
      <c r="E1439" s="119"/>
      <c r="F1439" s="119"/>
      <c r="G1439" s="119"/>
      <c r="H1439" s="119"/>
    </row>
    <row r="1440" spans="3:8">
      <c r="C1440" s="119"/>
      <c r="D1440" s="119"/>
      <c r="E1440" s="119"/>
      <c r="F1440" s="119"/>
      <c r="G1440" s="119"/>
      <c r="H1440" s="119"/>
    </row>
    <row r="1441" spans="3:8">
      <c r="C1441" s="119"/>
      <c r="D1441" s="119"/>
      <c r="E1441" s="119"/>
      <c r="F1441" s="119"/>
      <c r="G1441" s="119"/>
      <c r="H1441" s="119"/>
    </row>
    <row r="1442" spans="3:8">
      <c r="C1442" s="119"/>
      <c r="D1442" s="119"/>
      <c r="E1442" s="119"/>
      <c r="F1442" s="119"/>
      <c r="G1442" s="119"/>
      <c r="H1442" s="119"/>
    </row>
    <row r="1443" spans="3:8">
      <c r="C1443" s="119"/>
      <c r="D1443" s="119"/>
      <c r="E1443" s="119"/>
      <c r="F1443" s="119"/>
      <c r="G1443" s="119"/>
      <c r="H1443" s="119"/>
    </row>
    <row r="1444" spans="3:8">
      <c r="C1444" s="119"/>
      <c r="D1444" s="119"/>
      <c r="E1444" s="119"/>
      <c r="F1444" s="119"/>
      <c r="G1444" s="119"/>
      <c r="H1444" s="119"/>
    </row>
    <row r="1445" spans="3:8">
      <c r="C1445" s="119"/>
      <c r="D1445" s="119"/>
      <c r="E1445" s="119"/>
      <c r="F1445" s="119"/>
      <c r="G1445" s="119"/>
      <c r="H1445" s="119"/>
    </row>
    <row r="1446" spans="3:8">
      <c r="C1446" s="119"/>
      <c r="D1446" s="119"/>
      <c r="E1446" s="119"/>
      <c r="F1446" s="119"/>
      <c r="G1446" s="119"/>
      <c r="H1446" s="119"/>
    </row>
    <row r="1447" spans="3:8">
      <c r="C1447" s="119"/>
      <c r="D1447" s="119"/>
      <c r="E1447" s="119"/>
      <c r="F1447" s="119"/>
      <c r="G1447" s="119"/>
      <c r="H1447" s="119"/>
    </row>
    <row r="1448" spans="3:8">
      <c r="C1448" s="119"/>
      <c r="D1448" s="119"/>
      <c r="E1448" s="119"/>
      <c r="F1448" s="119"/>
      <c r="G1448" s="119"/>
      <c r="H1448" s="119"/>
    </row>
    <row r="1449" spans="3:8">
      <c r="C1449" s="119"/>
      <c r="D1449" s="119"/>
      <c r="E1449" s="119"/>
      <c r="F1449" s="119"/>
      <c r="G1449" s="119"/>
      <c r="H1449" s="119"/>
    </row>
    <row r="1450" spans="3:8">
      <c r="C1450" s="119"/>
      <c r="D1450" s="119"/>
      <c r="E1450" s="119"/>
      <c r="F1450" s="119"/>
      <c r="G1450" s="119"/>
      <c r="H1450" s="119"/>
    </row>
    <row r="1451" spans="3:8">
      <c r="C1451" s="119"/>
      <c r="D1451" s="119"/>
      <c r="E1451" s="119"/>
      <c r="F1451" s="119"/>
      <c r="G1451" s="119"/>
      <c r="H1451" s="119"/>
    </row>
    <row r="1452" spans="3:8">
      <c r="C1452" s="119"/>
      <c r="D1452" s="119"/>
      <c r="E1452" s="119"/>
      <c r="F1452" s="119"/>
      <c r="G1452" s="119"/>
      <c r="H1452" s="119"/>
    </row>
    <row r="1453" spans="3:8">
      <c r="C1453" s="119"/>
      <c r="D1453" s="119"/>
      <c r="E1453" s="119"/>
      <c r="F1453" s="119"/>
      <c r="G1453" s="119"/>
      <c r="H1453" s="119"/>
    </row>
    <row r="1454" spans="3:8">
      <c r="C1454" s="119"/>
      <c r="D1454" s="119"/>
      <c r="E1454" s="119"/>
      <c r="F1454" s="119"/>
      <c r="G1454" s="119"/>
      <c r="H1454" s="119"/>
    </row>
    <row r="1455" spans="3:8">
      <c r="C1455" s="119"/>
      <c r="D1455" s="119"/>
      <c r="E1455" s="119"/>
      <c r="F1455" s="119"/>
      <c r="G1455" s="119"/>
      <c r="H1455" s="119"/>
    </row>
    <row r="1456" spans="3:8">
      <c r="C1456" s="119"/>
      <c r="D1456" s="119"/>
      <c r="E1456" s="119"/>
      <c r="F1456" s="119"/>
      <c r="G1456" s="119"/>
      <c r="H1456" s="119"/>
    </row>
    <row r="1457" spans="3:8">
      <c r="C1457" s="119"/>
      <c r="D1457" s="119"/>
      <c r="E1457" s="119"/>
      <c r="F1457" s="119"/>
      <c r="G1457" s="119"/>
      <c r="H1457" s="119"/>
    </row>
    <row r="1458" spans="3:8">
      <c r="C1458" s="119"/>
      <c r="D1458" s="119"/>
      <c r="E1458" s="119"/>
      <c r="F1458" s="119"/>
      <c r="G1458" s="119"/>
      <c r="H1458" s="119"/>
    </row>
    <row r="1459" spans="3:8">
      <c r="C1459" s="119"/>
      <c r="D1459" s="119"/>
      <c r="E1459" s="119"/>
      <c r="F1459" s="119"/>
      <c r="G1459" s="119"/>
      <c r="H1459" s="119"/>
    </row>
    <row r="1460" spans="3:8">
      <c r="C1460" s="119"/>
      <c r="D1460" s="119"/>
      <c r="E1460" s="119"/>
      <c r="F1460" s="119"/>
      <c r="G1460" s="119"/>
      <c r="H1460" s="119"/>
    </row>
    <row r="1461" spans="3:8">
      <c r="C1461" s="119"/>
      <c r="D1461" s="119"/>
      <c r="E1461" s="119"/>
      <c r="F1461" s="119"/>
      <c r="G1461" s="119"/>
      <c r="H1461" s="119"/>
    </row>
    <row r="1462" spans="3:8">
      <c r="C1462" s="119"/>
      <c r="D1462" s="119"/>
      <c r="E1462" s="119"/>
      <c r="F1462" s="119"/>
      <c r="G1462" s="119"/>
      <c r="H1462" s="119"/>
    </row>
    <row r="1463" spans="3:8">
      <c r="C1463" s="119"/>
      <c r="D1463" s="119"/>
      <c r="E1463" s="119"/>
      <c r="F1463" s="119"/>
      <c r="G1463" s="119"/>
      <c r="H1463" s="119"/>
    </row>
    <row r="1464" spans="3:8">
      <c r="C1464" s="119"/>
      <c r="D1464" s="119"/>
      <c r="E1464" s="119"/>
      <c r="F1464" s="119"/>
      <c r="G1464" s="119"/>
      <c r="H1464" s="119"/>
    </row>
    <row r="1465" spans="3:8">
      <c r="C1465" s="119"/>
      <c r="D1465" s="119"/>
      <c r="E1465" s="119"/>
      <c r="F1465" s="119"/>
      <c r="G1465" s="119"/>
      <c r="H1465" s="119"/>
    </row>
    <row r="1466" spans="3:8">
      <c r="C1466" s="119"/>
      <c r="D1466" s="119"/>
      <c r="E1466" s="119"/>
      <c r="F1466" s="119"/>
      <c r="G1466" s="119"/>
      <c r="H1466" s="119"/>
    </row>
    <row r="1467" spans="3:8">
      <c r="C1467" s="119"/>
      <c r="D1467" s="119"/>
      <c r="E1467" s="119"/>
      <c r="F1467" s="119"/>
      <c r="G1467" s="119"/>
      <c r="H1467" s="119"/>
    </row>
    <row r="1468" spans="3:8">
      <c r="C1468" s="119"/>
      <c r="D1468" s="119"/>
      <c r="E1468" s="119"/>
      <c r="F1468" s="119"/>
      <c r="G1468" s="119"/>
      <c r="H1468" s="119"/>
    </row>
    <row r="1469" spans="3:8">
      <c r="C1469" s="119"/>
      <c r="D1469" s="119"/>
      <c r="E1469" s="119"/>
      <c r="F1469" s="119"/>
      <c r="G1469" s="119"/>
      <c r="H1469" s="119"/>
    </row>
    <row r="1470" spans="3:8">
      <c r="C1470" s="119"/>
      <c r="D1470" s="119"/>
      <c r="E1470" s="119"/>
      <c r="F1470" s="119"/>
      <c r="G1470" s="119"/>
      <c r="H1470" s="119"/>
    </row>
    <row r="1471" spans="3:8">
      <c r="C1471" s="119"/>
      <c r="D1471" s="119"/>
      <c r="E1471" s="119"/>
      <c r="F1471" s="119"/>
      <c r="G1471" s="119"/>
      <c r="H1471" s="119"/>
    </row>
    <row r="1472" spans="3:8">
      <c r="C1472" s="119"/>
      <c r="D1472" s="119"/>
      <c r="E1472" s="119"/>
      <c r="F1472" s="119"/>
      <c r="G1472" s="119"/>
      <c r="H1472" s="119"/>
    </row>
    <row r="1473" spans="3:8">
      <c r="C1473" s="119"/>
      <c r="D1473" s="119"/>
      <c r="E1473" s="119"/>
      <c r="F1473" s="119"/>
      <c r="G1473" s="119"/>
      <c r="H1473" s="119"/>
    </row>
    <row r="1474" spans="3:8">
      <c r="C1474" s="119"/>
      <c r="D1474" s="119"/>
      <c r="E1474" s="119"/>
      <c r="F1474" s="119"/>
      <c r="G1474" s="119"/>
      <c r="H1474" s="119"/>
    </row>
    <row r="1475" spans="3:8">
      <c r="C1475" s="119"/>
      <c r="D1475" s="119"/>
      <c r="E1475" s="119"/>
      <c r="F1475" s="119"/>
      <c r="G1475" s="119"/>
      <c r="H1475" s="119"/>
    </row>
    <row r="1476" spans="3:8">
      <c r="C1476" s="119"/>
      <c r="D1476" s="119"/>
      <c r="E1476" s="119"/>
      <c r="F1476" s="119"/>
      <c r="G1476" s="119"/>
      <c r="H1476" s="119"/>
    </row>
    <row r="1477" spans="3:8">
      <c r="C1477" s="119"/>
      <c r="D1477" s="119"/>
      <c r="E1477" s="119"/>
      <c r="F1477" s="119"/>
      <c r="G1477" s="119"/>
      <c r="H1477" s="119"/>
    </row>
    <row r="1478" spans="3:8">
      <c r="C1478" s="119"/>
      <c r="D1478" s="119"/>
      <c r="E1478" s="119"/>
      <c r="F1478" s="119"/>
      <c r="G1478" s="119"/>
      <c r="H1478" s="119"/>
    </row>
    <row r="1479" spans="3:8">
      <c r="C1479" s="119"/>
      <c r="D1479" s="119"/>
      <c r="E1479" s="119"/>
      <c r="F1479" s="119"/>
      <c r="G1479" s="119"/>
      <c r="H1479" s="119"/>
    </row>
    <row r="1480" spans="3:8">
      <c r="C1480" s="119"/>
      <c r="D1480" s="119"/>
      <c r="E1480" s="119"/>
      <c r="F1480" s="119"/>
      <c r="G1480" s="119"/>
      <c r="H1480" s="119"/>
    </row>
    <row r="1481" spans="3:8">
      <c r="C1481" s="119"/>
      <c r="D1481" s="119"/>
      <c r="E1481" s="119"/>
      <c r="F1481" s="119"/>
      <c r="G1481" s="119"/>
      <c r="H1481" s="119"/>
    </row>
    <row r="1482" spans="3:8">
      <c r="C1482" s="119"/>
      <c r="D1482" s="119"/>
      <c r="E1482" s="119"/>
      <c r="F1482" s="119"/>
      <c r="G1482" s="119"/>
      <c r="H1482" s="119"/>
    </row>
    <row r="1483" spans="3:8">
      <c r="C1483" s="119"/>
      <c r="D1483" s="119"/>
      <c r="E1483" s="119"/>
      <c r="F1483" s="119"/>
      <c r="G1483" s="119"/>
      <c r="H1483" s="119"/>
    </row>
    <row r="1484" spans="3:8">
      <c r="C1484" s="119"/>
      <c r="D1484" s="119"/>
      <c r="E1484" s="119"/>
      <c r="F1484" s="119"/>
      <c r="G1484" s="119"/>
      <c r="H1484" s="119"/>
    </row>
    <row r="1485" spans="3:8">
      <c r="C1485" s="119"/>
      <c r="D1485" s="119"/>
      <c r="E1485" s="119"/>
      <c r="F1485" s="119"/>
      <c r="G1485" s="119"/>
      <c r="H1485" s="119"/>
    </row>
    <row r="1486" spans="3:8">
      <c r="C1486" s="119"/>
      <c r="D1486" s="119"/>
      <c r="E1486" s="119"/>
      <c r="F1486" s="119"/>
      <c r="G1486" s="119"/>
      <c r="H1486" s="119"/>
    </row>
    <row r="1487" spans="3:8">
      <c r="C1487" s="119"/>
      <c r="D1487" s="119"/>
      <c r="E1487" s="119"/>
      <c r="F1487" s="119"/>
      <c r="G1487" s="119"/>
      <c r="H1487" s="119"/>
    </row>
    <row r="1488" spans="3:8">
      <c r="C1488" s="119"/>
      <c r="D1488" s="119"/>
      <c r="E1488" s="119"/>
      <c r="F1488" s="119"/>
      <c r="G1488" s="119"/>
      <c r="H1488" s="119"/>
    </row>
    <row r="1489" spans="3:8">
      <c r="C1489" s="119"/>
      <c r="D1489" s="119"/>
      <c r="E1489" s="119"/>
      <c r="F1489" s="119"/>
      <c r="G1489" s="119"/>
      <c r="H1489" s="119"/>
    </row>
    <row r="1490" spans="3:8">
      <c r="C1490" s="119"/>
      <c r="D1490" s="119"/>
      <c r="E1490" s="119"/>
      <c r="F1490" s="119"/>
      <c r="G1490" s="119"/>
      <c r="H1490" s="119"/>
    </row>
    <row r="1491" spans="3:8">
      <c r="C1491" s="119"/>
      <c r="D1491" s="119"/>
      <c r="E1491" s="119"/>
      <c r="F1491" s="119"/>
      <c r="G1491" s="119"/>
      <c r="H1491" s="119"/>
    </row>
    <row r="1492" spans="3:8">
      <c r="C1492" s="119"/>
      <c r="D1492" s="119"/>
      <c r="E1492" s="119"/>
      <c r="F1492" s="119"/>
      <c r="G1492" s="119"/>
      <c r="H1492" s="119"/>
    </row>
    <row r="1493" spans="3:8">
      <c r="C1493" s="119"/>
      <c r="D1493" s="119"/>
      <c r="E1493" s="119"/>
      <c r="F1493" s="119"/>
      <c r="G1493" s="119"/>
      <c r="H1493" s="119"/>
    </row>
    <row r="1494" spans="3:8">
      <c r="C1494" s="119"/>
      <c r="D1494" s="119"/>
      <c r="E1494" s="119"/>
      <c r="F1494" s="119"/>
      <c r="G1494" s="119"/>
      <c r="H1494" s="119"/>
    </row>
    <row r="1495" spans="3:8">
      <c r="C1495" s="119"/>
      <c r="D1495" s="119"/>
      <c r="E1495" s="119"/>
      <c r="F1495" s="119"/>
      <c r="G1495" s="119"/>
      <c r="H1495" s="119"/>
    </row>
    <row r="1496" spans="3:8">
      <c r="C1496" s="119"/>
      <c r="D1496" s="119"/>
      <c r="E1496" s="119"/>
      <c r="F1496" s="119"/>
      <c r="G1496" s="119"/>
      <c r="H1496" s="119"/>
    </row>
    <row r="1497" spans="3:8">
      <c r="C1497" s="119"/>
      <c r="D1497" s="119"/>
      <c r="E1497" s="119"/>
      <c r="F1497" s="119"/>
      <c r="G1497" s="119"/>
      <c r="H1497" s="119"/>
    </row>
    <row r="1498" spans="3:8">
      <c r="C1498" s="119"/>
      <c r="D1498" s="119"/>
      <c r="E1498" s="119"/>
      <c r="F1498" s="119"/>
      <c r="G1498" s="119"/>
      <c r="H1498" s="119"/>
    </row>
    <row r="1499" spans="3:8">
      <c r="C1499" s="119"/>
      <c r="D1499" s="119"/>
      <c r="E1499" s="119"/>
      <c r="F1499" s="119"/>
      <c r="G1499" s="119"/>
      <c r="H1499" s="119"/>
    </row>
    <row r="1500" spans="3:8">
      <c r="C1500" s="119"/>
      <c r="D1500" s="119"/>
      <c r="E1500" s="119"/>
      <c r="F1500" s="119"/>
      <c r="G1500" s="119"/>
      <c r="H1500" s="119"/>
    </row>
    <row r="1501" spans="3:8">
      <c r="C1501" s="119"/>
      <c r="D1501" s="119"/>
      <c r="E1501" s="119"/>
      <c r="F1501" s="119"/>
      <c r="G1501" s="119"/>
      <c r="H1501" s="119"/>
    </row>
    <row r="1502" spans="3:8">
      <c r="C1502" s="119"/>
      <c r="D1502" s="119"/>
      <c r="E1502" s="119"/>
      <c r="F1502" s="119"/>
      <c r="G1502" s="119"/>
      <c r="H1502" s="119"/>
    </row>
    <row r="1503" spans="3:8">
      <c r="C1503" s="119"/>
      <c r="D1503" s="119"/>
      <c r="E1503" s="119"/>
      <c r="F1503" s="119"/>
      <c r="G1503" s="119"/>
      <c r="H1503" s="119"/>
    </row>
    <row r="1504" spans="3:8">
      <c r="C1504" s="119"/>
      <c r="D1504" s="119"/>
      <c r="E1504" s="119"/>
      <c r="F1504" s="119"/>
      <c r="G1504" s="119"/>
      <c r="H1504" s="119"/>
    </row>
    <row r="1505" spans="3:8">
      <c r="C1505" s="119"/>
      <c r="D1505" s="119"/>
      <c r="E1505" s="119"/>
      <c r="F1505" s="119"/>
      <c r="G1505" s="119"/>
      <c r="H1505" s="119"/>
    </row>
    <row r="1506" spans="3:8">
      <c r="C1506" s="119"/>
      <c r="D1506" s="119"/>
      <c r="E1506" s="119"/>
      <c r="F1506" s="119"/>
      <c r="G1506" s="119"/>
      <c r="H1506" s="119"/>
    </row>
    <row r="1507" spans="3:8">
      <c r="C1507" s="119"/>
      <c r="D1507" s="119"/>
      <c r="E1507" s="119"/>
      <c r="F1507" s="119"/>
      <c r="G1507" s="119"/>
      <c r="H1507" s="119"/>
    </row>
    <row r="1508" spans="3:8">
      <c r="C1508" s="119"/>
      <c r="D1508" s="119"/>
      <c r="E1508" s="119"/>
      <c r="F1508" s="119"/>
      <c r="G1508" s="119"/>
      <c r="H1508" s="119"/>
    </row>
    <row r="1509" spans="3:8">
      <c r="C1509" s="119"/>
      <c r="D1509" s="119"/>
      <c r="E1509" s="119"/>
      <c r="F1509" s="119"/>
      <c r="G1509" s="119"/>
      <c r="H1509" s="119"/>
    </row>
    <row r="1510" spans="3:8">
      <c r="C1510" s="119"/>
      <c r="D1510" s="119"/>
      <c r="E1510" s="119"/>
      <c r="F1510" s="119"/>
      <c r="G1510" s="119"/>
      <c r="H1510" s="119"/>
    </row>
    <row r="1511" spans="3:8">
      <c r="C1511" s="119"/>
      <c r="D1511" s="119"/>
      <c r="E1511" s="119"/>
      <c r="F1511" s="119"/>
      <c r="G1511" s="119"/>
      <c r="H1511" s="119"/>
    </row>
    <row r="1512" spans="3:8">
      <c r="C1512" s="119"/>
      <c r="D1512" s="119"/>
      <c r="E1512" s="119"/>
      <c r="F1512" s="119"/>
      <c r="G1512" s="119"/>
      <c r="H1512" s="119"/>
    </row>
    <row r="1513" spans="3:8">
      <c r="C1513" s="119"/>
      <c r="D1513" s="119"/>
      <c r="E1513" s="119"/>
      <c r="F1513" s="119"/>
      <c r="G1513" s="119"/>
      <c r="H1513" s="119"/>
    </row>
    <row r="1514" spans="3:8">
      <c r="C1514" s="119"/>
      <c r="D1514" s="119"/>
      <c r="E1514" s="119"/>
      <c r="F1514" s="119"/>
      <c r="G1514" s="119"/>
      <c r="H1514" s="119"/>
    </row>
    <row r="1515" spans="3:8">
      <c r="C1515" s="119"/>
      <c r="D1515" s="119"/>
      <c r="E1515" s="119"/>
      <c r="F1515" s="119"/>
      <c r="G1515" s="119"/>
      <c r="H1515" s="119"/>
    </row>
    <row r="1516" spans="3:8">
      <c r="C1516" s="119"/>
      <c r="D1516" s="119"/>
      <c r="E1516" s="119"/>
      <c r="F1516" s="119"/>
      <c r="G1516" s="119"/>
      <c r="H1516" s="119"/>
    </row>
    <row r="1517" spans="3:8">
      <c r="C1517" s="119"/>
      <c r="D1517" s="119"/>
      <c r="E1517" s="119"/>
      <c r="F1517" s="119"/>
      <c r="G1517" s="119"/>
      <c r="H1517" s="119"/>
    </row>
    <row r="1518" spans="3:8">
      <c r="C1518" s="119"/>
      <c r="D1518" s="119"/>
      <c r="E1518" s="119"/>
      <c r="F1518" s="119"/>
      <c r="G1518" s="119"/>
      <c r="H1518" s="119"/>
    </row>
    <row r="1519" spans="3:8">
      <c r="C1519" s="119"/>
      <c r="D1519" s="119"/>
      <c r="E1519" s="119"/>
      <c r="F1519" s="119"/>
      <c r="G1519" s="119"/>
      <c r="H1519" s="119"/>
    </row>
    <row r="1520" spans="3:8">
      <c r="C1520" s="119"/>
      <c r="D1520" s="119"/>
      <c r="E1520" s="119"/>
      <c r="F1520" s="119"/>
      <c r="G1520" s="119"/>
      <c r="H1520" s="119"/>
    </row>
    <row r="1521" spans="3:8">
      <c r="C1521" s="119"/>
      <c r="D1521" s="119"/>
      <c r="E1521" s="119"/>
      <c r="F1521" s="119"/>
      <c r="G1521" s="119"/>
      <c r="H1521" s="119"/>
    </row>
    <row r="1522" spans="3:8">
      <c r="C1522" s="119"/>
      <c r="D1522" s="119"/>
      <c r="E1522" s="119"/>
      <c r="F1522" s="119"/>
      <c r="G1522" s="119"/>
      <c r="H1522" s="119"/>
    </row>
    <row r="1523" spans="3:8">
      <c r="C1523" s="119"/>
      <c r="D1523" s="119"/>
      <c r="E1523" s="119"/>
      <c r="F1523" s="119"/>
      <c r="G1523" s="119"/>
      <c r="H1523" s="119"/>
    </row>
    <row r="1524" spans="3:8">
      <c r="C1524" s="119"/>
      <c r="D1524" s="119"/>
      <c r="E1524" s="119"/>
      <c r="F1524" s="119"/>
      <c r="G1524" s="119"/>
      <c r="H1524" s="119"/>
    </row>
    <row r="1525" spans="3:8">
      <c r="C1525" s="119"/>
      <c r="D1525" s="119"/>
      <c r="E1525" s="119"/>
      <c r="F1525" s="119"/>
      <c r="G1525" s="119"/>
      <c r="H1525" s="119"/>
    </row>
    <row r="1526" spans="3:8">
      <c r="C1526" s="119"/>
      <c r="D1526" s="119"/>
      <c r="E1526" s="119"/>
      <c r="F1526" s="119"/>
      <c r="G1526" s="119"/>
      <c r="H1526" s="119"/>
    </row>
    <row r="1527" spans="3:8">
      <c r="C1527" s="119"/>
      <c r="D1527" s="119"/>
      <c r="E1527" s="119"/>
      <c r="F1527" s="119"/>
      <c r="G1527" s="119"/>
      <c r="H1527" s="119"/>
    </row>
    <row r="1528" spans="3:8">
      <c r="C1528" s="119"/>
      <c r="D1528" s="119"/>
      <c r="E1528" s="119"/>
      <c r="F1528" s="119"/>
      <c r="G1528" s="119"/>
      <c r="H1528" s="119"/>
    </row>
    <row r="1529" spans="3:8">
      <c r="C1529" s="119"/>
      <c r="D1529" s="119"/>
      <c r="E1529" s="119"/>
      <c r="F1529" s="119"/>
      <c r="G1529" s="119"/>
      <c r="H1529" s="119"/>
    </row>
    <row r="1530" spans="3:8">
      <c r="C1530" s="119"/>
      <c r="D1530" s="119"/>
      <c r="E1530" s="119"/>
      <c r="F1530" s="119"/>
      <c r="G1530" s="119"/>
      <c r="H1530" s="119"/>
    </row>
    <row r="1531" spans="3:8">
      <c r="C1531" s="119"/>
      <c r="D1531" s="119"/>
      <c r="E1531" s="119"/>
      <c r="F1531" s="119"/>
      <c r="G1531" s="119"/>
      <c r="H1531" s="119"/>
    </row>
    <row r="1532" spans="3:8">
      <c r="C1532" s="119"/>
      <c r="D1532" s="119"/>
      <c r="E1532" s="119"/>
      <c r="F1532" s="119"/>
      <c r="G1532" s="119"/>
      <c r="H1532" s="119"/>
    </row>
    <row r="1533" spans="3:8">
      <c r="C1533" s="119"/>
      <c r="D1533" s="119"/>
      <c r="E1533" s="119"/>
      <c r="F1533" s="119"/>
      <c r="G1533" s="119"/>
      <c r="H1533" s="119"/>
    </row>
    <row r="1534" spans="3:8">
      <c r="C1534" s="119"/>
      <c r="D1534" s="119"/>
      <c r="E1534" s="119"/>
      <c r="F1534" s="119"/>
      <c r="G1534" s="119"/>
      <c r="H1534" s="119"/>
    </row>
    <row r="1535" spans="3:8">
      <c r="C1535" s="119"/>
      <c r="D1535" s="119"/>
      <c r="E1535" s="119"/>
      <c r="F1535" s="119"/>
      <c r="G1535" s="119"/>
      <c r="H1535" s="119"/>
    </row>
    <row r="1536" spans="3:8">
      <c r="C1536" s="119"/>
      <c r="D1536" s="119"/>
      <c r="E1536" s="119"/>
      <c r="F1536" s="119"/>
      <c r="G1536" s="119"/>
      <c r="H1536" s="119"/>
    </row>
    <row r="1537" spans="3:8">
      <c r="C1537" s="119"/>
      <c r="D1537" s="119"/>
      <c r="E1537" s="119"/>
      <c r="F1537" s="119"/>
      <c r="G1537" s="119"/>
      <c r="H1537" s="119"/>
    </row>
    <row r="1538" spans="3:8">
      <c r="C1538" s="119"/>
      <c r="D1538" s="119"/>
      <c r="E1538" s="119"/>
      <c r="F1538" s="119"/>
      <c r="G1538" s="119"/>
      <c r="H1538" s="119"/>
    </row>
    <row r="1539" spans="3:8">
      <c r="C1539" s="119"/>
      <c r="D1539" s="119"/>
      <c r="E1539" s="119"/>
      <c r="F1539" s="119"/>
      <c r="G1539" s="119"/>
      <c r="H1539" s="119"/>
    </row>
    <row r="1540" spans="3:8">
      <c r="C1540" s="119"/>
      <c r="D1540" s="119"/>
      <c r="E1540" s="119"/>
      <c r="F1540" s="119"/>
      <c r="G1540" s="119"/>
      <c r="H1540" s="119"/>
    </row>
    <row r="1541" spans="3:8">
      <c r="C1541" s="119"/>
      <c r="D1541" s="119"/>
      <c r="E1541" s="119"/>
      <c r="F1541" s="119"/>
      <c r="G1541" s="119"/>
      <c r="H1541" s="119"/>
    </row>
    <row r="1542" spans="3:8">
      <c r="C1542" s="119"/>
      <c r="D1542" s="119"/>
      <c r="E1542" s="119"/>
      <c r="F1542" s="119"/>
      <c r="G1542" s="119"/>
      <c r="H1542" s="119"/>
    </row>
    <row r="1543" spans="3:8">
      <c r="C1543" s="119"/>
      <c r="D1543" s="119"/>
      <c r="E1543" s="119"/>
      <c r="F1543" s="119"/>
      <c r="G1543" s="119"/>
      <c r="H1543" s="119"/>
    </row>
    <row r="1544" spans="3:8">
      <c r="C1544" s="119"/>
      <c r="D1544" s="119"/>
      <c r="E1544" s="119"/>
      <c r="F1544" s="119"/>
      <c r="G1544" s="119"/>
      <c r="H1544" s="119"/>
    </row>
    <row r="1545" spans="3:8">
      <c r="C1545" s="119"/>
      <c r="D1545" s="119"/>
      <c r="E1545" s="119"/>
      <c r="F1545" s="119"/>
      <c r="G1545" s="119"/>
      <c r="H1545" s="119"/>
    </row>
    <row r="1546" spans="3:8">
      <c r="C1546" s="119"/>
      <c r="D1546" s="119"/>
      <c r="E1546" s="119"/>
      <c r="F1546" s="119"/>
      <c r="G1546" s="119"/>
      <c r="H1546" s="119"/>
    </row>
    <row r="1547" spans="3:8">
      <c r="C1547" s="119"/>
      <c r="D1547" s="119"/>
      <c r="E1547" s="119"/>
      <c r="F1547" s="119"/>
      <c r="G1547" s="119"/>
      <c r="H1547" s="119"/>
    </row>
    <row r="1548" spans="3:8">
      <c r="C1548" s="119"/>
      <c r="D1548" s="119"/>
      <c r="E1548" s="119"/>
      <c r="F1548" s="119"/>
      <c r="G1548" s="119"/>
      <c r="H1548" s="119"/>
    </row>
    <row r="1549" spans="3:8">
      <c r="C1549" s="119"/>
      <c r="D1549" s="119"/>
      <c r="E1549" s="119"/>
      <c r="F1549" s="119"/>
      <c r="G1549" s="119"/>
      <c r="H1549" s="119"/>
    </row>
    <row r="1550" spans="3:8">
      <c r="C1550" s="119"/>
      <c r="D1550" s="119"/>
      <c r="E1550" s="119"/>
      <c r="F1550" s="119"/>
      <c r="G1550" s="119"/>
      <c r="H1550" s="119"/>
    </row>
    <row r="1551" spans="3:8">
      <c r="C1551" s="119"/>
      <c r="D1551" s="119"/>
      <c r="E1551" s="119"/>
      <c r="F1551" s="119"/>
      <c r="G1551" s="119"/>
      <c r="H1551" s="119"/>
    </row>
    <row r="1552" spans="3:8">
      <c r="C1552" s="119"/>
      <c r="D1552" s="119"/>
      <c r="E1552" s="119"/>
      <c r="F1552" s="119"/>
      <c r="G1552" s="119"/>
      <c r="H1552" s="119"/>
    </row>
    <row r="1553" spans="3:8">
      <c r="C1553" s="119"/>
      <c r="D1553" s="119"/>
      <c r="E1553" s="119"/>
      <c r="F1553" s="119"/>
      <c r="G1553" s="119"/>
      <c r="H1553" s="119"/>
    </row>
    <row r="1554" spans="3:8">
      <c r="C1554" s="119"/>
      <c r="D1554" s="119"/>
      <c r="E1554" s="119"/>
      <c r="F1554" s="119"/>
      <c r="G1554" s="119"/>
      <c r="H1554" s="119"/>
    </row>
    <row r="1555" spans="3:8">
      <c r="C1555" s="119"/>
      <c r="D1555" s="119"/>
      <c r="E1555" s="119"/>
      <c r="F1555" s="119"/>
      <c r="G1555" s="119"/>
      <c r="H1555" s="119"/>
    </row>
    <row r="1556" spans="3:8">
      <c r="C1556" s="119"/>
      <c r="D1556" s="119"/>
      <c r="E1556" s="119"/>
      <c r="F1556" s="119"/>
      <c r="G1556" s="119"/>
      <c r="H1556" s="119"/>
    </row>
    <row r="1557" spans="3:8">
      <c r="C1557" s="119"/>
      <c r="D1557" s="119"/>
      <c r="E1557" s="119"/>
      <c r="F1557" s="119"/>
      <c r="G1557" s="119"/>
      <c r="H1557" s="119"/>
    </row>
    <row r="1558" spans="3:8">
      <c r="C1558" s="119"/>
      <c r="D1558" s="119"/>
      <c r="E1558" s="119"/>
      <c r="F1558" s="119"/>
      <c r="G1558" s="119"/>
      <c r="H1558" s="119"/>
    </row>
    <row r="1559" spans="3:8">
      <c r="C1559" s="119"/>
      <c r="D1559" s="119"/>
      <c r="E1559" s="119"/>
      <c r="F1559" s="119"/>
      <c r="G1559" s="119"/>
      <c r="H1559" s="119"/>
    </row>
    <row r="1560" spans="3:8">
      <c r="C1560" s="119"/>
      <c r="D1560" s="119"/>
      <c r="E1560" s="119"/>
      <c r="F1560" s="119"/>
      <c r="G1560" s="119"/>
      <c r="H1560" s="119"/>
    </row>
    <row r="1561" spans="3:8">
      <c r="C1561" s="119"/>
      <c r="D1561" s="119"/>
      <c r="E1561" s="119"/>
      <c r="F1561" s="119"/>
      <c r="G1561" s="119"/>
      <c r="H1561" s="119"/>
    </row>
    <row r="1562" spans="3:8">
      <c r="C1562" s="119"/>
      <c r="D1562" s="119"/>
      <c r="E1562" s="119"/>
      <c r="F1562" s="119"/>
      <c r="G1562" s="119"/>
      <c r="H1562" s="119"/>
    </row>
    <row r="1563" spans="3:8">
      <c r="C1563" s="119"/>
      <c r="D1563" s="119"/>
      <c r="E1563" s="119"/>
      <c r="F1563" s="119"/>
      <c r="G1563" s="119"/>
      <c r="H1563" s="119"/>
    </row>
    <row r="1564" spans="3:8">
      <c r="C1564" s="119"/>
      <c r="D1564" s="119"/>
      <c r="E1564" s="119"/>
      <c r="F1564" s="119"/>
      <c r="G1564" s="119"/>
      <c r="H1564" s="119"/>
    </row>
    <row r="1565" spans="3:8">
      <c r="C1565" s="119"/>
      <c r="D1565" s="119"/>
      <c r="E1565" s="119"/>
      <c r="F1565" s="119"/>
      <c r="G1565" s="119"/>
      <c r="H1565" s="119"/>
    </row>
    <row r="1566" spans="3:8">
      <c r="C1566" s="119"/>
      <c r="D1566" s="119"/>
      <c r="E1566" s="119"/>
      <c r="F1566" s="119"/>
      <c r="G1566" s="119"/>
      <c r="H1566" s="119"/>
    </row>
    <row r="1567" spans="3:8">
      <c r="C1567" s="119"/>
      <c r="D1567" s="119"/>
      <c r="E1567" s="119"/>
      <c r="F1567" s="119"/>
      <c r="G1567" s="119"/>
      <c r="H1567" s="119"/>
    </row>
    <row r="1568" spans="3:8">
      <c r="C1568" s="119"/>
      <c r="D1568" s="119"/>
      <c r="E1568" s="119"/>
      <c r="F1568" s="119"/>
      <c r="G1568" s="119"/>
      <c r="H1568" s="119"/>
    </row>
    <row r="1569" spans="3:8">
      <c r="C1569" s="119"/>
      <c r="D1569" s="119"/>
      <c r="E1569" s="119"/>
      <c r="F1569" s="119"/>
      <c r="G1569" s="119"/>
      <c r="H1569" s="119"/>
    </row>
    <row r="1570" spans="3:8">
      <c r="C1570" s="119"/>
      <c r="D1570" s="119"/>
      <c r="E1570" s="119"/>
      <c r="F1570" s="119"/>
      <c r="G1570" s="119"/>
      <c r="H1570" s="119"/>
    </row>
    <row r="1571" spans="3:8">
      <c r="C1571" s="119"/>
      <c r="D1571" s="119"/>
      <c r="E1571" s="119"/>
      <c r="F1571" s="119"/>
      <c r="G1571" s="119"/>
      <c r="H1571" s="119"/>
    </row>
    <row r="1572" spans="3:8">
      <c r="C1572" s="119"/>
      <c r="D1572" s="119"/>
      <c r="E1572" s="119"/>
      <c r="F1572" s="119"/>
      <c r="G1572" s="119"/>
      <c r="H1572" s="119"/>
    </row>
    <row r="1573" spans="3:8">
      <c r="C1573" s="119"/>
      <c r="D1573" s="119"/>
      <c r="E1573" s="119"/>
      <c r="F1573" s="119"/>
      <c r="G1573" s="119"/>
      <c r="H1573" s="119"/>
    </row>
    <row r="1574" spans="3:8">
      <c r="C1574" s="119"/>
      <c r="D1574" s="119"/>
      <c r="E1574" s="119"/>
      <c r="F1574" s="119"/>
      <c r="G1574" s="119"/>
      <c r="H1574" s="119"/>
    </row>
    <row r="1575" spans="3:8">
      <c r="C1575" s="119"/>
      <c r="D1575" s="119"/>
      <c r="E1575" s="119"/>
      <c r="F1575" s="119"/>
      <c r="G1575" s="119"/>
      <c r="H1575" s="119"/>
    </row>
    <row r="1576" spans="3:8">
      <c r="C1576" s="119"/>
      <c r="D1576" s="119"/>
      <c r="E1576" s="119"/>
      <c r="F1576" s="119"/>
      <c r="G1576" s="119"/>
      <c r="H1576" s="119"/>
    </row>
    <row r="1577" spans="3:8">
      <c r="C1577" s="119"/>
      <c r="D1577" s="119"/>
      <c r="E1577" s="119"/>
      <c r="F1577" s="119"/>
      <c r="G1577" s="119"/>
      <c r="H1577" s="119"/>
    </row>
    <row r="1578" spans="3:8">
      <c r="C1578" s="119"/>
      <c r="D1578" s="119"/>
      <c r="E1578" s="119"/>
      <c r="F1578" s="119"/>
      <c r="G1578" s="119"/>
      <c r="H1578" s="119"/>
    </row>
    <row r="1579" spans="3:8">
      <c r="C1579" s="119"/>
      <c r="D1579" s="119"/>
      <c r="E1579" s="119"/>
      <c r="F1579" s="119"/>
      <c r="G1579" s="119"/>
      <c r="H1579" s="119"/>
    </row>
    <row r="1580" spans="3:8">
      <c r="C1580" s="119"/>
      <c r="D1580" s="119"/>
      <c r="E1580" s="119"/>
      <c r="F1580" s="119"/>
      <c r="G1580" s="119"/>
      <c r="H1580" s="119"/>
    </row>
    <row r="1581" spans="3:8">
      <c r="C1581" s="119"/>
      <c r="D1581" s="119"/>
      <c r="E1581" s="119"/>
      <c r="F1581" s="119"/>
      <c r="G1581" s="119"/>
      <c r="H1581" s="119"/>
    </row>
    <row r="1582" spans="3:8">
      <c r="C1582" s="119"/>
      <c r="D1582" s="119"/>
      <c r="E1582" s="119"/>
      <c r="F1582" s="119"/>
      <c r="G1582" s="119"/>
      <c r="H1582" s="119"/>
    </row>
    <row r="1583" spans="3:8">
      <c r="C1583" s="119"/>
      <c r="D1583" s="119"/>
      <c r="E1583" s="119"/>
      <c r="F1583" s="119"/>
      <c r="G1583" s="119"/>
      <c r="H1583" s="119"/>
    </row>
    <row r="1584" spans="3:8">
      <c r="C1584" s="119"/>
      <c r="D1584" s="119"/>
      <c r="E1584" s="119"/>
      <c r="F1584" s="119"/>
      <c r="G1584" s="119"/>
      <c r="H1584" s="119"/>
    </row>
    <row r="1585" spans="3:8">
      <c r="C1585" s="119"/>
      <c r="D1585" s="119"/>
      <c r="E1585" s="119"/>
      <c r="F1585" s="119"/>
      <c r="G1585" s="119"/>
      <c r="H1585" s="119"/>
    </row>
    <row r="1586" spans="3:8">
      <c r="C1586" s="119"/>
      <c r="D1586" s="119"/>
      <c r="E1586" s="119"/>
      <c r="F1586" s="119"/>
      <c r="G1586" s="119"/>
      <c r="H1586" s="119"/>
    </row>
    <row r="1587" spans="3:8">
      <c r="C1587" s="119"/>
      <c r="D1587" s="119"/>
      <c r="E1587" s="119"/>
      <c r="F1587" s="119"/>
      <c r="G1587" s="119"/>
      <c r="H1587" s="119"/>
    </row>
    <row r="1588" spans="3:8">
      <c r="C1588" s="119"/>
      <c r="D1588" s="119"/>
      <c r="E1588" s="119"/>
      <c r="F1588" s="119"/>
      <c r="G1588" s="119"/>
      <c r="H1588" s="119"/>
    </row>
    <row r="1589" spans="3:8">
      <c r="C1589" s="119"/>
      <c r="D1589" s="119"/>
      <c r="E1589" s="119"/>
      <c r="F1589" s="119"/>
      <c r="G1589" s="119"/>
      <c r="H1589" s="119"/>
    </row>
    <row r="1590" spans="3:8">
      <c r="C1590" s="119"/>
      <c r="D1590" s="119"/>
      <c r="E1590" s="119"/>
      <c r="F1590" s="119"/>
      <c r="G1590" s="119"/>
      <c r="H1590" s="119"/>
    </row>
    <row r="1591" spans="3:8">
      <c r="C1591" s="119"/>
      <c r="D1591" s="119"/>
      <c r="E1591" s="119"/>
      <c r="F1591" s="119"/>
      <c r="G1591" s="119"/>
      <c r="H1591" s="119"/>
    </row>
    <row r="1592" spans="3:8">
      <c r="C1592" s="119"/>
      <c r="D1592" s="119"/>
      <c r="E1592" s="119"/>
      <c r="F1592" s="119"/>
      <c r="G1592" s="119"/>
      <c r="H1592" s="119"/>
    </row>
    <row r="1593" spans="3:8">
      <c r="C1593" s="119"/>
      <c r="D1593" s="119"/>
      <c r="E1593" s="119"/>
      <c r="F1593" s="119"/>
      <c r="G1593" s="119"/>
      <c r="H1593" s="119"/>
    </row>
    <row r="1594" spans="3:8">
      <c r="C1594" s="119"/>
      <c r="D1594" s="119"/>
      <c r="E1594" s="119"/>
      <c r="F1594" s="119"/>
      <c r="G1594" s="119"/>
      <c r="H1594" s="119"/>
    </row>
    <row r="1595" spans="3:8">
      <c r="C1595" s="119"/>
      <c r="D1595" s="119"/>
      <c r="E1595" s="119"/>
      <c r="F1595" s="119"/>
      <c r="G1595" s="119"/>
      <c r="H1595" s="119"/>
    </row>
    <row r="1596" spans="3:8">
      <c r="C1596" s="119"/>
      <c r="D1596" s="119"/>
      <c r="E1596" s="119"/>
      <c r="F1596" s="119"/>
      <c r="G1596" s="119"/>
      <c r="H1596" s="119"/>
    </row>
    <row r="1597" spans="3:8">
      <c r="C1597" s="119"/>
      <c r="D1597" s="119"/>
      <c r="E1597" s="119"/>
      <c r="F1597" s="119"/>
      <c r="G1597" s="119"/>
      <c r="H1597" s="119"/>
    </row>
    <row r="1598" spans="3:8">
      <c r="C1598" s="119"/>
      <c r="D1598" s="119"/>
      <c r="E1598" s="119"/>
      <c r="F1598" s="119"/>
      <c r="G1598" s="119"/>
      <c r="H1598" s="119"/>
    </row>
    <row r="1599" spans="3:8">
      <c r="C1599" s="119"/>
      <c r="D1599" s="119"/>
      <c r="E1599" s="119"/>
      <c r="F1599" s="119"/>
      <c r="G1599" s="119"/>
      <c r="H1599" s="119"/>
    </row>
    <row r="1600" spans="3:8">
      <c r="C1600" s="119"/>
      <c r="D1600" s="119"/>
      <c r="E1600" s="119"/>
      <c r="F1600" s="119"/>
      <c r="G1600" s="119"/>
      <c r="H1600" s="119"/>
    </row>
    <row r="1601" spans="3:8">
      <c r="C1601" s="119"/>
      <c r="D1601" s="119"/>
      <c r="E1601" s="119"/>
      <c r="F1601" s="119"/>
      <c r="G1601" s="119"/>
      <c r="H1601" s="119"/>
    </row>
    <row r="1602" spans="3:8">
      <c r="C1602" s="119"/>
      <c r="D1602" s="119"/>
      <c r="E1602" s="119"/>
      <c r="F1602" s="119"/>
      <c r="G1602" s="119"/>
      <c r="H1602" s="119"/>
    </row>
    <row r="1603" spans="3:8">
      <c r="C1603" s="119"/>
      <c r="D1603" s="119"/>
      <c r="E1603" s="119"/>
      <c r="F1603" s="119"/>
      <c r="G1603" s="119"/>
      <c r="H1603" s="119"/>
    </row>
    <row r="1604" spans="3:8">
      <c r="C1604" s="119"/>
      <c r="D1604" s="119"/>
      <c r="E1604" s="119"/>
      <c r="F1604" s="119"/>
      <c r="G1604" s="119"/>
      <c r="H1604" s="119"/>
    </row>
    <row r="1605" spans="3:8">
      <c r="C1605" s="119"/>
      <c r="D1605" s="119"/>
      <c r="E1605" s="119"/>
      <c r="F1605" s="119"/>
      <c r="G1605" s="119"/>
      <c r="H1605" s="119"/>
    </row>
    <row r="1606" spans="3:8">
      <c r="C1606" s="119"/>
      <c r="D1606" s="119"/>
      <c r="E1606" s="119"/>
      <c r="F1606" s="119"/>
      <c r="G1606" s="119"/>
      <c r="H1606" s="119"/>
    </row>
    <row r="1607" spans="3:8">
      <c r="C1607" s="119"/>
      <c r="D1607" s="119"/>
      <c r="E1607" s="119"/>
      <c r="F1607" s="119"/>
      <c r="G1607" s="119"/>
      <c r="H1607" s="119"/>
    </row>
    <row r="1608" spans="3:8">
      <c r="C1608" s="119"/>
      <c r="D1608" s="119"/>
      <c r="E1608" s="119"/>
      <c r="F1608" s="119"/>
      <c r="G1608" s="119"/>
      <c r="H1608" s="119"/>
    </row>
    <row r="1609" spans="3:8">
      <c r="C1609" s="119"/>
      <c r="D1609" s="119"/>
      <c r="E1609" s="119"/>
      <c r="F1609" s="119"/>
      <c r="G1609" s="119"/>
      <c r="H1609" s="119"/>
    </row>
    <row r="1610" spans="3:8">
      <c r="C1610" s="119"/>
      <c r="D1610" s="119"/>
      <c r="E1610" s="119"/>
      <c r="F1610" s="119"/>
      <c r="G1610" s="119"/>
      <c r="H1610" s="119"/>
    </row>
    <row r="1611" spans="3:8">
      <c r="C1611" s="119"/>
      <c r="D1611" s="119"/>
      <c r="E1611" s="119"/>
      <c r="F1611" s="119"/>
      <c r="G1611" s="119"/>
      <c r="H1611" s="119"/>
    </row>
    <row r="1612" spans="3:8">
      <c r="C1612" s="119"/>
      <c r="D1612" s="119"/>
      <c r="E1612" s="119"/>
      <c r="F1612" s="119"/>
      <c r="G1612" s="119"/>
      <c r="H1612" s="119"/>
    </row>
    <row r="1613" spans="3:8">
      <c r="C1613" s="119"/>
      <c r="D1613" s="119"/>
      <c r="E1613" s="119"/>
      <c r="F1613" s="119"/>
      <c r="G1613" s="119"/>
      <c r="H1613" s="119"/>
    </row>
    <row r="1614" spans="3:8">
      <c r="C1614" s="119"/>
      <c r="D1614" s="119"/>
      <c r="E1614" s="119"/>
      <c r="F1614" s="119"/>
      <c r="G1614" s="119"/>
      <c r="H1614" s="119"/>
    </row>
    <row r="1615" spans="3:8">
      <c r="C1615" s="119"/>
      <c r="D1615" s="119"/>
      <c r="E1615" s="119"/>
      <c r="F1615" s="119"/>
      <c r="G1615" s="119"/>
      <c r="H1615" s="119"/>
    </row>
    <row r="1616" spans="3:8">
      <c r="C1616" s="119"/>
      <c r="D1616" s="119"/>
      <c r="E1616" s="119"/>
      <c r="F1616" s="119"/>
      <c r="G1616" s="119"/>
      <c r="H1616" s="119"/>
    </row>
    <row r="1617" spans="3:8">
      <c r="C1617" s="119"/>
      <c r="D1617" s="119"/>
      <c r="E1617" s="119"/>
      <c r="F1617" s="119"/>
      <c r="G1617" s="119"/>
      <c r="H1617" s="119"/>
    </row>
    <row r="1618" spans="3:8">
      <c r="C1618" s="119"/>
      <c r="D1618" s="119"/>
      <c r="E1618" s="119"/>
      <c r="F1618" s="119"/>
      <c r="G1618" s="119"/>
      <c r="H1618" s="119"/>
    </row>
    <row r="1619" spans="3:8">
      <c r="C1619" s="119"/>
      <c r="D1619" s="119"/>
    </row>
    <row r="1620" spans="3:8">
      <c r="C1620" s="119"/>
      <c r="D1620" s="119"/>
    </row>
    <row r="1621" spans="3:8">
      <c r="C1621" s="119"/>
      <c r="D1621" s="119"/>
    </row>
    <row r="1622" spans="3:8">
      <c r="C1622" s="119"/>
      <c r="D1622" s="119"/>
    </row>
    <row r="1623" spans="3:8">
      <c r="C1623" s="119"/>
      <c r="D1623" s="119"/>
    </row>
    <row r="1624" spans="3:8">
      <c r="C1624" s="119"/>
      <c r="D1624" s="119"/>
    </row>
    <row r="1625" spans="3:8">
      <c r="C1625" s="119"/>
      <c r="D1625" s="119"/>
    </row>
    <row r="1626" spans="3:8">
      <c r="C1626" s="119"/>
      <c r="D1626" s="119"/>
    </row>
    <row r="1627" spans="3:8">
      <c r="C1627" s="119"/>
      <c r="D1627" s="119"/>
    </row>
    <row r="1628" spans="3:8">
      <c r="C1628" s="119"/>
      <c r="D1628" s="119"/>
    </row>
    <row r="1629" spans="3:8">
      <c r="C1629" s="119"/>
      <c r="D1629" s="119"/>
    </row>
    <row r="1630" spans="3:8">
      <c r="C1630" s="119"/>
      <c r="D1630" s="119"/>
    </row>
    <row r="1631" spans="3:8">
      <c r="C1631" s="119"/>
      <c r="D1631" s="119"/>
    </row>
    <row r="1632" spans="3:8">
      <c r="C1632" s="119"/>
      <c r="D1632" s="119"/>
    </row>
    <row r="1633" spans="3:4">
      <c r="C1633" s="119"/>
      <c r="D1633" s="119"/>
    </row>
    <row r="1634" spans="3:4">
      <c r="C1634" s="119"/>
      <c r="D1634" s="119"/>
    </row>
    <row r="1635" spans="3:4">
      <c r="C1635" s="119"/>
      <c r="D1635" s="119"/>
    </row>
    <row r="1636" spans="3:4">
      <c r="C1636" s="119"/>
      <c r="D1636" s="119"/>
    </row>
    <row r="1637" spans="3:4">
      <c r="C1637" s="119"/>
      <c r="D1637" s="119"/>
    </row>
    <row r="1638" spans="3:4">
      <c r="C1638" s="119"/>
      <c r="D1638" s="119"/>
    </row>
    <row r="1639" spans="3:4">
      <c r="C1639" s="119"/>
      <c r="D1639" s="119"/>
    </row>
    <row r="1640" spans="3:4">
      <c r="C1640" s="119"/>
      <c r="D1640" s="119"/>
    </row>
    <row r="1641" spans="3:4">
      <c r="C1641" s="119"/>
      <c r="D1641" s="119"/>
    </row>
    <row r="1642" spans="3:4">
      <c r="C1642" s="119"/>
      <c r="D1642" s="119"/>
    </row>
    <row r="1643" spans="3:4">
      <c r="C1643" s="119"/>
      <c r="D1643" s="119"/>
    </row>
    <row r="1644" spans="3:4">
      <c r="C1644" s="119"/>
      <c r="D1644" s="119"/>
    </row>
    <row r="1645" spans="3:4">
      <c r="C1645" s="119"/>
      <c r="D1645" s="119"/>
    </row>
    <row r="1646" spans="3:4">
      <c r="C1646" s="119"/>
      <c r="D1646" s="119"/>
    </row>
    <row r="1647" spans="3:4">
      <c r="C1647" s="119"/>
      <c r="D1647" s="119"/>
    </row>
    <row r="1648" spans="3:4">
      <c r="C1648" s="119"/>
      <c r="D1648" s="119"/>
    </row>
    <row r="1649" spans="3:4">
      <c r="C1649" s="119"/>
      <c r="D1649" s="119"/>
    </row>
    <row r="1650" spans="3:4">
      <c r="C1650" s="119"/>
      <c r="D1650" s="119"/>
    </row>
    <row r="1651" spans="3:4">
      <c r="C1651" s="119"/>
      <c r="D1651" s="119"/>
    </row>
    <row r="1652" spans="3:4">
      <c r="C1652" s="119"/>
      <c r="D1652" s="119"/>
    </row>
    <row r="1653" spans="3:4">
      <c r="C1653" s="119"/>
      <c r="D1653" s="119"/>
    </row>
    <row r="1654" spans="3:4">
      <c r="C1654" s="119"/>
      <c r="D1654" s="119"/>
    </row>
    <row r="1655" spans="3:4">
      <c r="C1655" s="119"/>
      <c r="D1655" s="119"/>
    </row>
    <row r="1656" spans="3:4">
      <c r="C1656" s="119"/>
      <c r="D1656" s="119"/>
    </row>
    <row r="1657" spans="3:4">
      <c r="C1657" s="119"/>
      <c r="D1657" s="119"/>
    </row>
    <row r="1658" spans="3:4">
      <c r="C1658" s="119"/>
      <c r="D1658" s="119"/>
    </row>
    <row r="1659" spans="3:4">
      <c r="C1659" s="119"/>
      <c r="D1659" s="119"/>
    </row>
    <row r="1660" spans="3:4">
      <c r="C1660" s="119"/>
      <c r="D1660" s="119"/>
    </row>
    <row r="1661" spans="3:4">
      <c r="C1661" s="119"/>
      <c r="D1661" s="119"/>
    </row>
    <row r="1662" spans="3:4">
      <c r="C1662" s="119"/>
      <c r="D1662" s="119"/>
    </row>
    <row r="1663" spans="3:4">
      <c r="C1663" s="119"/>
      <c r="D1663" s="119"/>
    </row>
    <row r="1664" spans="3:4">
      <c r="C1664" s="119"/>
      <c r="D1664" s="119"/>
    </row>
    <row r="1665" spans="3:4">
      <c r="C1665" s="119"/>
      <c r="D1665" s="119"/>
    </row>
    <row r="1666" spans="3:4">
      <c r="C1666" s="119"/>
      <c r="D1666" s="119"/>
    </row>
    <row r="1667" spans="3:4">
      <c r="C1667" s="119"/>
      <c r="D1667" s="119"/>
    </row>
    <row r="1668" spans="3:4">
      <c r="C1668" s="119"/>
      <c r="D1668" s="119"/>
    </row>
    <row r="1669" spans="3:4">
      <c r="C1669" s="119"/>
      <c r="D1669" s="119"/>
    </row>
    <row r="1670" spans="3:4">
      <c r="C1670" s="119"/>
      <c r="D1670" s="119"/>
    </row>
    <row r="1671" spans="3:4">
      <c r="C1671" s="119"/>
      <c r="D1671" s="119"/>
    </row>
    <row r="1672" spans="3:4">
      <c r="C1672" s="119"/>
      <c r="D1672" s="119"/>
    </row>
    <row r="1673" spans="3:4">
      <c r="C1673" s="119"/>
      <c r="D1673" s="119"/>
    </row>
    <row r="1674" spans="3:4">
      <c r="C1674" s="119"/>
      <c r="D1674" s="119"/>
    </row>
    <row r="1675" spans="3:4">
      <c r="C1675" s="119"/>
      <c r="D1675" s="119"/>
    </row>
    <row r="1676" spans="3:4">
      <c r="C1676" s="119"/>
      <c r="D1676" s="119"/>
    </row>
    <row r="1677" spans="3:4">
      <c r="C1677" s="119"/>
      <c r="D1677" s="119"/>
    </row>
    <row r="1678" spans="3:4">
      <c r="C1678" s="119"/>
      <c r="D1678" s="119"/>
    </row>
    <row r="1679" spans="3:4">
      <c r="C1679" s="119"/>
      <c r="D1679" s="119"/>
    </row>
    <row r="1680" spans="3:4">
      <c r="C1680" s="119"/>
      <c r="D1680" s="119"/>
    </row>
    <row r="1681" spans="3:4">
      <c r="C1681" s="119"/>
      <c r="D1681" s="119"/>
    </row>
    <row r="1682" spans="3:4">
      <c r="C1682" s="119"/>
      <c r="D1682" s="119"/>
    </row>
    <row r="1683" spans="3:4">
      <c r="C1683" s="119"/>
      <c r="D1683" s="119"/>
    </row>
    <row r="1684" spans="3:4">
      <c r="C1684" s="119"/>
      <c r="D1684" s="119"/>
    </row>
    <row r="1685" spans="3:4">
      <c r="C1685" s="119"/>
      <c r="D1685" s="119"/>
    </row>
    <row r="1686" spans="3:4">
      <c r="C1686" s="119"/>
      <c r="D1686" s="119"/>
    </row>
    <row r="1687" spans="3:4">
      <c r="C1687" s="119"/>
      <c r="D1687" s="119"/>
    </row>
    <row r="1688" spans="3:4">
      <c r="C1688" s="119"/>
      <c r="D1688" s="119"/>
    </row>
    <row r="1689" spans="3:4">
      <c r="C1689" s="119"/>
      <c r="D1689" s="119"/>
    </row>
    <row r="1690" spans="3:4">
      <c r="C1690" s="119"/>
      <c r="D1690" s="119"/>
    </row>
    <row r="1691" spans="3:4">
      <c r="C1691" s="119"/>
      <c r="D1691" s="119"/>
    </row>
    <row r="1692" spans="3:4">
      <c r="C1692" s="119"/>
      <c r="D1692" s="119"/>
    </row>
    <row r="1693" spans="3:4">
      <c r="C1693" s="119"/>
      <c r="D1693" s="119"/>
    </row>
    <row r="1694" spans="3:4">
      <c r="C1694" s="119"/>
      <c r="D1694" s="119"/>
    </row>
    <row r="1695" spans="3:4">
      <c r="C1695" s="119"/>
      <c r="D1695" s="119"/>
    </row>
    <row r="1696" spans="3:4">
      <c r="C1696" s="119"/>
      <c r="D1696" s="119"/>
    </row>
    <row r="1697" spans="3:4">
      <c r="C1697" s="119"/>
      <c r="D1697" s="119"/>
    </row>
    <row r="1698" spans="3:4">
      <c r="C1698" s="119"/>
      <c r="D1698" s="119"/>
    </row>
    <row r="1699" spans="3:4">
      <c r="C1699" s="119"/>
      <c r="D1699" s="119"/>
    </row>
    <row r="1700" spans="3:4">
      <c r="C1700" s="119"/>
      <c r="D1700" s="119"/>
    </row>
    <row r="1701" spans="3:4">
      <c r="C1701" s="119"/>
      <c r="D1701" s="119"/>
    </row>
    <row r="1702" spans="3:4">
      <c r="C1702" s="119"/>
      <c r="D1702" s="119"/>
    </row>
    <row r="1703" spans="3:4">
      <c r="C1703" s="119"/>
      <c r="D1703" s="119"/>
    </row>
    <row r="1704" spans="3:4">
      <c r="C1704" s="119"/>
      <c r="D1704" s="119"/>
    </row>
    <row r="1705" spans="3:4">
      <c r="C1705" s="119"/>
      <c r="D1705" s="119"/>
    </row>
    <row r="1706" spans="3:4">
      <c r="C1706" s="119"/>
      <c r="D1706" s="119"/>
    </row>
    <row r="1707" spans="3:4">
      <c r="C1707" s="119"/>
      <c r="D1707" s="119"/>
    </row>
    <row r="1708" spans="3:4">
      <c r="C1708" s="119"/>
      <c r="D1708" s="119"/>
    </row>
    <row r="1709" spans="3:4">
      <c r="C1709" s="119"/>
      <c r="D1709" s="119"/>
    </row>
    <row r="1710" spans="3:4">
      <c r="C1710" s="119"/>
      <c r="D1710" s="119"/>
    </row>
    <row r="1711" spans="3:4">
      <c r="C1711" s="119"/>
      <c r="D1711" s="119"/>
    </row>
    <row r="1712" spans="3:4">
      <c r="C1712" s="119"/>
      <c r="D1712" s="119"/>
    </row>
    <row r="1713" spans="3:4">
      <c r="C1713" s="119"/>
      <c r="D1713" s="119"/>
    </row>
    <row r="1714" spans="3:4">
      <c r="C1714" s="119"/>
      <c r="D1714" s="119"/>
    </row>
    <row r="1715" spans="3:4">
      <c r="C1715" s="119"/>
      <c r="D1715" s="119"/>
    </row>
    <row r="1716" spans="3:4">
      <c r="C1716" s="119"/>
      <c r="D1716" s="119"/>
    </row>
    <row r="1717" spans="3:4">
      <c r="C1717" s="119"/>
      <c r="D1717" s="119"/>
    </row>
    <row r="1718" spans="3:4">
      <c r="C1718" s="119"/>
      <c r="D1718" s="119"/>
    </row>
    <row r="1719" spans="3:4">
      <c r="C1719" s="119"/>
      <c r="D1719" s="119"/>
    </row>
    <row r="1720" spans="3:4">
      <c r="C1720" s="119"/>
      <c r="D1720" s="119"/>
    </row>
    <row r="1721" spans="3:4">
      <c r="C1721" s="119"/>
      <c r="D1721" s="119"/>
    </row>
    <row r="1722" spans="3:4">
      <c r="C1722" s="119"/>
      <c r="D1722" s="119"/>
    </row>
    <row r="1723" spans="3:4">
      <c r="C1723" s="119"/>
      <c r="D1723" s="119"/>
    </row>
    <row r="1724" spans="3:4">
      <c r="C1724" s="119"/>
      <c r="D1724" s="119"/>
    </row>
    <row r="1725" spans="3:4">
      <c r="C1725" s="119"/>
      <c r="D1725" s="119"/>
    </row>
    <row r="1726" spans="3:4">
      <c r="C1726" s="119"/>
      <c r="D1726" s="119"/>
    </row>
    <row r="1727" spans="3:4">
      <c r="C1727" s="119"/>
      <c r="D1727" s="119"/>
    </row>
    <row r="1728" spans="3:4">
      <c r="C1728" s="119"/>
      <c r="D1728" s="119"/>
    </row>
    <row r="1729" spans="3:4">
      <c r="C1729" s="119"/>
      <c r="D1729" s="119"/>
    </row>
    <row r="1730" spans="3:4">
      <c r="C1730" s="119"/>
      <c r="D1730" s="119"/>
    </row>
    <row r="1731" spans="3:4">
      <c r="C1731" s="119"/>
      <c r="D1731" s="119"/>
    </row>
    <row r="1732" spans="3:4">
      <c r="C1732" s="119"/>
      <c r="D1732" s="119"/>
    </row>
    <row r="1733" spans="3:4">
      <c r="C1733" s="119"/>
      <c r="D1733" s="119"/>
    </row>
    <row r="1734" spans="3:4">
      <c r="C1734" s="119"/>
      <c r="D1734" s="119"/>
    </row>
    <row r="1735" spans="3:4">
      <c r="C1735" s="119"/>
      <c r="D1735" s="119"/>
    </row>
    <row r="1736" spans="3:4">
      <c r="C1736" s="119"/>
      <c r="D1736" s="119"/>
    </row>
    <row r="1737" spans="3:4">
      <c r="C1737" s="119"/>
      <c r="D1737" s="119"/>
    </row>
    <row r="1738" spans="3:4">
      <c r="C1738" s="119"/>
      <c r="D1738" s="119"/>
    </row>
    <row r="1739" spans="3:4">
      <c r="C1739" s="119"/>
      <c r="D1739" s="119"/>
    </row>
    <row r="1740" spans="3:4">
      <c r="C1740" s="119"/>
      <c r="D1740" s="119"/>
    </row>
    <row r="1741" spans="3:4">
      <c r="C1741" s="119"/>
      <c r="D1741" s="119"/>
    </row>
    <row r="1742" spans="3:4">
      <c r="C1742" s="119"/>
      <c r="D1742" s="119"/>
    </row>
    <row r="1743" spans="3:4">
      <c r="C1743" s="119"/>
      <c r="D1743" s="119"/>
    </row>
    <row r="1744" spans="3:4">
      <c r="C1744" s="119"/>
      <c r="D1744" s="119"/>
    </row>
    <row r="1745" spans="3:4">
      <c r="C1745" s="119"/>
      <c r="D1745" s="119"/>
    </row>
    <row r="1746" spans="3:4">
      <c r="C1746" s="119"/>
      <c r="D1746" s="119"/>
    </row>
    <row r="1747" spans="3:4">
      <c r="C1747" s="119"/>
      <c r="D1747" s="119"/>
    </row>
    <row r="1748" spans="3:4">
      <c r="C1748" s="119"/>
      <c r="D1748" s="119"/>
    </row>
    <row r="1749" spans="3:4">
      <c r="C1749" s="119"/>
      <c r="D1749" s="119"/>
    </row>
    <row r="1750" spans="3:4">
      <c r="C1750" s="119"/>
      <c r="D1750" s="119"/>
    </row>
    <row r="1751" spans="3:4">
      <c r="C1751" s="119"/>
      <c r="D1751" s="119"/>
    </row>
    <row r="1752" spans="3:4">
      <c r="C1752" s="119"/>
      <c r="D1752" s="119"/>
    </row>
    <row r="1753" spans="3:4">
      <c r="C1753" s="119"/>
      <c r="D1753" s="119"/>
    </row>
    <row r="1754" spans="3:4">
      <c r="C1754" s="119"/>
      <c r="D1754" s="119"/>
    </row>
    <row r="1755" spans="3:4">
      <c r="C1755" s="119"/>
      <c r="D1755" s="119"/>
    </row>
    <row r="1756" spans="3:4">
      <c r="C1756" s="119"/>
      <c r="D1756" s="119"/>
    </row>
    <row r="1757" spans="3:4">
      <c r="C1757" s="119"/>
      <c r="D1757" s="119"/>
    </row>
    <row r="1758" spans="3:4">
      <c r="C1758" s="119"/>
      <c r="D1758" s="119"/>
    </row>
    <row r="1759" spans="3:4">
      <c r="C1759" s="119"/>
      <c r="D1759" s="119"/>
    </row>
    <row r="1760" spans="3:4">
      <c r="C1760" s="119"/>
      <c r="D1760" s="119"/>
    </row>
    <row r="1761" spans="3:4">
      <c r="C1761" s="119"/>
      <c r="D1761" s="119"/>
    </row>
    <row r="1762" spans="3:4">
      <c r="C1762" s="119"/>
      <c r="D1762" s="119"/>
    </row>
    <row r="1763" spans="3:4">
      <c r="C1763" s="119"/>
      <c r="D1763" s="119"/>
    </row>
    <row r="1764" spans="3:4">
      <c r="C1764" s="119"/>
      <c r="D1764" s="119"/>
    </row>
    <row r="1765" spans="3:4">
      <c r="C1765" s="119"/>
      <c r="D1765" s="119"/>
    </row>
    <row r="1766" spans="3:4">
      <c r="C1766" s="119"/>
      <c r="D1766" s="119"/>
    </row>
    <row r="1767" spans="3:4">
      <c r="C1767" s="119"/>
      <c r="D1767" s="119"/>
    </row>
    <row r="1768" spans="3:4">
      <c r="C1768" s="119"/>
      <c r="D1768" s="119"/>
    </row>
    <row r="1769" spans="3:4">
      <c r="C1769" s="119"/>
      <c r="D1769" s="119"/>
    </row>
    <row r="1770" spans="3:4">
      <c r="C1770" s="119"/>
      <c r="D1770" s="119"/>
    </row>
    <row r="1771" spans="3:4">
      <c r="C1771" s="119"/>
      <c r="D1771" s="119"/>
    </row>
    <row r="1772" spans="3:4">
      <c r="C1772" s="119"/>
      <c r="D1772" s="119"/>
    </row>
    <row r="1773" spans="3:4">
      <c r="C1773" s="119"/>
      <c r="D1773" s="119"/>
    </row>
    <row r="1774" spans="3:4">
      <c r="C1774" s="119"/>
      <c r="D1774" s="119"/>
    </row>
    <row r="1775" spans="3:4">
      <c r="C1775" s="119"/>
      <c r="D1775" s="119"/>
    </row>
    <row r="1776" spans="3:4">
      <c r="C1776" s="119"/>
      <c r="D1776" s="119"/>
    </row>
    <row r="1777" spans="3:4">
      <c r="C1777" s="119"/>
      <c r="D1777" s="119"/>
    </row>
    <row r="1778" spans="3:4">
      <c r="C1778" s="119"/>
      <c r="D1778" s="119"/>
    </row>
    <row r="1779" spans="3:4">
      <c r="C1779" s="119"/>
      <c r="D1779" s="119"/>
    </row>
    <row r="1780" spans="3:4">
      <c r="C1780" s="119"/>
      <c r="D1780" s="119"/>
    </row>
    <row r="1781" spans="3:4">
      <c r="C1781" s="119"/>
      <c r="D1781" s="119"/>
    </row>
    <row r="1782" spans="3:4">
      <c r="C1782" s="119"/>
      <c r="D1782" s="119"/>
    </row>
    <row r="1783" spans="3:4">
      <c r="C1783" s="119"/>
      <c r="D1783" s="119"/>
    </row>
    <row r="1784" spans="3:4">
      <c r="C1784" s="119"/>
      <c r="D1784" s="119"/>
    </row>
    <row r="1785" spans="3:4">
      <c r="C1785" s="119"/>
      <c r="D1785" s="119"/>
    </row>
    <row r="1786" spans="3:4">
      <c r="C1786" s="119"/>
      <c r="D1786" s="119"/>
    </row>
    <row r="1787" spans="3:4">
      <c r="C1787" s="119"/>
      <c r="D1787" s="119"/>
    </row>
    <row r="1788" spans="3:4">
      <c r="C1788" s="119"/>
      <c r="D1788" s="119"/>
    </row>
    <row r="1789" spans="3:4">
      <c r="C1789" s="119"/>
      <c r="D1789" s="119"/>
    </row>
    <row r="1790" spans="3:4">
      <c r="C1790" s="119"/>
      <c r="D1790" s="119"/>
    </row>
    <row r="1791" spans="3:4">
      <c r="C1791" s="119"/>
      <c r="D1791" s="119"/>
    </row>
    <row r="1792" spans="3:4">
      <c r="C1792" s="119"/>
      <c r="D1792" s="119"/>
    </row>
    <row r="1793" spans="3:4">
      <c r="C1793" s="119"/>
      <c r="D1793" s="119"/>
    </row>
    <row r="1794" spans="3:4">
      <c r="C1794" s="119"/>
      <c r="D1794" s="119"/>
    </row>
    <row r="1795" spans="3:4">
      <c r="C1795" s="119"/>
      <c r="D1795" s="119"/>
    </row>
    <row r="1796" spans="3:4">
      <c r="C1796" s="119"/>
      <c r="D1796" s="119"/>
    </row>
    <row r="1797" spans="3:4">
      <c r="C1797" s="119"/>
      <c r="D1797" s="119"/>
    </row>
    <row r="1798" spans="3:4">
      <c r="C1798" s="119"/>
      <c r="D1798" s="119"/>
    </row>
    <row r="1799" spans="3:4">
      <c r="C1799" s="119"/>
      <c r="D1799" s="119"/>
    </row>
    <row r="1800" spans="3:4">
      <c r="C1800" s="119"/>
      <c r="D1800" s="119"/>
    </row>
    <row r="1801" spans="3:4">
      <c r="C1801" s="119"/>
      <c r="D1801" s="119"/>
    </row>
    <row r="1802" spans="3:4">
      <c r="C1802" s="119"/>
      <c r="D1802" s="119"/>
    </row>
    <row r="1803" spans="3:4">
      <c r="C1803" s="119"/>
      <c r="D1803" s="119"/>
    </row>
    <row r="1804" spans="3:4">
      <c r="C1804" s="119"/>
      <c r="D1804" s="119"/>
    </row>
    <row r="1805" spans="3:4">
      <c r="C1805" s="119"/>
      <c r="D1805" s="119"/>
    </row>
    <row r="1806" spans="3:4">
      <c r="C1806" s="119"/>
      <c r="D1806" s="119"/>
    </row>
    <row r="1807" spans="3:4">
      <c r="C1807" s="119"/>
      <c r="D1807" s="119"/>
    </row>
    <row r="1808" spans="3:4">
      <c r="C1808" s="119"/>
      <c r="D1808" s="119"/>
    </row>
    <row r="1809" spans="3:4">
      <c r="C1809" s="119"/>
      <c r="D1809" s="119"/>
    </row>
    <row r="1810" spans="3:4">
      <c r="C1810" s="119"/>
      <c r="D1810" s="119"/>
    </row>
    <row r="1811" spans="3:4">
      <c r="C1811" s="119"/>
      <c r="D1811" s="119"/>
    </row>
    <row r="1812" spans="3:4">
      <c r="C1812" s="119"/>
      <c r="D1812" s="119"/>
    </row>
    <row r="1813" spans="3:4">
      <c r="C1813" s="119"/>
      <c r="D1813" s="119"/>
    </row>
    <row r="1814" spans="3:4">
      <c r="C1814" s="119"/>
      <c r="D1814" s="119"/>
    </row>
    <row r="1815" spans="3:4">
      <c r="C1815" s="119"/>
      <c r="D1815" s="119"/>
    </row>
    <row r="1816" spans="3:4">
      <c r="C1816" s="119"/>
      <c r="D1816" s="119"/>
    </row>
    <row r="1817" spans="3:4">
      <c r="C1817" s="119"/>
      <c r="D1817" s="119"/>
    </row>
    <row r="1818" spans="3:4">
      <c r="C1818" s="119"/>
      <c r="D1818" s="119"/>
    </row>
    <row r="1819" spans="3:4">
      <c r="C1819" s="119"/>
      <c r="D1819" s="119"/>
    </row>
    <row r="1820" spans="3:4">
      <c r="C1820" s="119"/>
      <c r="D1820" s="119"/>
    </row>
    <row r="1821" spans="3:4">
      <c r="C1821" s="119"/>
      <c r="D1821" s="119"/>
    </row>
    <row r="1822" spans="3:4">
      <c r="C1822" s="119"/>
      <c r="D1822" s="119"/>
    </row>
    <row r="1823" spans="3:4">
      <c r="C1823" s="119"/>
      <c r="D1823" s="119"/>
    </row>
    <row r="1824" spans="3:4">
      <c r="C1824" s="119"/>
      <c r="D1824" s="119"/>
    </row>
    <row r="1825" spans="3:4">
      <c r="C1825" s="119"/>
      <c r="D1825" s="119"/>
    </row>
    <row r="1826" spans="3:4">
      <c r="C1826" s="119"/>
      <c r="D1826" s="119"/>
    </row>
    <row r="1827" spans="3:4">
      <c r="C1827" s="119"/>
      <c r="D1827" s="119"/>
    </row>
    <row r="1828" spans="3:4">
      <c r="C1828" s="119"/>
      <c r="D1828" s="119"/>
    </row>
    <row r="1829" spans="3:4">
      <c r="C1829" s="119"/>
      <c r="D1829" s="119"/>
    </row>
    <row r="1830" spans="3:4">
      <c r="C1830" s="119"/>
      <c r="D1830" s="119"/>
    </row>
    <row r="1831" spans="3:4">
      <c r="C1831" s="119"/>
      <c r="D1831" s="119"/>
    </row>
    <row r="1832" spans="3:4">
      <c r="C1832" s="119"/>
      <c r="D1832" s="119"/>
    </row>
    <row r="1833" spans="3:4">
      <c r="C1833" s="119"/>
      <c r="D1833" s="119"/>
    </row>
    <row r="1834" spans="3:4">
      <c r="C1834" s="119"/>
      <c r="D1834" s="119"/>
    </row>
    <row r="1835" spans="3:4">
      <c r="C1835" s="119"/>
      <c r="D1835" s="119"/>
    </row>
    <row r="1836" spans="3:4">
      <c r="C1836" s="119"/>
      <c r="D1836" s="119"/>
    </row>
    <row r="1837" spans="3:4">
      <c r="C1837" s="119"/>
      <c r="D1837" s="119"/>
    </row>
    <row r="1838" spans="3:4">
      <c r="C1838" s="119"/>
      <c r="D1838" s="119"/>
    </row>
    <row r="1839" spans="3:4">
      <c r="C1839" s="119"/>
      <c r="D1839" s="119"/>
    </row>
    <row r="1840" spans="3:4">
      <c r="C1840" s="119"/>
      <c r="D1840" s="119"/>
    </row>
    <row r="1841" spans="3:4">
      <c r="C1841" s="119"/>
      <c r="D1841" s="119"/>
    </row>
    <row r="1842" spans="3:4">
      <c r="C1842" s="119"/>
      <c r="D1842" s="119"/>
    </row>
    <row r="1843" spans="3:4">
      <c r="C1843" s="119"/>
      <c r="D1843" s="119"/>
    </row>
    <row r="1844" spans="3:4">
      <c r="C1844" s="119"/>
      <c r="D1844" s="119"/>
    </row>
    <row r="1845" spans="3:4">
      <c r="C1845" s="119"/>
      <c r="D1845" s="119"/>
    </row>
    <row r="1846" spans="3:4">
      <c r="C1846" s="119"/>
      <c r="D1846" s="119"/>
    </row>
    <row r="1847" spans="3:4">
      <c r="C1847" s="119"/>
      <c r="D1847" s="119"/>
    </row>
    <row r="1848" spans="3:4">
      <c r="C1848" s="119"/>
      <c r="D1848" s="119"/>
    </row>
    <row r="1849" spans="3:4">
      <c r="C1849" s="119"/>
      <c r="D1849" s="119"/>
    </row>
    <row r="1850" spans="3:4">
      <c r="C1850" s="119"/>
      <c r="D1850" s="119"/>
    </row>
    <row r="1851" spans="3:4">
      <c r="C1851" s="119"/>
      <c r="D1851" s="119"/>
    </row>
    <row r="1852" spans="3:4">
      <c r="C1852" s="119"/>
      <c r="D1852" s="119"/>
    </row>
    <row r="1853" spans="3:4">
      <c r="C1853" s="119"/>
      <c r="D1853" s="119"/>
    </row>
    <row r="1854" spans="3:4">
      <c r="C1854" s="119"/>
      <c r="D1854" s="119"/>
    </row>
    <row r="1855" spans="3:4">
      <c r="C1855" s="119"/>
      <c r="D1855" s="119"/>
    </row>
    <row r="1856" spans="3:4">
      <c r="C1856" s="119"/>
      <c r="D1856" s="119"/>
    </row>
    <row r="1857" spans="3:4">
      <c r="C1857" s="119"/>
      <c r="D1857" s="119"/>
    </row>
    <row r="1858" spans="3:4">
      <c r="C1858" s="119"/>
      <c r="D1858" s="119"/>
    </row>
    <row r="1859" spans="3:4">
      <c r="C1859" s="119"/>
      <c r="D1859" s="119"/>
    </row>
    <row r="1860" spans="3:4">
      <c r="C1860" s="119"/>
      <c r="D1860" s="119"/>
    </row>
    <row r="1861" spans="3:4">
      <c r="C1861" s="119"/>
      <c r="D1861" s="119"/>
    </row>
    <row r="1862" spans="3:4">
      <c r="C1862" s="119"/>
      <c r="D1862" s="119"/>
    </row>
    <row r="1863" spans="3:4">
      <c r="C1863" s="119"/>
      <c r="D1863" s="119"/>
    </row>
    <row r="1864" spans="3:4">
      <c r="C1864" s="119"/>
      <c r="D1864" s="119"/>
    </row>
    <row r="1865" spans="3:4">
      <c r="C1865" s="119"/>
      <c r="D1865" s="119"/>
    </row>
    <row r="1866" spans="3:4">
      <c r="C1866" s="119"/>
      <c r="D1866" s="119"/>
    </row>
    <row r="1867" spans="3:4">
      <c r="C1867" s="119"/>
      <c r="D1867" s="119"/>
    </row>
    <row r="1868" spans="3:4">
      <c r="C1868" s="119"/>
      <c r="D1868" s="119"/>
    </row>
    <row r="1869" spans="3:4">
      <c r="C1869" s="119"/>
      <c r="D1869" s="119"/>
    </row>
    <row r="1870" spans="3:4">
      <c r="C1870" s="119"/>
      <c r="D1870" s="119"/>
    </row>
    <row r="1871" spans="3:4">
      <c r="C1871" s="119"/>
      <c r="D1871" s="119"/>
    </row>
    <row r="1872" spans="3:4">
      <c r="C1872" s="119"/>
      <c r="D1872" s="119"/>
    </row>
    <row r="1873" spans="3:4">
      <c r="C1873" s="119"/>
      <c r="D1873" s="119"/>
    </row>
    <row r="1874" spans="3:4">
      <c r="C1874" s="119"/>
      <c r="D1874" s="119"/>
    </row>
    <row r="1875" spans="3:4">
      <c r="C1875" s="119"/>
      <c r="D1875" s="119"/>
    </row>
    <row r="1876" spans="3:4">
      <c r="C1876" s="119"/>
      <c r="D1876" s="119"/>
    </row>
    <row r="1877" spans="3:4">
      <c r="C1877" s="119"/>
      <c r="D1877" s="119"/>
    </row>
    <row r="1878" spans="3:4">
      <c r="C1878" s="119"/>
      <c r="D1878" s="119"/>
    </row>
    <row r="1879" spans="3:4">
      <c r="C1879" s="119"/>
      <c r="D1879" s="119"/>
    </row>
    <row r="1880" spans="3:4">
      <c r="C1880" s="119"/>
      <c r="D1880" s="119"/>
    </row>
    <row r="1881" spans="3:4">
      <c r="C1881" s="119"/>
      <c r="D1881" s="119"/>
    </row>
    <row r="1882" spans="3:4">
      <c r="C1882" s="119"/>
      <c r="D1882" s="119"/>
    </row>
    <row r="1883" spans="3:4">
      <c r="C1883" s="119"/>
      <c r="D1883" s="119"/>
    </row>
    <row r="1884" spans="3:4">
      <c r="C1884" s="119"/>
      <c r="D1884" s="119"/>
    </row>
    <row r="1885" spans="3:4">
      <c r="C1885" s="119"/>
      <c r="D1885" s="119"/>
    </row>
    <row r="1886" spans="3:4">
      <c r="C1886" s="119"/>
      <c r="D1886" s="119"/>
    </row>
    <row r="1887" spans="3:4">
      <c r="C1887" s="119"/>
      <c r="D1887" s="119"/>
    </row>
    <row r="1888" spans="3:4">
      <c r="C1888" s="119"/>
      <c r="D1888" s="119"/>
    </row>
    <row r="1889" spans="3:4">
      <c r="C1889" s="119"/>
      <c r="D1889" s="119"/>
    </row>
    <row r="1890" spans="3:4">
      <c r="C1890" s="119"/>
      <c r="D1890" s="119"/>
    </row>
    <row r="1891" spans="3:4">
      <c r="C1891" s="119"/>
      <c r="D1891" s="119"/>
    </row>
    <row r="1892" spans="3:4">
      <c r="C1892" s="119"/>
      <c r="D1892" s="119"/>
    </row>
    <row r="1893" spans="3:4">
      <c r="C1893" s="119"/>
      <c r="D1893" s="119"/>
    </row>
    <row r="1894" spans="3:4">
      <c r="C1894" s="119"/>
      <c r="D1894" s="119"/>
    </row>
    <row r="1895" spans="3:4">
      <c r="C1895" s="119"/>
      <c r="D1895" s="119"/>
    </row>
    <row r="1896" spans="3:4">
      <c r="C1896" s="119"/>
      <c r="D1896" s="119"/>
    </row>
    <row r="1897" spans="3:4">
      <c r="C1897" s="119"/>
      <c r="D1897" s="119"/>
    </row>
    <row r="1898" spans="3:4">
      <c r="C1898" s="119"/>
      <c r="D1898" s="119"/>
    </row>
    <row r="1899" spans="3:4">
      <c r="C1899" s="119"/>
      <c r="D1899" s="119"/>
    </row>
    <row r="1900" spans="3:4">
      <c r="C1900" s="119"/>
      <c r="D1900" s="119"/>
    </row>
    <row r="1901" spans="3:4">
      <c r="C1901" s="119"/>
      <c r="D1901" s="119"/>
    </row>
    <row r="1902" spans="3:4">
      <c r="C1902" s="119"/>
      <c r="D1902" s="119"/>
    </row>
    <row r="1903" spans="3:4">
      <c r="C1903" s="119"/>
      <c r="D1903" s="119"/>
    </row>
    <row r="1904" spans="3:4">
      <c r="C1904" s="119"/>
      <c r="D1904" s="119"/>
    </row>
    <row r="1905" spans="3:4">
      <c r="C1905" s="119"/>
      <c r="D1905" s="119"/>
    </row>
    <row r="1906" spans="3:4">
      <c r="C1906" s="119"/>
      <c r="D1906" s="119"/>
    </row>
    <row r="1907" spans="3:4">
      <c r="C1907" s="119"/>
      <c r="D1907" s="119"/>
    </row>
    <row r="1908" spans="3:4">
      <c r="C1908" s="119"/>
      <c r="D1908" s="119"/>
    </row>
    <row r="1909" spans="3:4">
      <c r="C1909" s="119"/>
      <c r="D1909" s="119"/>
    </row>
    <row r="1910" spans="3:4">
      <c r="C1910" s="119"/>
      <c r="D1910" s="119"/>
    </row>
    <row r="1911" spans="3:4">
      <c r="C1911" s="119"/>
      <c r="D1911" s="119"/>
    </row>
    <row r="1912" spans="3:4">
      <c r="C1912" s="119"/>
      <c r="D1912" s="119"/>
    </row>
    <row r="1913" spans="3:4">
      <c r="C1913" s="119"/>
      <c r="D1913" s="119"/>
    </row>
    <row r="1914" spans="3:4">
      <c r="C1914" s="119"/>
      <c r="D1914" s="119"/>
    </row>
    <row r="1915" spans="3:4">
      <c r="C1915" s="119"/>
      <c r="D1915" s="119"/>
    </row>
    <row r="1916" spans="3:4">
      <c r="C1916" s="119"/>
      <c r="D1916" s="119"/>
    </row>
    <row r="1917" spans="3:4">
      <c r="C1917" s="119"/>
      <c r="D1917" s="119"/>
    </row>
    <row r="1918" spans="3:4">
      <c r="C1918" s="119"/>
      <c r="D1918" s="119"/>
    </row>
    <row r="1919" spans="3:4">
      <c r="C1919" s="119"/>
      <c r="D1919" s="119"/>
    </row>
    <row r="1920" spans="3:4">
      <c r="C1920" s="119"/>
      <c r="D1920" s="119"/>
    </row>
    <row r="1921" spans="3:4">
      <c r="C1921" s="119"/>
      <c r="D1921" s="119"/>
    </row>
    <row r="1922" spans="3:4">
      <c r="C1922" s="119"/>
      <c r="D1922" s="119"/>
    </row>
    <row r="1923" spans="3:4">
      <c r="C1923" s="119"/>
      <c r="D1923" s="119"/>
    </row>
    <row r="1924" spans="3:4">
      <c r="C1924" s="119"/>
      <c r="D1924" s="119"/>
    </row>
    <row r="1925" spans="3:4">
      <c r="C1925" s="119"/>
      <c r="D1925" s="119"/>
    </row>
    <row r="1926" spans="3:4">
      <c r="C1926" s="119"/>
      <c r="D1926" s="119"/>
    </row>
    <row r="1927" spans="3:4">
      <c r="C1927" s="119"/>
      <c r="D1927" s="119"/>
    </row>
    <row r="1928" spans="3:4">
      <c r="C1928" s="119"/>
      <c r="D1928" s="119"/>
    </row>
    <row r="1929" spans="3:4">
      <c r="C1929" s="119"/>
      <c r="D1929" s="119"/>
    </row>
    <row r="1930" spans="3:4">
      <c r="C1930" s="119"/>
      <c r="D1930" s="119"/>
    </row>
    <row r="1931" spans="3:4">
      <c r="C1931" s="119"/>
      <c r="D1931" s="119"/>
    </row>
    <row r="1932" spans="3:4">
      <c r="C1932" s="119"/>
      <c r="D1932" s="119"/>
    </row>
    <row r="1933" spans="3:4">
      <c r="C1933" s="119"/>
      <c r="D1933" s="119"/>
    </row>
    <row r="1934" spans="3:4">
      <c r="C1934" s="119"/>
      <c r="D1934" s="119"/>
    </row>
    <row r="1935" spans="3:4">
      <c r="C1935" s="119"/>
      <c r="D1935" s="119"/>
    </row>
    <row r="1936" spans="3:4">
      <c r="C1936" s="119"/>
      <c r="D1936" s="119"/>
    </row>
    <row r="1937" spans="3:4">
      <c r="C1937" s="119"/>
      <c r="D1937" s="119"/>
    </row>
    <row r="1938" spans="3:4">
      <c r="C1938" s="119"/>
      <c r="D1938" s="119"/>
    </row>
    <row r="1939" spans="3:4">
      <c r="C1939" s="119"/>
      <c r="D1939" s="119"/>
    </row>
    <row r="1940" spans="3:4">
      <c r="C1940" s="119"/>
      <c r="D1940" s="119"/>
    </row>
    <row r="1941" spans="3:4">
      <c r="C1941" s="119"/>
      <c r="D1941" s="119"/>
    </row>
    <row r="1942" spans="3:4">
      <c r="C1942" s="119"/>
      <c r="D1942" s="119"/>
    </row>
    <row r="1943" spans="3:4">
      <c r="C1943" s="119"/>
      <c r="D1943" s="119"/>
    </row>
    <row r="1944" spans="3:4">
      <c r="C1944" s="119"/>
      <c r="D1944" s="119"/>
    </row>
    <row r="1945" spans="3:4">
      <c r="C1945" s="119"/>
      <c r="D1945" s="119"/>
    </row>
    <row r="1946" spans="3:4">
      <c r="C1946" s="119"/>
      <c r="D1946" s="119"/>
    </row>
    <row r="1947" spans="3:4">
      <c r="C1947" s="119"/>
      <c r="D1947" s="119"/>
    </row>
    <row r="1948" spans="3:4">
      <c r="C1948" s="119"/>
      <c r="D1948" s="119"/>
    </row>
    <row r="1949" spans="3:4">
      <c r="C1949" s="119"/>
      <c r="D1949" s="119"/>
    </row>
    <row r="1950" spans="3:4">
      <c r="C1950" s="119"/>
      <c r="D1950" s="119"/>
    </row>
    <row r="1951" spans="3:4">
      <c r="C1951" s="119"/>
      <c r="D1951" s="119"/>
    </row>
    <row r="1952" spans="3:4">
      <c r="C1952" s="119"/>
      <c r="D1952" s="119"/>
    </row>
    <row r="1953" spans="3:4">
      <c r="C1953" s="119"/>
      <c r="D1953" s="119"/>
    </row>
    <row r="1954" spans="3:4">
      <c r="C1954" s="119"/>
      <c r="D1954" s="119"/>
    </row>
    <row r="1955" spans="3:4">
      <c r="C1955" s="119"/>
      <c r="D1955" s="119"/>
    </row>
    <row r="1956" spans="3:4">
      <c r="C1956" s="119"/>
      <c r="D1956" s="119"/>
    </row>
    <row r="1957" spans="3:4">
      <c r="C1957" s="119"/>
      <c r="D1957" s="119"/>
    </row>
    <row r="1958" spans="3:4">
      <c r="C1958" s="119"/>
      <c r="D1958" s="119"/>
    </row>
    <row r="1959" spans="3:4">
      <c r="C1959" s="119"/>
      <c r="D1959" s="119"/>
    </row>
    <row r="1960" spans="3:4">
      <c r="C1960" s="119"/>
      <c r="D1960" s="119"/>
    </row>
    <row r="1961" spans="3:4">
      <c r="C1961" s="119"/>
      <c r="D1961" s="119"/>
    </row>
    <row r="1962" spans="3:4">
      <c r="C1962" s="119"/>
      <c r="D1962" s="119"/>
    </row>
    <row r="1963" spans="3:4">
      <c r="C1963" s="119"/>
      <c r="D1963" s="119"/>
    </row>
    <row r="1964" spans="3:4">
      <c r="C1964" s="119"/>
      <c r="D1964" s="119"/>
    </row>
    <row r="1965" spans="3:4">
      <c r="C1965" s="119"/>
      <c r="D1965" s="119"/>
    </row>
    <row r="1966" spans="3:4">
      <c r="C1966" s="119"/>
      <c r="D1966" s="119"/>
    </row>
    <row r="1967" spans="3:4">
      <c r="C1967" s="119"/>
      <c r="D1967" s="119"/>
    </row>
    <row r="1968" spans="3:4">
      <c r="C1968" s="119"/>
      <c r="D1968" s="119"/>
    </row>
    <row r="1969" spans="3:4">
      <c r="C1969" s="119"/>
      <c r="D1969" s="119"/>
    </row>
    <row r="1970" spans="3:4">
      <c r="C1970" s="119"/>
      <c r="D1970" s="119"/>
    </row>
    <row r="1971" spans="3:4">
      <c r="C1971" s="119"/>
      <c r="D1971" s="119"/>
    </row>
    <row r="1972" spans="3:4">
      <c r="C1972" s="119"/>
      <c r="D1972" s="119"/>
    </row>
    <row r="1973" spans="3:4">
      <c r="C1973" s="119"/>
      <c r="D1973" s="119"/>
    </row>
    <row r="1974" spans="3:4">
      <c r="C1974" s="119"/>
      <c r="D1974" s="119"/>
    </row>
    <row r="1975" spans="3:4">
      <c r="C1975" s="119"/>
      <c r="D1975" s="119"/>
    </row>
    <row r="1976" spans="3:4">
      <c r="C1976" s="119"/>
      <c r="D1976" s="119"/>
    </row>
    <row r="1977" spans="3:4">
      <c r="C1977" s="119"/>
      <c r="D1977" s="119"/>
    </row>
    <row r="1978" spans="3:4">
      <c r="C1978" s="119"/>
      <c r="D1978" s="119"/>
    </row>
    <row r="1979" spans="3:4">
      <c r="C1979" s="119"/>
      <c r="D1979" s="119"/>
    </row>
    <row r="1980" spans="3:4">
      <c r="C1980" s="119"/>
      <c r="D1980" s="119"/>
    </row>
    <row r="1981" spans="3:4">
      <c r="C1981" s="119"/>
      <c r="D1981" s="119"/>
    </row>
    <row r="1982" spans="3:4">
      <c r="C1982" s="119"/>
      <c r="D1982" s="119"/>
    </row>
    <row r="1983" spans="3:4">
      <c r="C1983" s="119"/>
      <c r="D1983" s="119"/>
    </row>
    <row r="1984" spans="3:4">
      <c r="C1984" s="119"/>
      <c r="D1984" s="119"/>
    </row>
    <row r="1985" spans="3:4">
      <c r="C1985" s="119"/>
      <c r="D1985" s="119"/>
    </row>
    <row r="1986" spans="3:4">
      <c r="C1986" s="119"/>
      <c r="D1986" s="119"/>
    </row>
    <row r="1987" spans="3:4">
      <c r="C1987" s="119"/>
      <c r="D1987" s="119"/>
    </row>
    <row r="1988" spans="3:4">
      <c r="C1988" s="119"/>
      <c r="D1988" s="119"/>
    </row>
    <row r="1989" spans="3:4">
      <c r="C1989" s="119"/>
      <c r="D1989" s="119"/>
    </row>
    <row r="1990" spans="3:4">
      <c r="C1990" s="119"/>
      <c r="D1990" s="119"/>
    </row>
    <row r="1991" spans="3:4">
      <c r="C1991" s="119"/>
      <c r="D1991" s="119"/>
    </row>
    <row r="1992" spans="3:4">
      <c r="C1992" s="119"/>
      <c r="D1992" s="119"/>
    </row>
    <row r="1993" spans="3:4">
      <c r="C1993" s="119"/>
      <c r="D1993" s="119"/>
    </row>
    <row r="1994" spans="3:4">
      <c r="C1994" s="119"/>
      <c r="D1994" s="119"/>
    </row>
    <row r="1995" spans="3:4">
      <c r="C1995" s="119"/>
      <c r="D1995" s="119"/>
    </row>
    <row r="1996" spans="3:4">
      <c r="C1996" s="119"/>
      <c r="D1996" s="119"/>
    </row>
    <row r="1997" spans="3:4">
      <c r="C1997" s="119"/>
      <c r="D1997" s="119"/>
    </row>
    <row r="1998" spans="3:4">
      <c r="C1998" s="119"/>
      <c r="D1998" s="119"/>
    </row>
    <row r="1999" spans="3:4">
      <c r="C1999" s="119"/>
      <c r="D1999" s="119"/>
    </row>
    <row r="2000" spans="3:4">
      <c r="C2000" s="119"/>
      <c r="D2000" s="119"/>
    </row>
    <row r="2001" spans="3:4">
      <c r="C2001" s="119"/>
      <c r="D2001" s="119"/>
    </row>
    <row r="2002" spans="3:4">
      <c r="C2002" s="119"/>
      <c r="D2002" s="119"/>
    </row>
    <row r="2003" spans="3:4">
      <c r="C2003" s="119"/>
      <c r="D2003" s="119"/>
    </row>
    <row r="2004" spans="3:4">
      <c r="C2004" s="119"/>
      <c r="D2004" s="119"/>
    </row>
    <row r="2005" spans="3:4">
      <c r="C2005" s="119"/>
      <c r="D2005" s="119"/>
    </row>
    <row r="2006" spans="3:4">
      <c r="C2006" s="119"/>
      <c r="D2006" s="119"/>
    </row>
    <row r="2007" spans="3:4">
      <c r="C2007" s="119"/>
      <c r="D2007" s="119"/>
    </row>
    <row r="2008" spans="3:4">
      <c r="C2008" s="119"/>
      <c r="D2008" s="119"/>
    </row>
    <row r="2009" spans="3:4">
      <c r="C2009" s="119"/>
      <c r="D2009" s="119"/>
    </row>
    <row r="2010" spans="3:4">
      <c r="C2010" s="119"/>
      <c r="D2010" s="119"/>
    </row>
    <row r="2011" spans="3:4">
      <c r="C2011" s="119"/>
      <c r="D2011" s="119"/>
    </row>
    <row r="2012" spans="3:4">
      <c r="C2012" s="119"/>
      <c r="D2012" s="119"/>
    </row>
    <row r="2013" spans="3:4">
      <c r="C2013" s="119"/>
      <c r="D2013" s="119"/>
    </row>
    <row r="2014" spans="3:4">
      <c r="C2014" s="119"/>
      <c r="D2014" s="119"/>
    </row>
    <row r="2015" spans="3:4">
      <c r="C2015" s="119"/>
      <c r="D2015" s="119"/>
    </row>
    <row r="2016" spans="3:4">
      <c r="C2016" s="119"/>
      <c r="D2016" s="119"/>
    </row>
    <row r="2017" spans="3:4">
      <c r="C2017" s="119"/>
      <c r="D2017" s="119"/>
    </row>
    <row r="2018" spans="3:4">
      <c r="C2018" s="119"/>
      <c r="D2018" s="119"/>
    </row>
    <row r="2019" spans="3:4">
      <c r="C2019" s="119"/>
      <c r="D2019" s="119"/>
    </row>
    <row r="2020" spans="3:4">
      <c r="C2020" s="119"/>
      <c r="D2020" s="119"/>
    </row>
    <row r="2021" spans="3:4">
      <c r="C2021" s="119"/>
      <c r="D2021" s="119"/>
    </row>
    <row r="2022" spans="3:4">
      <c r="C2022" s="119"/>
      <c r="D2022" s="119"/>
    </row>
    <row r="2023" spans="3:4">
      <c r="C2023" s="119"/>
      <c r="D2023" s="119"/>
    </row>
    <row r="2024" spans="3:4">
      <c r="C2024" s="119"/>
      <c r="D2024" s="119"/>
    </row>
    <row r="2025" spans="3:4">
      <c r="C2025" s="119"/>
      <c r="D2025" s="119"/>
    </row>
    <row r="2026" spans="3:4">
      <c r="C2026" s="119"/>
      <c r="D2026" s="119"/>
    </row>
    <row r="2027" spans="3:4">
      <c r="C2027" s="119"/>
      <c r="D2027" s="119"/>
    </row>
    <row r="2028" spans="3:4">
      <c r="C2028" s="119"/>
      <c r="D2028" s="119"/>
    </row>
    <row r="2029" spans="3:4">
      <c r="C2029" s="119"/>
      <c r="D2029" s="119"/>
    </row>
    <row r="2030" spans="3:4">
      <c r="C2030" s="119"/>
      <c r="D2030" s="119"/>
    </row>
    <row r="2031" spans="3:4">
      <c r="C2031" s="119"/>
      <c r="D2031" s="119"/>
    </row>
    <row r="2032" spans="3:4">
      <c r="C2032" s="119"/>
      <c r="D2032" s="119"/>
    </row>
    <row r="2033" spans="3:4">
      <c r="C2033" s="119"/>
      <c r="D2033" s="119"/>
    </row>
    <row r="2034" spans="3:4">
      <c r="C2034" s="119"/>
      <c r="D2034" s="119"/>
    </row>
    <row r="2035" spans="3:4">
      <c r="C2035" s="119"/>
      <c r="D2035" s="119"/>
    </row>
    <row r="2036" spans="3:4">
      <c r="C2036" s="119"/>
      <c r="D2036" s="119"/>
    </row>
    <row r="2037" spans="3:4">
      <c r="C2037" s="119"/>
      <c r="D2037" s="119"/>
    </row>
    <row r="2038" spans="3:4">
      <c r="C2038" s="119"/>
      <c r="D2038" s="119"/>
    </row>
    <row r="2039" spans="3:4">
      <c r="C2039" s="119"/>
      <c r="D2039" s="119"/>
    </row>
    <row r="2040" spans="3:4">
      <c r="C2040" s="119"/>
      <c r="D2040" s="119"/>
    </row>
    <row r="2041" spans="3:4">
      <c r="C2041" s="119"/>
      <c r="D2041" s="119"/>
    </row>
    <row r="2042" spans="3:4">
      <c r="C2042" s="119"/>
      <c r="D2042" s="119"/>
    </row>
    <row r="2043" spans="3:4">
      <c r="C2043" s="119"/>
      <c r="D2043" s="119"/>
    </row>
    <row r="2044" spans="3:4">
      <c r="C2044" s="119"/>
      <c r="D2044" s="119"/>
    </row>
    <row r="2045" spans="3:4">
      <c r="C2045" s="119"/>
      <c r="D2045" s="119"/>
    </row>
    <row r="2046" spans="3:4">
      <c r="C2046" s="119"/>
      <c r="D2046" s="119"/>
    </row>
    <row r="2047" spans="3:4">
      <c r="C2047" s="119"/>
      <c r="D2047" s="119"/>
    </row>
    <row r="2048" spans="3:4">
      <c r="C2048" s="119"/>
      <c r="D2048" s="119"/>
    </row>
    <row r="2049" spans="3:4">
      <c r="C2049" s="119"/>
      <c r="D2049" s="119"/>
    </row>
    <row r="2050" spans="3:4">
      <c r="C2050" s="119"/>
      <c r="D2050" s="119"/>
    </row>
    <row r="2051" spans="3:4">
      <c r="C2051" s="119"/>
      <c r="D2051" s="119"/>
    </row>
    <row r="2052" spans="3:4">
      <c r="C2052" s="119"/>
      <c r="D2052" s="119"/>
    </row>
    <row r="2053" spans="3:4">
      <c r="C2053" s="119"/>
      <c r="D2053" s="119"/>
    </row>
    <row r="2054" spans="3:4">
      <c r="C2054" s="119"/>
      <c r="D2054" s="119"/>
    </row>
    <row r="2055" spans="3:4">
      <c r="C2055" s="119"/>
      <c r="D2055" s="119"/>
    </row>
    <row r="2056" spans="3:4">
      <c r="C2056" s="119"/>
      <c r="D2056" s="119"/>
    </row>
    <row r="2057" spans="3:4">
      <c r="C2057" s="119"/>
      <c r="D2057" s="119"/>
    </row>
    <row r="2058" spans="3:4">
      <c r="C2058" s="119"/>
      <c r="D2058" s="119"/>
    </row>
    <row r="2059" spans="3:4">
      <c r="C2059" s="119"/>
      <c r="D2059" s="119"/>
    </row>
    <row r="2060" spans="3:4">
      <c r="C2060" s="119"/>
      <c r="D2060" s="119"/>
    </row>
    <row r="2061" spans="3:4">
      <c r="C2061" s="119"/>
      <c r="D2061" s="119"/>
    </row>
    <row r="2062" spans="3:4">
      <c r="C2062" s="119"/>
      <c r="D2062" s="119"/>
    </row>
    <row r="2063" spans="3:4">
      <c r="C2063" s="119"/>
      <c r="D2063" s="119"/>
    </row>
    <row r="2064" spans="3:4">
      <c r="C2064" s="119"/>
      <c r="D2064" s="119"/>
    </row>
    <row r="2065" spans="3:4">
      <c r="C2065" s="119"/>
      <c r="D2065" s="119"/>
    </row>
    <row r="2066" spans="3:4">
      <c r="C2066" s="119"/>
      <c r="D2066" s="119"/>
    </row>
    <row r="2067" spans="3:4">
      <c r="C2067" s="119"/>
      <c r="D2067" s="119"/>
    </row>
    <row r="2068" spans="3:4">
      <c r="C2068" s="119"/>
      <c r="D2068" s="119"/>
    </row>
    <row r="2069" spans="3:4">
      <c r="C2069" s="119"/>
      <c r="D2069" s="119"/>
    </row>
    <row r="2070" spans="3:4">
      <c r="C2070" s="119"/>
      <c r="D2070" s="119"/>
    </row>
    <row r="2071" spans="3:4">
      <c r="C2071" s="119"/>
      <c r="D2071" s="119"/>
    </row>
    <row r="2072" spans="3:4">
      <c r="C2072" s="119"/>
      <c r="D2072" s="119"/>
    </row>
    <row r="2073" spans="3:4">
      <c r="C2073" s="119"/>
      <c r="D2073" s="119"/>
    </row>
    <row r="2074" spans="3:4">
      <c r="C2074" s="119"/>
      <c r="D2074" s="119"/>
    </row>
    <row r="2075" spans="3:4">
      <c r="C2075" s="119"/>
      <c r="D2075" s="119"/>
    </row>
    <row r="2076" spans="3:4">
      <c r="C2076" s="119"/>
      <c r="D2076" s="119"/>
    </row>
    <row r="2077" spans="3:4">
      <c r="C2077" s="119"/>
      <c r="D2077" s="119"/>
    </row>
    <row r="2078" spans="3:4">
      <c r="C2078" s="119"/>
      <c r="D2078" s="119"/>
    </row>
    <row r="2079" spans="3:4">
      <c r="C2079" s="119"/>
      <c r="D2079" s="119"/>
    </row>
    <row r="2080" spans="3:4">
      <c r="C2080" s="119"/>
      <c r="D2080" s="119"/>
    </row>
    <row r="2081" spans="3:4">
      <c r="C2081" s="119"/>
      <c r="D2081" s="119"/>
    </row>
    <row r="2082" spans="3:4">
      <c r="C2082" s="119"/>
      <c r="D2082" s="119"/>
    </row>
    <row r="2083" spans="3:4">
      <c r="C2083" s="119"/>
      <c r="D2083" s="119"/>
    </row>
    <row r="2084" spans="3:4">
      <c r="C2084" s="119"/>
      <c r="D2084" s="119"/>
    </row>
    <row r="2085" spans="3:4">
      <c r="C2085" s="119"/>
      <c r="D2085" s="119"/>
    </row>
    <row r="2086" spans="3:4">
      <c r="C2086" s="119"/>
      <c r="D2086" s="119"/>
    </row>
    <row r="2087" spans="3:4">
      <c r="C2087" s="119"/>
      <c r="D2087" s="119"/>
    </row>
    <row r="2088" spans="3:4">
      <c r="C2088" s="119"/>
      <c r="D2088" s="119"/>
    </row>
    <row r="2089" spans="3:4">
      <c r="C2089" s="119"/>
      <c r="D2089" s="119"/>
    </row>
    <row r="2090" spans="3:4">
      <c r="C2090" s="119"/>
      <c r="D2090" s="119"/>
    </row>
    <row r="2091" spans="3:4">
      <c r="C2091" s="119"/>
      <c r="D2091" s="119"/>
    </row>
    <row r="2092" spans="3:4">
      <c r="C2092" s="119"/>
      <c r="D2092" s="119"/>
    </row>
    <row r="2093" spans="3:4">
      <c r="C2093" s="119"/>
      <c r="D2093" s="119"/>
    </row>
    <row r="2094" spans="3:4">
      <c r="C2094" s="119"/>
      <c r="D2094" s="119"/>
    </row>
    <row r="2095" spans="3:4">
      <c r="C2095" s="119"/>
      <c r="D2095" s="119"/>
    </row>
    <row r="2096" spans="3:4">
      <c r="C2096" s="119"/>
      <c r="D2096" s="119"/>
    </row>
    <row r="2097" spans="3:4">
      <c r="C2097" s="119"/>
      <c r="D2097" s="119"/>
    </row>
    <row r="2098" spans="3:4">
      <c r="C2098" s="119"/>
      <c r="D2098" s="119"/>
    </row>
    <row r="2099" spans="3:4">
      <c r="C2099" s="119"/>
      <c r="D2099" s="119"/>
    </row>
    <row r="2100" spans="3:4">
      <c r="C2100" s="119"/>
      <c r="D2100" s="119"/>
    </row>
    <row r="2101" spans="3:4">
      <c r="C2101" s="119"/>
      <c r="D2101" s="119"/>
    </row>
    <row r="2102" spans="3:4">
      <c r="C2102" s="119"/>
      <c r="D2102" s="119"/>
    </row>
    <row r="2103" spans="3:4">
      <c r="C2103" s="119"/>
      <c r="D2103" s="119"/>
    </row>
    <row r="2104" spans="3:4">
      <c r="C2104" s="119"/>
      <c r="D2104" s="119"/>
    </row>
    <row r="2105" spans="3:4">
      <c r="C2105" s="119"/>
      <c r="D2105" s="119"/>
    </row>
    <row r="2106" spans="3:4">
      <c r="C2106" s="119"/>
      <c r="D2106" s="119"/>
    </row>
    <row r="2107" spans="3:4">
      <c r="C2107" s="119"/>
      <c r="D2107" s="119"/>
    </row>
    <row r="2108" spans="3:4">
      <c r="C2108" s="119"/>
      <c r="D2108" s="119"/>
    </row>
    <row r="2109" spans="3:4">
      <c r="C2109" s="119"/>
      <c r="D2109" s="119"/>
    </row>
    <row r="2110" spans="3:4">
      <c r="C2110" s="119"/>
      <c r="D2110" s="119"/>
    </row>
    <row r="2111" spans="3:4">
      <c r="C2111" s="119"/>
      <c r="D2111" s="119"/>
    </row>
    <row r="2112" spans="3:4">
      <c r="C2112" s="119"/>
      <c r="D2112" s="119"/>
    </row>
    <row r="2113" spans="3:4">
      <c r="C2113" s="119"/>
      <c r="D2113" s="119"/>
    </row>
    <row r="2114" spans="3:4">
      <c r="C2114" s="119"/>
      <c r="D2114" s="119"/>
    </row>
    <row r="2115" spans="3:4">
      <c r="C2115" s="119"/>
      <c r="D2115" s="119"/>
    </row>
    <row r="2116" spans="3:4">
      <c r="C2116" s="119"/>
      <c r="D2116" s="119"/>
    </row>
    <row r="2117" spans="3:4">
      <c r="C2117" s="119"/>
      <c r="D2117" s="119"/>
    </row>
    <row r="2118" spans="3:4">
      <c r="C2118" s="119"/>
      <c r="D2118" s="119"/>
    </row>
    <row r="2119" spans="3:4">
      <c r="C2119" s="119"/>
      <c r="D2119" s="119"/>
    </row>
    <row r="2120" spans="3:4">
      <c r="C2120" s="119"/>
      <c r="D2120" s="119"/>
    </row>
    <row r="2121" spans="3:4">
      <c r="C2121" s="119"/>
      <c r="D2121" s="119"/>
    </row>
    <row r="2122" spans="3:4">
      <c r="C2122" s="119"/>
      <c r="D2122" s="119"/>
    </row>
    <row r="2123" spans="3:4">
      <c r="C2123" s="119"/>
      <c r="D2123" s="119"/>
    </row>
    <row r="2124" spans="3:4">
      <c r="C2124" s="119"/>
      <c r="D2124" s="119"/>
    </row>
    <row r="2125" spans="3:4">
      <c r="C2125" s="119"/>
      <c r="D2125" s="119"/>
    </row>
    <row r="2126" spans="3:4">
      <c r="C2126" s="119"/>
      <c r="D2126" s="119"/>
    </row>
    <row r="2127" spans="3:4">
      <c r="C2127" s="119"/>
      <c r="D2127" s="119"/>
    </row>
    <row r="2128" spans="3:4">
      <c r="C2128" s="119"/>
      <c r="D2128" s="119"/>
    </row>
    <row r="2129" spans="3:4">
      <c r="C2129" s="119"/>
      <c r="D2129" s="119"/>
    </row>
    <row r="2130" spans="3:4">
      <c r="C2130" s="119"/>
      <c r="D2130" s="119"/>
    </row>
    <row r="2131" spans="3:4">
      <c r="C2131" s="119"/>
      <c r="D2131" s="119"/>
    </row>
    <row r="2132" spans="3:4">
      <c r="C2132" s="119"/>
      <c r="D2132" s="119"/>
    </row>
    <row r="2133" spans="3:4">
      <c r="C2133" s="119"/>
      <c r="D2133" s="119"/>
    </row>
    <row r="2134" spans="3:4">
      <c r="C2134" s="119"/>
      <c r="D2134" s="119"/>
    </row>
    <row r="2135" spans="3:4">
      <c r="C2135" s="119"/>
      <c r="D2135" s="119"/>
    </row>
    <row r="2136" spans="3:4">
      <c r="C2136" s="119"/>
      <c r="D2136" s="119"/>
    </row>
    <row r="2137" spans="3:4">
      <c r="C2137" s="119"/>
      <c r="D2137" s="119"/>
    </row>
    <row r="2138" spans="3:4">
      <c r="C2138" s="119"/>
      <c r="D2138" s="119"/>
    </row>
    <row r="2139" spans="3:4">
      <c r="C2139" s="119"/>
      <c r="D2139" s="119"/>
    </row>
    <row r="2140" spans="3:4">
      <c r="C2140" s="119"/>
      <c r="D2140" s="119"/>
    </row>
    <row r="2141" spans="3:4">
      <c r="C2141" s="119"/>
      <c r="D2141" s="119"/>
    </row>
    <row r="2142" spans="3:4">
      <c r="C2142" s="119"/>
      <c r="D2142" s="119"/>
    </row>
    <row r="2143" spans="3:4">
      <c r="C2143" s="119"/>
      <c r="D2143" s="119"/>
    </row>
    <row r="2144" spans="3:4">
      <c r="C2144" s="119"/>
      <c r="D2144" s="119"/>
    </row>
    <row r="2145" spans="3:4">
      <c r="C2145" s="119"/>
      <c r="D2145" s="119"/>
    </row>
    <row r="2146" spans="3:4">
      <c r="C2146" s="119"/>
      <c r="D2146" s="119"/>
    </row>
    <row r="2147" spans="3:4">
      <c r="C2147" s="119"/>
      <c r="D2147" s="119"/>
    </row>
    <row r="2148" spans="3:4">
      <c r="C2148" s="119"/>
      <c r="D2148" s="119"/>
    </row>
    <row r="2149" spans="3:4">
      <c r="C2149" s="119"/>
      <c r="D2149" s="119"/>
    </row>
    <row r="2150" spans="3:4">
      <c r="C2150" s="119"/>
      <c r="D2150" s="119"/>
    </row>
    <row r="2151" spans="3:4">
      <c r="C2151" s="119"/>
      <c r="D2151" s="119"/>
    </row>
    <row r="2152" spans="3:4">
      <c r="C2152" s="119"/>
      <c r="D2152" s="119"/>
    </row>
    <row r="2153" spans="3:4">
      <c r="C2153" s="119"/>
      <c r="D2153" s="119"/>
    </row>
    <row r="2154" spans="3:4">
      <c r="C2154" s="119"/>
      <c r="D2154" s="119"/>
    </row>
    <row r="2155" spans="3:4">
      <c r="C2155" s="119"/>
      <c r="D2155" s="119"/>
    </row>
    <row r="2156" spans="3:4">
      <c r="C2156" s="119"/>
      <c r="D2156" s="119"/>
    </row>
    <row r="2157" spans="3:4">
      <c r="C2157" s="119"/>
      <c r="D2157" s="119"/>
    </row>
    <row r="2158" spans="3:4">
      <c r="C2158" s="119"/>
      <c r="D2158" s="119"/>
    </row>
    <row r="2159" spans="3:4">
      <c r="C2159" s="119"/>
      <c r="D2159" s="119"/>
    </row>
    <row r="2160" spans="3:4">
      <c r="C2160" s="119"/>
      <c r="D2160" s="119"/>
    </row>
    <row r="2161" spans="3:4">
      <c r="C2161" s="119"/>
      <c r="D2161" s="119"/>
    </row>
    <row r="2162" spans="3:4">
      <c r="C2162" s="119"/>
      <c r="D2162" s="119"/>
    </row>
    <row r="2163" spans="3:4">
      <c r="C2163" s="119"/>
      <c r="D2163" s="119"/>
    </row>
    <row r="2164" spans="3:4">
      <c r="C2164" s="119"/>
      <c r="D2164" s="119"/>
    </row>
    <row r="2165" spans="3:4">
      <c r="C2165" s="119"/>
      <c r="D2165" s="119"/>
    </row>
    <row r="2166" spans="3:4">
      <c r="C2166" s="119"/>
      <c r="D2166" s="119"/>
    </row>
    <row r="2167" spans="3:4">
      <c r="C2167" s="119"/>
      <c r="D2167" s="119"/>
    </row>
    <row r="2168" spans="3:4">
      <c r="C2168" s="119"/>
      <c r="D2168" s="119"/>
    </row>
    <row r="2169" spans="3:4">
      <c r="C2169" s="119"/>
      <c r="D2169" s="119"/>
    </row>
    <row r="2170" spans="3:4">
      <c r="C2170" s="119"/>
      <c r="D2170" s="119"/>
    </row>
    <row r="2171" spans="3:4">
      <c r="C2171" s="119"/>
      <c r="D2171" s="119"/>
    </row>
    <row r="2172" spans="3:4">
      <c r="C2172" s="119"/>
      <c r="D2172" s="119"/>
    </row>
    <row r="2173" spans="3:4">
      <c r="C2173" s="119"/>
      <c r="D2173" s="119"/>
    </row>
    <row r="2174" spans="3:4">
      <c r="C2174" s="119"/>
      <c r="D2174" s="119"/>
    </row>
    <row r="2175" spans="3:4">
      <c r="C2175" s="119"/>
      <c r="D2175" s="119"/>
    </row>
    <row r="2176" spans="3:4">
      <c r="C2176" s="119"/>
      <c r="D2176" s="119"/>
    </row>
    <row r="2177" spans="3:4">
      <c r="C2177" s="119"/>
      <c r="D2177" s="119"/>
    </row>
    <row r="2178" spans="3:4">
      <c r="C2178" s="119"/>
      <c r="D2178" s="119"/>
    </row>
    <row r="2179" spans="3:4">
      <c r="C2179" s="119"/>
      <c r="D2179" s="119"/>
    </row>
    <row r="2180" spans="3:4">
      <c r="C2180" s="119"/>
      <c r="D2180" s="119"/>
    </row>
    <row r="2181" spans="3:4">
      <c r="C2181" s="119"/>
      <c r="D2181" s="119"/>
    </row>
    <row r="2182" spans="3:4">
      <c r="C2182" s="119"/>
      <c r="D2182" s="119"/>
    </row>
    <row r="2183" spans="3:4">
      <c r="C2183" s="119"/>
      <c r="D2183" s="119"/>
    </row>
    <row r="2184" spans="3:4">
      <c r="C2184" s="119"/>
      <c r="D2184" s="119"/>
    </row>
    <row r="2185" spans="3:4">
      <c r="C2185" s="119"/>
      <c r="D2185" s="119"/>
    </row>
    <row r="2186" spans="3:4">
      <c r="C2186" s="119"/>
      <c r="D2186" s="119"/>
    </row>
    <row r="2187" spans="3:4">
      <c r="C2187" s="119"/>
      <c r="D2187" s="119"/>
    </row>
    <row r="2188" spans="3:4">
      <c r="C2188" s="119"/>
      <c r="D2188" s="119"/>
    </row>
    <row r="2189" spans="3:4">
      <c r="C2189" s="119"/>
      <c r="D2189" s="119"/>
    </row>
    <row r="2190" spans="3:4">
      <c r="C2190" s="119"/>
      <c r="D2190" s="119"/>
    </row>
    <row r="2191" spans="3:4">
      <c r="C2191" s="119"/>
      <c r="D2191" s="119"/>
    </row>
    <row r="2192" spans="3:4">
      <c r="C2192" s="119"/>
      <c r="D2192" s="119"/>
    </row>
    <row r="2193" spans="3:4">
      <c r="C2193" s="119"/>
      <c r="D2193" s="119"/>
    </row>
    <row r="2194" spans="3:4">
      <c r="C2194" s="119"/>
      <c r="D2194" s="119"/>
    </row>
    <row r="2195" spans="3:4">
      <c r="C2195" s="119"/>
      <c r="D2195" s="119"/>
    </row>
    <row r="2196" spans="3:4">
      <c r="C2196" s="119"/>
      <c r="D2196" s="119"/>
    </row>
    <row r="2197" spans="3:4">
      <c r="C2197" s="119"/>
      <c r="D2197" s="119"/>
    </row>
    <row r="2198" spans="3:4">
      <c r="C2198" s="119"/>
      <c r="D2198" s="119"/>
    </row>
    <row r="2199" spans="3:4">
      <c r="C2199" s="119"/>
      <c r="D2199" s="119"/>
    </row>
    <row r="2200" spans="3:4">
      <c r="C2200" s="119"/>
      <c r="D2200" s="119"/>
    </row>
    <row r="2201" spans="3:4">
      <c r="C2201" s="119"/>
      <c r="D2201" s="119"/>
    </row>
    <row r="2202" spans="3:4">
      <c r="C2202" s="119"/>
      <c r="D2202" s="119"/>
    </row>
    <row r="2203" spans="3:4">
      <c r="C2203" s="119"/>
      <c r="D2203" s="119"/>
    </row>
    <row r="2204" spans="3:4">
      <c r="C2204" s="119"/>
      <c r="D2204" s="119"/>
    </row>
    <row r="2205" spans="3:4">
      <c r="C2205" s="119"/>
      <c r="D2205" s="119"/>
    </row>
    <row r="2206" spans="3:4">
      <c r="C2206" s="119"/>
      <c r="D2206" s="119"/>
    </row>
    <row r="2207" spans="3:4">
      <c r="C2207" s="119"/>
      <c r="D2207" s="119"/>
    </row>
    <row r="2208" spans="3:4">
      <c r="C2208" s="119"/>
      <c r="D2208" s="119"/>
    </row>
    <row r="2209" spans="3:4">
      <c r="C2209" s="119"/>
      <c r="D2209" s="119"/>
    </row>
    <row r="2210" spans="3:4">
      <c r="C2210" s="119"/>
      <c r="D2210" s="119"/>
    </row>
    <row r="2211" spans="3:4">
      <c r="C2211" s="119"/>
      <c r="D2211" s="119"/>
    </row>
    <row r="2212" spans="3:4">
      <c r="C2212" s="119"/>
      <c r="D2212" s="119"/>
    </row>
    <row r="2213" spans="3:4">
      <c r="C2213" s="119"/>
      <c r="D2213" s="119"/>
    </row>
    <row r="2214" spans="3:4">
      <c r="C2214" s="119"/>
      <c r="D2214" s="119"/>
    </row>
    <row r="2215" spans="3:4">
      <c r="C2215" s="119"/>
      <c r="D2215" s="119"/>
    </row>
    <row r="2216" spans="3:4">
      <c r="C2216" s="119"/>
      <c r="D2216" s="119"/>
    </row>
    <row r="2217" spans="3:4">
      <c r="C2217" s="119"/>
      <c r="D2217" s="119"/>
    </row>
    <row r="2218" spans="3:4">
      <c r="C2218" s="119"/>
      <c r="D2218" s="119"/>
    </row>
    <row r="2219" spans="3:4">
      <c r="C2219" s="119"/>
      <c r="D2219" s="119"/>
    </row>
    <row r="2220" spans="3:4">
      <c r="C2220" s="119"/>
      <c r="D2220" s="119"/>
    </row>
    <row r="2221" spans="3:4">
      <c r="C2221" s="119"/>
      <c r="D2221" s="119"/>
    </row>
    <row r="2222" spans="3:4">
      <c r="C2222" s="119"/>
      <c r="D2222" s="119"/>
    </row>
    <row r="2223" spans="3:4">
      <c r="C2223" s="119"/>
      <c r="D2223" s="119"/>
    </row>
    <row r="2224" spans="3:4">
      <c r="C2224" s="119"/>
      <c r="D2224" s="119"/>
    </row>
    <row r="2225" spans="3:4">
      <c r="C2225" s="119"/>
      <c r="D2225" s="119"/>
    </row>
    <row r="2226" spans="3:4">
      <c r="C2226" s="119"/>
      <c r="D2226" s="119"/>
    </row>
    <row r="2227" spans="3:4">
      <c r="C2227" s="119"/>
      <c r="D2227" s="119"/>
    </row>
    <row r="2228" spans="3:4">
      <c r="C2228" s="119"/>
      <c r="D2228" s="119"/>
    </row>
    <row r="2229" spans="3:4">
      <c r="C2229" s="119"/>
      <c r="D2229" s="119"/>
    </row>
    <row r="2230" spans="3:4">
      <c r="C2230" s="119"/>
      <c r="D2230" s="119"/>
    </row>
    <row r="2231" spans="3:4">
      <c r="C2231" s="119"/>
      <c r="D2231" s="119"/>
    </row>
    <row r="2232" spans="3:4">
      <c r="C2232" s="119"/>
      <c r="D2232" s="119"/>
    </row>
    <row r="2233" spans="3:4">
      <c r="C2233" s="119"/>
      <c r="D2233" s="119"/>
    </row>
    <row r="2234" spans="3:4">
      <c r="C2234" s="119"/>
      <c r="D2234" s="119"/>
    </row>
    <row r="2235" spans="3:4">
      <c r="C2235" s="119"/>
      <c r="D2235" s="119"/>
    </row>
    <row r="2236" spans="3:4">
      <c r="C2236" s="119"/>
      <c r="D2236" s="119"/>
    </row>
    <row r="2237" spans="3:4">
      <c r="C2237" s="119"/>
      <c r="D2237" s="119"/>
    </row>
    <row r="2238" spans="3:4">
      <c r="C2238" s="119"/>
      <c r="D2238" s="119"/>
    </row>
    <row r="2239" spans="3:4">
      <c r="C2239" s="119"/>
      <c r="D2239" s="119"/>
    </row>
    <row r="2240" spans="3:4">
      <c r="C2240" s="119"/>
      <c r="D2240" s="119"/>
    </row>
    <row r="2241" spans="3:4">
      <c r="C2241" s="119"/>
      <c r="D2241" s="119"/>
    </row>
    <row r="2242" spans="3:4">
      <c r="C2242" s="119"/>
      <c r="D2242" s="119"/>
    </row>
    <row r="2243" spans="3:4">
      <c r="C2243" s="119"/>
      <c r="D2243" s="119"/>
    </row>
    <row r="2244" spans="3:4">
      <c r="C2244" s="119"/>
      <c r="D2244" s="119"/>
    </row>
    <row r="2245" spans="3:4">
      <c r="C2245" s="119"/>
      <c r="D2245" s="119"/>
    </row>
    <row r="2246" spans="3:4">
      <c r="C2246" s="119"/>
      <c r="D2246" s="119"/>
    </row>
    <row r="2247" spans="3:4">
      <c r="C2247" s="119"/>
      <c r="D2247" s="119"/>
    </row>
    <row r="2248" spans="3:4">
      <c r="C2248" s="119"/>
      <c r="D2248" s="119"/>
    </row>
    <row r="2249" spans="3:4">
      <c r="C2249" s="119"/>
      <c r="D2249" s="119"/>
    </row>
    <row r="2250" spans="3:4">
      <c r="C2250" s="119"/>
      <c r="D2250" s="119"/>
    </row>
    <row r="2251" spans="3:4">
      <c r="C2251" s="119"/>
      <c r="D2251" s="119"/>
    </row>
    <row r="2252" spans="3:4">
      <c r="C2252" s="119"/>
      <c r="D2252" s="119"/>
    </row>
    <row r="2253" spans="3:4">
      <c r="C2253" s="119"/>
      <c r="D2253" s="119"/>
    </row>
    <row r="2254" spans="3:4">
      <c r="C2254" s="119"/>
      <c r="D2254" s="119"/>
    </row>
    <row r="2255" spans="3:4">
      <c r="C2255" s="119"/>
      <c r="D2255" s="119"/>
    </row>
    <row r="2256" spans="3:4">
      <c r="C2256" s="119"/>
      <c r="D2256" s="119"/>
    </row>
    <row r="2257" spans="3:4">
      <c r="C2257" s="119"/>
      <c r="D2257" s="119"/>
    </row>
    <row r="2258" spans="3:4">
      <c r="C2258" s="119"/>
      <c r="D2258" s="119"/>
    </row>
    <row r="2259" spans="3:4">
      <c r="C2259" s="119"/>
      <c r="D2259" s="119"/>
    </row>
    <row r="2260" spans="3:4">
      <c r="C2260" s="119"/>
      <c r="D2260" s="119"/>
    </row>
    <row r="2261" spans="3:4">
      <c r="C2261" s="119"/>
      <c r="D2261" s="119"/>
    </row>
    <row r="2262" spans="3:4">
      <c r="C2262" s="119"/>
      <c r="D2262" s="119"/>
    </row>
    <row r="2263" spans="3:4">
      <c r="C2263" s="119"/>
      <c r="D2263" s="119"/>
    </row>
    <row r="2264" spans="3:4">
      <c r="C2264" s="119"/>
      <c r="D2264" s="119"/>
    </row>
    <row r="2265" spans="3:4">
      <c r="C2265" s="119"/>
      <c r="D2265" s="119"/>
    </row>
    <row r="2266" spans="3:4">
      <c r="C2266" s="119"/>
      <c r="D2266" s="119"/>
    </row>
    <row r="2267" spans="3:4">
      <c r="C2267" s="119"/>
      <c r="D2267" s="119"/>
    </row>
    <row r="2268" spans="3:4">
      <c r="C2268" s="119"/>
      <c r="D2268" s="119"/>
    </row>
    <row r="2269" spans="3:4">
      <c r="C2269" s="119"/>
      <c r="D2269" s="119"/>
    </row>
    <row r="2270" spans="3:4">
      <c r="C2270" s="119"/>
      <c r="D2270" s="119"/>
    </row>
    <row r="2271" spans="3:4">
      <c r="C2271" s="119"/>
      <c r="D2271" s="119"/>
    </row>
    <row r="2272" spans="3:4">
      <c r="C2272" s="119"/>
      <c r="D2272" s="119"/>
    </row>
    <row r="2273" spans="3:4">
      <c r="C2273" s="119"/>
      <c r="D2273" s="119"/>
    </row>
    <row r="2274" spans="3:4">
      <c r="C2274" s="119"/>
      <c r="D2274" s="119"/>
    </row>
    <row r="2275" spans="3:4">
      <c r="C2275" s="119"/>
      <c r="D2275" s="119"/>
    </row>
    <row r="2276" spans="3:4">
      <c r="C2276" s="119"/>
      <c r="D2276" s="119"/>
    </row>
    <row r="2277" spans="3:4">
      <c r="C2277" s="119"/>
      <c r="D2277" s="119"/>
    </row>
    <row r="2278" spans="3:4">
      <c r="C2278" s="119"/>
      <c r="D2278" s="119"/>
    </row>
    <row r="2279" spans="3:4">
      <c r="C2279" s="119"/>
      <c r="D2279" s="119"/>
    </row>
    <row r="2280" spans="3:4">
      <c r="C2280" s="119"/>
      <c r="D2280" s="119"/>
    </row>
    <row r="2281" spans="3:4">
      <c r="C2281" s="119"/>
      <c r="D2281" s="119"/>
    </row>
    <row r="2282" spans="3:4">
      <c r="C2282" s="119"/>
      <c r="D2282" s="119"/>
    </row>
    <row r="2283" spans="3:4">
      <c r="C2283" s="119"/>
      <c r="D2283" s="119"/>
    </row>
    <row r="2284" spans="3:4">
      <c r="C2284" s="119"/>
      <c r="D2284" s="119"/>
    </row>
    <row r="2285" spans="3:4">
      <c r="C2285" s="119"/>
      <c r="D2285" s="119"/>
    </row>
    <row r="2286" spans="3:4">
      <c r="C2286" s="119"/>
      <c r="D2286" s="119"/>
    </row>
    <row r="2287" spans="3:4">
      <c r="C2287" s="119"/>
      <c r="D2287" s="119"/>
    </row>
    <row r="2288" spans="3:4">
      <c r="C2288" s="119"/>
      <c r="D2288" s="119"/>
    </row>
    <row r="2289" spans="3:4">
      <c r="C2289" s="119"/>
      <c r="D2289" s="119"/>
    </row>
    <row r="2290" spans="3:4">
      <c r="C2290" s="119"/>
      <c r="D2290" s="119"/>
    </row>
    <row r="2291" spans="3:4">
      <c r="C2291" s="119"/>
      <c r="D2291" s="119"/>
    </row>
    <row r="2292" spans="3:4">
      <c r="C2292" s="119"/>
      <c r="D2292" s="119"/>
    </row>
    <row r="2293" spans="3:4">
      <c r="C2293" s="119"/>
      <c r="D2293" s="119"/>
    </row>
    <row r="2294" spans="3:4">
      <c r="C2294" s="119"/>
      <c r="D2294" s="119"/>
    </row>
    <row r="2295" spans="3:4">
      <c r="C2295" s="119"/>
      <c r="D2295" s="119"/>
    </row>
    <row r="2296" spans="3:4">
      <c r="C2296" s="119"/>
      <c r="D2296" s="119"/>
    </row>
    <row r="2297" spans="3:4">
      <c r="C2297" s="119"/>
      <c r="D2297" s="119"/>
    </row>
    <row r="2298" spans="3:4">
      <c r="C2298" s="119"/>
      <c r="D2298" s="119"/>
    </row>
    <row r="2299" spans="3:4">
      <c r="C2299" s="119"/>
      <c r="D2299" s="119"/>
    </row>
    <row r="2300" spans="3:4">
      <c r="C2300" s="119"/>
      <c r="D2300" s="119"/>
    </row>
    <row r="2301" spans="3:4">
      <c r="C2301" s="119"/>
      <c r="D2301" s="119"/>
    </row>
    <row r="2302" spans="3:4">
      <c r="C2302" s="119"/>
      <c r="D2302" s="119"/>
    </row>
    <row r="2303" spans="3:4">
      <c r="C2303" s="119"/>
      <c r="D2303" s="119"/>
    </row>
    <row r="2304" spans="3:4">
      <c r="C2304" s="119"/>
      <c r="D2304" s="119"/>
    </row>
    <row r="2305" spans="3:4">
      <c r="C2305" s="119"/>
      <c r="D2305" s="119"/>
    </row>
    <row r="2306" spans="3:4">
      <c r="C2306" s="119"/>
      <c r="D2306" s="119"/>
    </row>
    <row r="2307" spans="3:4">
      <c r="C2307" s="119"/>
      <c r="D2307" s="119"/>
    </row>
    <row r="2308" spans="3:4">
      <c r="C2308" s="119"/>
      <c r="D2308" s="119"/>
    </row>
    <row r="2309" spans="3:4">
      <c r="C2309" s="119"/>
      <c r="D2309" s="119"/>
    </row>
    <row r="2310" spans="3:4">
      <c r="C2310" s="119"/>
      <c r="D2310" s="119"/>
    </row>
    <row r="2311" spans="3:4">
      <c r="C2311" s="119"/>
      <c r="D2311" s="119"/>
    </row>
    <row r="2312" spans="3:4">
      <c r="C2312" s="119"/>
      <c r="D2312" s="119"/>
    </row>
    <row r="2313" spans="3:4">
      <c r="C2313" s="119"/>
      <c r="D2313" s="119"/>
    </row>
    <row r="2314" spans="3:4">
      <c r="C2314" s="119"/>
      <c r="D2314" s="119"/>
    </row>
    <row r="2315" spans="3:4">
      <c r="C2315" s="119"/>
      <c r="D2315" s="119"/>
    </row>
    <row r="2316" spans="3:4">
      <c r="C2316" s="119"/>
      <c r="D2316" s="119"/>
    </row>
    <row r="2317" spans="3:4">
      <c r="C2317" s="119"/>
      <c r="D2317" s="119"/>
    </row>
    <row r="2318" spans="3:4">
      <c r="C2318" s="119"/>
      <c r="D2318" s="119"/>
    </row>
    <row r="2319" spans="3:4">
      <c r="C2319" s="119"/>
      <c r="D2319" s="119"/>
    </row>
    <row r="2320" spans="3:4">
      <c r="C2320" s="119"/>
      <c r="D2320" s="119"/>
    </row>
    <row r="2321" spans="3:4">
      <c r="C2321" s="119"/>
      <c r="D2321" s="119"/>
    </row>
    <row r="2322" spans="3:4">
      <c r="C2322" s="119"/>
      <c r="D2322" s="119"/>
    </row>
    <row r="2323" spans="3:4">
      <c r="C2323" s="119"/>
      <c r="D2323" s="119"/>
    </row>
    <row r="2324" spans="3:4">
      <c r="C2324" s="119"/>
      <c r="D2324" s="119"/>
    </row>
    <row r="2325" spans="3:4">
      <c r="C2325" s="119"/>
      <c r="D2325" s="119"/>
    </row>
    <row r="2326" spans="3:4">
      <c r="C2326" s="119"/>
      <c r="D2326" s="119"/>
    </row>
    <row r="2327" spans="3:4">
      <c r="C2327" s="119"/>
      <c r="D2327" s="119"/>
    </row>
    <row r="2328" spans="3:4">
      <c r="C2328" s="119"/>
      <c r="D2328" s="119"/>
    </row>
    <row r="2329" spans="3:4">
      <c r="C2329" s="119"/>
      <c r="D2329" s="119"/>
    </row>
    <row r="2330" spans="3:4">
      <c r="C2330" s="119"/>
      <c r="D2330" s="119"/>
    </row>
    <row r="2331" spans="3:4">
      <c r="C2331" s="119"/>
      <c r="D2331" s="119"/>
    </row>
    <row r="2332" spans="3:4">
      <c r="C2332" s="119"/>
      <c r="D2332" s="119"/>
    </row>
    <row r="2333" spans="3:4">
      <c r="C2333" s="119"/>
      <c r="D2333" s="119"/>
    </row>
    <row r="2334" spans="3:4">
      <c r="C2334" s="119"/>
      <c r="D2334" s="119"/>
    </row>
    <row r="2335" spans="3:4">
      <c r="C2335" s="119"/>
      <c r="D2335" s="119"/>
    </row>
    <row r="2336" spans="3:4">
      <c r="C2336" s="119"/>
      <c r="D2336" s="119"/>
    </row>
    <row r="2337" spans="3:4">
      <c r="C2337" s="119"/>
      <c r="D2337" s="119"/>
    </row>
    <row r="2338" spans="3:4">
      <c r="C2338" s="119"/>
      <c r="D2338" s="119"/>
    </row>
    <row r="2339" spans="3:4">
      <c r="C2339" s="119"/>
      <c r="D2339" s="119"/>
    </row>
    <row r="2340" spans="3:4">
      <c r="C2340" s="119"/>
      <c r="D2340" s="119"/>
    </row>
    <row r="2341" spans="3:4">
      <c r="C2341" s="119"/>
      <c r="D2341" s="119"/>
    </row>
    <row r="2342" spans="3:4">
      <c r="C2342" s="119"/>
      <c r="D2342" s="119"/>
    </row>
    <row r="2343" spans="3:4">
      <c r="C2343" s="119"/>
      <c r="D2343" s="119"/>
    </row>
    <row r="2344" spans="3:4">
      <c r="C2344" s="119"/>
      <c r="D2344" s="119"/>
    </row>
    <row r="2345" spans="3:4">
      <c r="C2345" s="119"/>
      <c r="D2345" s="119"/>
    </row>
    <row r="2346" spans="3:4">
      <c r="C2346" s="119"/>
      <c r="D2346" s="119"/>
    </row>
    <row r="2347" spans="3:4">
      <c r="C2347" s="119"/>
      <c r="D2347" s="119"/>
    </row>
    <row r="2348" spans="3:4">
      <c r="C2348" s="119"/>
      <c r="D2348" s="119"/>
    </row>
    <row r="2349" spans="3:4">
      <c r="C2349" s="119"/>
      <c r="D2349" s="119"/>
    </row>
    <row r="2350" spans="3:4">
      <c r="C2350" s="119"/>
      <c r="D2350" s="119"/>
    </row>
    <row r="2351" spans="3:4">
      <c r="C2351" s="119"/>
      <c r="D2351" s="119"/>
    </row>
    <row r="2352" spans="3:4">
      <c r="C2352" s="119"/>
      <c r="D2352" s="119"/>
    </row>
    <row r="2353" spans="3:4">
      <c r="C2353" s="119"/>
      <c r="D2353" s="119"/>
    </row>
    <row r="2354" spans="3:4">
      <c r="C2354" s="119"/>
      <c r="D2354" s="119"/>
    </row>
    <row r="2355" spans="3:4">
      <c r="C2355" s="119"/>
      <c r="D2355" s="119"/>
    </row>
    <row r="2356" spans="3:4">
      <c r="C2356" s="119"/>
      <c r="D2356" s="119"/>
    </row>
    <row r="2357" spans="3:4">
      <c r="C2357" s="119"/>
      <c r="D2357" s="119"/>
    </row>
    <row r="2358" spans="3:4">
      <c r="C2358" s="119"/>
      <c r="D2358" s="119"/>
    </row>
    <row r="2359" spans="3:4">
      <c r="C2359" s="119"/>
      <c r="D2359" s="119"/>
    </row>
    <row r="2360" spans="3:4">
      <c r="C2360" s="119"/>
      <c r="D2360" s="119"/>
    </row>
    <row r="2361" spans="3:4">
      <c r="C2361" s="119"/>
      <c r="D2361" s="119"/>
    </row>
    <row r="2362" spans="3:4">
      <c r="C2362" s="119"/>
      <c r="D2362" s="119"/>
    </row>
    <row r="2363" spans="3:4">
      <c r="C2363" s="119"/>
      <c r="D2363" s="119"/>
    </row>
    <row r="2364" spans="3:4">
      <c r="C2364" s="119"/>
      <c r="D2364" s="119"/>
    </row>
    <row r="2365" spans="3:4">
      <c r="C2365" s="119"/>
      <c r="D2365" s="119"/>
    </row>
    <row r="2366" spans="3:4">
      <c r="C2366" s="119"/>
      <c r="D2366" s="119"/>
    </row>
    <row r="2367" spans="3:4">
      <c r="C2367" s="119"/>
      <c r="D2367" s="119"/>
    </row>
    <row r="2368" spans="3:4">
      <c r="C2368" s="119"/>
      <c r="D2368" s="119"/>
    </row>
    <row r="2369" spans="3:4">
      <c r="C2369" s="119"/>
      <c r="D2369" s="119"/>
    </row>
    <row r="2370" spans="3:4">
      <c r="C2370" s="119"/>
      <c r="D2370" s="119"/>
    </row>
    <row r="2371" spans="3:4">
      <c r="C2371" s="119"/>
      <c r="D2371" s="119"/>
    </row>
    <row r="2372" spans="3:4">
      <c r="C2372" s="119"/>
      <c r="D2372" s="119"/>
    </row>
    <row r="2373" spans="3:4">
      <c r="C2373" s="119"/>
      <c r="D2373" s="119"/>
    </row>
    <row r="2374" spans="3:4">
      <c r="C2374" s="119"/>
      <c r="D2374" s="119"/>
    </row>
    <row r="2375" spans="3:4">
      <c r="C2375" s="119"/>
      <c r="D2375" s="119"/>
    </row>
    <row r="2376" spans="3:4">
      <c r="C2376" s="119"/>
      <c r="D2376" s="119"/>
    </row>
    <row r="2377" spans="3:4">
      <c r="C2377" s="119"/>
      <c r="D2377" s="119"/>
    </row>
    <row r="2378" spans="3:4">
      <c r="C2378" s="119"/>
      <c r="D2378" s="119"/>
    </row>
    <row r="2379" spans="3:4">
      <c r="C2379" s="119"/>
      <c r="D2379" s="119"/>
    </row>
    <row r="2380" spans="3:4">
      <c r="C2380" s="119"/>
      <c r="D2380" s="119"/>
    </row>
    <row r="2381" spans="3:4">
      <c r="C2381" s="119"/>
      <c r="D2381" s="119"/>
    </row>
    <row r="2382" spans="3:4">
      <c r="C2382" s="119"/>
      <c r="D2382" s="119"/>
    </row>
    <row r="2383" spans="3:4">
      <c r="C2383" s="119"/>
      <c r="D2383" s="119"/>
    </row>
    <row r="2384" spans="3:4">
      <c r="C2384" s="119"/>
      <c r="D2384" s="119"/>
    </row>
    <row r="2385" spans="3:4">
      <c r="C2385" s="119"/>
      <c r="D2385" s="119"/>
    </row>
    <row r="2386" spans="3:4">
      <c r="C2386" s="119"/>
      <c r="D2386" s="119"/>
    </row>
    <row r="2387" spans="3:4">
      <c r="C2387" s="119"/>
      <c r="D2387" s="119"/>
    </row>
    <row r="2388" spans="3:4">
      <c r="C2388" s="119"/>
      <c r="D2388" s="119"/>
    </row>
    <row r="2389" spans="3:4">
      <c r="C2389" s="119"/>
      <c r="D2389" s="119"/>
    </row>
    <row r="2390" spans="3:4">
      <c r="C2390" s="119"/>
      <c r="D2390" s="119"/>
    </row>
    <row r="2391" spans="3:4">
      <c r="C2391" s="119"/>
      <c r="D2391" s="119"/>
    </row>
    <row r="2392" spans="3:4">
      <c r="C2392" s="119"/>
      <c r="D2392" s="119"/>
    </row>
    <row r="2393" spans="3:4">
      <c r="C2393" s="119"/>
      <c r="D2393" s="119"/>
    </row>
    <row r="2394" spans="3:4">
      <c r="C2394" s="119"/>
      <c r="D2394" s="119"/>
    </row>
    <row r="2395" spans="3:4">
      <c r="C2395" s="119"/>
      <c r="D2395" s="119"/>
    </row>
    <row r="2396" spans="3:4">
      <c r="C2396" s="119"/>
      <c r="D2396" s="119"/>
    </row>
    <row r="2397" spans="3:4">
      <c r="C2397" s="119"/>
      <c r="D2397" s="119"/>
    </row>
    <row r="2398" spans="3:4">
      <c r="C2398" s="119"/>
      <c r="D2398" s="119"/>
    </row>
    <row r="2399" spans="3:4">
      <c r="C2399" s="119"/>
      <c r="D2399" s="119"/>
    </row>
    <row r="2400" spans="3:4">
      <c r="C2400" s="119"/>
      <c r="D2400" s="119"/>
    </row>
    <row r="2401" spans="3:4">
      <c r="C2401" s="119"/>
      <c r="D2401" s="119"/>
    </row>
    <row r="2402" spans="3:4">
      <c r="C2402" s="119"/>
      <c r="D2402" s="119"/>
    </row>
    <row r="2403" spans="3:4">
      <c r="C2403" s="119"/>
      <c r="D2403" s="119"/>
    </row>
    <row r="2404" spans="3:4">
      <c r="C2404" s="119"/>
      <c r="D2404" s="119"/>
    </row>
    <row r="2405" spans="3:4">
      <c r="C2405" s="119"/>
      <c r="D2405" s="119"/>
    </row>
    <row r="2406" spans="3:4">
      <c r="C2406" s="119"/>
      <c r="D2406" s="119"/>
    </row>
    <row r="2407" spans="3:4">
      <c r="C2407" s="119"/>
      <c r="D2407" s="119"/>
    </row>
    <row r="2408" spans="3:4">
      <c r="C2408" s="119"/>
      <c r="D2408" s="119"/>
    </row>
    <row r="2409" spans="3:4">
      <c r="C2409" s="119"/>
      <c r="D2409" s="119"/>
    </row>
    <row r="2410" spans="3:4">
      <c r="C2410" s="119"/>
      <c r="D2410" s="119"/>
    </row>
    <row r="2411" spans="3:4">
      <c r="C2411" s="119"/>
      <c r="D2411" s="119"/>
    </row>
    <row r="2412" spans="3:4">
      <c r="C2412" s="119"/>
      <c r="D2412" s="119"/>
    </row>
    <row r="2413" spans="3:4">
      <c r="C2413" s="119"/>
      <c r="D2413" s="119"/>
    </row>
    <row r="2414" spans="3:4">
      <c r="C2414" s="119"/>
      <c r="D2414" s="119"/>
    </row>
    <row r="2415" spans="3:4">
      <c r="C2415" s="119"/>
      <c r="D2415" s="119"/>
    </row>
    <row r="2416" spans="3:4">
      <c r="C2416" s="119"/>
      <c r="D2416" s="119"/>
    </row>
    <row r="2417" spans="3:4">
      <c r="C2417" s="119"/>
      <c r="D2417" s="119"/>
    </row>
    <row r="2418" spans="3:4">
      <c r="C2418" s="119"/>
      <c r="D2418" s="119"/>
    </row>
    <row r="2419" spans="3:4">
      <c r="C2419" s="119"/>
      <c r="D2419" s="119"/>
    </row>
    <row r="2420" spans="3:4">
      <c r="C2420" s="119"/>
      <c r="D2420" s="119"/>
    </row>
    <row r="2421" spans="3:4">
      <c r="C2421" s="119"/>
      <c r="D2421" s="119"/>
    </row>
    <row r="2422" spans="3:4">
      <c r="C2422" s="119"/>
      <c r="D2422" s="119"/>
    </row>
    <row r="2423" spans="3:4">
      <c r="C2423" s="119"/>
      <c r="D2423" s="119"/>
    </row>
    <row r="2424" spans="3:4">
      <c r="C2424" s="119"/>
      <c r="D2424" s="119"/>
    </row>
    <row r="2425" spans="3:4">
      <c r="C2425" s="119"/>
      <c r="D2425" s="119"/>
    </row>
    <row r="2426" spans="3:4">
      <c r="C2426" s="119"/>
      <c r="D2426" s="119"/>
    </row>
    <row r="2427" spans="3:4">
      <c r="C2427" s="119"/>
      <c r="D2427" s="119"/>
    </row>
    <row r="2428" spans="3:4">
      <c r="C2428" s="119"/>
      <c r="D2428" s="119"/>
    </row>
    <row r="2429" spans="3:4">
      <c r="C2429" s="119"/>
      <c r="D2429" s="119"/>
    </row>
    <row r="2430" spans="3:4">
      <c r="C2430" s="119"/>
      <c r="D2430" s="119"/>
    </row>
    <row r="2431" spans="3:4">
      <c r="C2431" s="119"/>
      <c r="D2431" s="119"/>
    </row>
    <row r="2432" spans="3:4">
      <c r="C2432" s="119"/>
      <c r="D2432" s="119"/>
    </row>
    <row r="2433" spans="3:4">
      <c r="C2433" s="119"/>
      <c r="D2433" s="119"/>
    </row>
    <row r="2434" spans="3:4">
      <c r="C2434" s="119"/>
      <c r="D2434" s="119"/>
    </row>
    <row r="2435" spans="3:4">
      <c r="C2435" s="119"/>
      <c r="D2435" s="119"/>
    </row>
    <row r="2436" spans="3:4">
      <c r="C2436" s="119"/>
      <c r="D2436" s="119"/>
    </row>
    <row r="2437" spans="3:4">
      <c r="C2437" s="119"/>
      <c r="D2437" s="119"/>
    </row>
    <row r="2438" spans="3:4">
      <c r="C2438" s="119"/>
      <c r="D2438" s="119"/>
    </row>
    <row r="2439" spans="3:4">
      <c r="C2439" s="119"/>
      <c r="D2439" s="119"/>
    </row>
    <row r="2440" spans="3:4">
      <c r="C2440" s="119"/>
      <c r="D2440" s="119"/>
    </row>
    <row r="2441" spans="3:4">
      <c r="C2441" s="119"/>
      <c r="D2441" s="119"/>
    </row>
    <row r="2442" spans="3:4">
      <c r="C2442" s="119"/>
      <c r="D2442" s="119"/>
    </row>
    <row r="2443" spans="3:4">
      <c r="C2443" s="119"/>
      <c r="D2443" s="119"/>
    </row>
    <row r="2444" spans="3:4">
      <c r="C2444" s="119"/>
      <c r="D2444" s="119"/>
    </row>
    <row r="2445" spans="3:4">
      <c r="C2445" s="119"/>
      <c r="D2445" s="119"/>
    </row>
    <row r="2446" spans="3:4">
      <c r="C2446" s="119"/>
      <c r="D2446" s="119"/>
    </row>
    <row r="2447" spans="3:4">
      <c r="C2447" s="119"/>
      <c r="D2447" s="119"/>
    </row>
    <row r="2448" spans="3:4">
      <c r="C2448" s="119"/>
      <c r="D2448" s="119"/>
    </row>
    <row r="2449" spans="3:4">
      <c r="C2449" s="119"/>
      <c r="D2449" s="119"/>
    </row>
    <row r="2450" spans="3:4">
      <c r="C2450" s="119"/>
      <c r="D2450" s="119"/>
    </row>
    <row r="2451" spans="3:4">
      <c r="C2451" s="119"/>
      <c r="D2451" s="119"/>
    </row>
    <row r="2452" spans="3:4">
      <c r="C2452" s="119"/>
      <c r="D2452" s="119"/>
    </row>
    <row r="2453" spans="3:4">
      <c r="C2453" s="119"/>
      <c r="D2453" s="119"/>
    </row>
    <row r="2454" spans="3:4">
      <c r="C2454" s="119"/>
      <c r="D2454" s="119"/>
    </row>
    <row r="2455" spans="3:4">
      <c r="C2455" s="119"/>
      <c r="D2455" s="119"/>
    </row>
    <row r="2456" spans="3:4">
      <c r="C2456" s="119"/>
      <c r="D2456" s="119"/>
    </row>
    <row r="2457" spans="3:4">
      <c r="C2457" s="119"/>
      <c r="D2457" s="119"/>
    </row>
    <row r="2458" spans="3:4">
      <c r="C2458" s="119"/>
      <c r="D2458" s="119"/>
    </row>
    <row r="2459" spans="3:4">
      <c r="C2459" s="119"/>
      <c r="D2459" s="119"/>
    </row>
    <row r="2460" spans="3:4">
      <c r="C2460" s="119"/>
      <c r="D2460" s="119"/>
    </row>
    <row r="2461" spans="3:4">
      <c r="C2461" s="119"/>
      <c r="D2461" s="119"/>
    </row>
    <row r="2462" spans="3:4">
      <c r="C2462" s="119"/>
      <c r="D2462" s="119"/>
    </row>
  </sheetData>
  <conditionalFormatting pivot="1" sqref="D10:F19">
    <cfRule type="iconSet" priority="3">
      <iconSet reverse="1">
        <cfvo type="percent" val="0"/>
        <cfvo type="percent" val="0" gte="0"/>
        <cfvo type="percent" val="30"/>
      </iconSet>
    </cfRule>
  </conditionalFormatting>
  <pageMargins left="0.7" right="0.7" top="0.75" bottom="0.75" header="0.3" footer="0.3"/>
  <pageSetup orientation="portrait" r:id="rId17"/>
  <drawing r:id="rId18"/>
  <extLst>
    <ext xmlns:x14="http://schemas.microsoft.com/office/spreadsheetml/2009/9/main" uri="{A8765BA9-456A-4dab-B4F3-ACF838C121DE}">
      <x14:slicerList>
        <x14:slicer r:id="rId19"/>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B90" sqref="B90"/>
    </sheetView>
  </sheetViews>
  <sheetFormatPr defaultColWidth="9" defaultRowHeight="15.75"/>
  <cols>
    <col min="1" max="1" width="31.875" style="58" bestFit="1" customWidth="1"/>
    <col min="2" max="2" width="14.25" style="58" bestFit="1" customWidth="1"/>
    <col min="3" max="3" width="10.25" style="58" bestFit="1" customWidth="1"/>
    <col min="4" max="4" width="65.75" style="58" hidden="1" customWidth="1"/>
    <col min="5" max="5" width="73.875" style="58" hidden="1" customWidth="1"/>
    <col min="6" max="6" width="86" style="58" hidden="1" customWidth="1"/>
    <col min="7" max="7" width="11" style="58" customWidth="1"/>
    <col min="8" max="16384" width="9" style="58"/>
  </cols>
  <sheetData>
    <row r="27" spans="1:7" hidden="1">
      <c r="A27" s="778" t="s">
        <v>18</v>
      </c>
      <c r="B27" s="779" t="s">
        <v>2381</v>
      </c>
    </row>
    <row r="28" spans="1:7" hidden="1"/>
    <row r="29" spans="1:7" s="102" customFormat="1" ht="31.5" hidden="1">
      <c r="A29" s="820" t="s">
        <v>20</v>
      </c>
      <c r="B29" s="820" t="s">
        <v>21</v>
      </c>
      <c r="C29" s="796" t="s">
        <v>1943</v>
      </c>
      <c r="D29" s="779" t="s">
        <v>2710</v>
      </c>
      <c r="E29" s="779" t="s">
        <v>2709</v>
      </c>
      <c r="F29" s="779" t="s">
        <v>2708</v>
      </c>
      <c r="G29"/>
    </row>
    <row r="30" spans="1:7" hidden="1">
      <c r="A30" s="779" t="s">
        <v>2687</v>
      </c>
      <c r="B30" s="779" t="s">
        <v>359</v>
      </c>
      <c r="C30" s="781">
        <v>3451</v>
      </c>
      <c r="D30" s="781">
        <v>167</v>
      </c>
      <c r="E30" s="781">
        <v>573</v>
      </c>
      <c r="F30" s="781">
        <v>323</v>
      </c>
      <c r="G30"/>
    </row>
    <row r="31" spans="1:7" hidden="1">
      <c r="A31" s="779"/>
      <c r="B31" s="779" t="s">
        <v>304</v>
      </c>
      <c r="C31" s="781">
        <v>22821</v>
      </c>
      <c r="D31" s="781">
        <v>2097</v>
      </c>
      <c r="E31" s="781">
        <v>11601</v>
      </c>
      <c r="F31" s="781">
        <v>19016</v>
      </c>
      <c r="G31"/>
    </row>
    <row r="32" spans="1:7" hidden="1">
      <c r="A32" s="779"/>
      <c r="B32" s="779" t="s">
        <v>314</v>
      </c>
      <c r="C32" s="781">
        <v>26386</v>
      </c>
      <c r="D32" s="781">
        <v>0</v>
      </c>
      <c r="E32" s="781">
        <v>0</v>
      </c>
      <c r="F32" s="781">
        <v>0</v>
      </c>
      <c r="G32"/>
    </row>
    <row r="33" spans="1:7" hidden="1">
      <c r="A33" s="779"/>
      <c r="B33" s="779" t="s">
        <v>473</v>
      </c>
      <c r="C33" s="781">
        <v>1641</v>
      </c>
      <c r="D33" s="781">
        <v>1641</v>
      </c>
      <c r="E33" s="781">
        <v>895</v>
      </c>
      <c r="F33" s="781">
        <v>1535</v>
      </c>
      <c r="G33"/>
    </row>
    <row r="34" spans="1:7" hidden="1">
      <c r="A34" s="779"/>
      <c r="B34" s="779" t="s">
        <v>401</v>
      </c>
      <c r="C34" s="781">
        <v>217</v>
      </c>
      <c r="D34" s="781">
        <v>217</v>
      </c>
      <c r="E34" s="781">
        <v>217</v>
      </c>
      <c r="F34" s="781">
        <v>217</v>
      </c>
      <c r="G34"/>
    </row>
    <row r="35" spans="1:7" hidden="1">
      <c r="A35" s="779"/>
      <c r="B35" s="779" t="s">
        <v>404</v>
      </c>
      <c r="C35" s="781">
        <v>27419</v>
      </c>
      <c r="D35" s="781">
        <v>0</v>
      </c>
      <c r="E35" s="781">
        <v>2651</v>
      </c>
      <c r="F35" s="781">
        <v>18223</v>
      </c>
      <c r="G35"/>
    </row>
    <row r="36" spans="1:7" hidden="1">
      <c r="A36" s="779"/>
      <c r="B36" s="779" t="s">
        <v>297</v>
      </c>
      <c r="C36" s="781">
        <v>155092</v>
      </c>
      <c r="D36" s="781">
        <v>13013</v>
      </c>
      <c r="E36" s="781">
        <v>1183</v>
      </c>
      <c r="F36" s="781">
        <v>14274</v>
      </c>
      <c r="G36"/>
    </row>
    <row r="37" spans="1:7" hidden="1">
      <c r="A37" s="779" t="s">
        <v>2688</v>
      </c>
      <c r="B37" s="779"/>
      <c r="C37" s="781">
        <v>237027</v>
      </c>
      <c r="D37" s="781">
        <v>17135</v>
      </c>
      <c r="E37" s="781">
        <v>17120</v>
      </c>
      <c r="F37" s="781">
        <v>53588</v>
      </c>
      <c r="G37"/>
    </row>
    <row r="38" spans="1:7" hidden="1">
      <c r="A38" s="779" t="s">
        <v>2686</v>
      </c>
      <c r="B38" s="779" t="s">
        <v>321</v>
      </c>
      <c r="C38" s="781">
        <v>123273</v>
      </c>
      <c r="D38" s="781">
        <v>87333</v>
      </c>
      <c r="E38" s="781">
        <v>5508</v>
      </c>
      <c r="F38" s="781">
        <v>19786</v>
      </c>
      <c r="G38"/>
    </row>
    <row r="39" spans="1:7" hidden="1">
      <c r="A39" s="779"/>
      <c r="B39" s="779" t="s">
        <v>307</v>
      </c>
      <c r="C39" s="781">
        <v>32058</v>
      </c>
      <c r="D39" s="781">
        <v>11649</v>
      </c>
      <c r="E39" s="781">
        <v>3920</v>
      </c>
      <c r="F39" s="781">
        <v>7760</v>
      </c>
      <c r="G39"/>
    </row>
    <row r="40" spans="1:7" hidden="1">
      <c r="A40" s="779"/>
      <c r="B40" s="779" t="s">
        <v>339</v>
      </c>
      <c r="C40" s="781">
        <v>4303</v>
      </c>
      <c r="D40" s="781">
        <v>0</v>
      </c>
      <c r="E40" s="781">
        <v>0</v>
      </c>
      <c r="F40" s="781">
        <v>0</v>
      </c>
      <c r="G40"/>
    </row>
    <row r="41" spans="1:7" hidden="1">
      <c r="A41" s="779" t="s">
        <v>2689</v>
      </c>
      <c r="B41" s="779"/>
      <c r="C41" s="781">
        <v>159634</v>
      </c>
      <c r="D41" s="781">
        <v>98982</v>
      </c>
      <c r="E41" s="781">
        <v>9428</v>
      </c>
      <c r="F41" s="781">
        <v>27546</v>
      </c>
      <c r="G41"/>
    </row>
    <row r="42" spans="1:7" hidden="1">
      <c r="A42" s="779" t="s">
        <v>1642</v>
      </c>
      <c r="B42" s="779"/>
      <c r="C42" s="781">
        <v>396661</v>
      </c>
      <c r="D42" s="781">
        <v>116117</v>
      </c>
      <c r="E42" s="781">
        <v>26548</v>
      </c>
      <c r="F42" s="781">
        <v>81134</v>
      </c>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154"/>
  <sheetViews>
    <sheetView showGridLines="0" view="pageBreakPreview" topLeftCell="A35" zoomScale="90" zoomScaleNormal="60" zoomScaleSheetLayoutView="90" zoomScalePageLayoutView="80" workbookViewId="0">
      <selection activeCell="U83" sqref="U83"/>
    </sheetView>
  </sheetViews>
  <sheetFormatPr defaultColWidth="9" defaultRowHeight="12.75"/>
  <cols>
    <col min="1" max="1" width="1.375" style="17" customWidth="1"/>
    <col min="2" max="2" width="11.75" style="17" customWidth="1"/>
    <col min="3" max="3" width="26.875" style="17" customWidth="1"/>
    <col min="4" max="4" width="10.625" style="17" customWidth="1"/>
    <col min="5" max="5" width="10.875" style="17" customWidth="1"/>
    <col min="6" max="6" width="14.875" style="17" customWidth="1"/>
    <col min="7" max="7" width="12" style="17" customWidth="1"/>
    <col min="8" max="8" width="1.25" style="17" customWidth="1"/>
    <col min="9" max="10" width="9" style="17"/>
    <col min="11" max="11" width="8" style="17" customWidth="1"/>
    <col min="12" max="12" width="10.75" style="17" customWidth="1"/>
    <col min="13" max="13" width="8" style="17" customWidth="1"/>
    <col min="14" max="14" width="10.125" style="17" customWidth="1"/>
    <col min="15" max="15" width="10.75" style="17" customWidth="1"/>
    <col min="16" max="16" width="8" style="17" customWidth="1"/>
    <col min="17" max="17" width="16.75" style="17" customWidth="1"/>
    <col min="18" max="18" width="12" style="17" customWidth="1"/>
    <col min="19" max="19" width="4.625" style="17" customWidth="1"/>
    <col min="20" max="20" width="4.375" style="17" customWidth="1"/>
    <col min="21" max="21" width="8.125" style="17" customWidth="1"/>
    <col min="22" max="22" width="11.25" style="17" bestFit="1" customWidth="1"/>
    <col min="23" max="23" width="8.125" style="17" customWidth="1"/>
    <col min="24" max="24" width="3.875" style="17" customWidth="1"/>
    <col min="25" max="25" width="16.125" style="17" bestFit="1" customWidth="1"/>
    <col min="26" max="26" width="9" style="17"/>
    <col min="27" max="27" width="21.75" style="17" bestFit="1" customWidth="1"/>
    <col min="28" max="28" width="13.25" style="17" customWidth="1"/>
    <col min="29" max="16384" width="9" style="17"/>
  </cols>
  <sheetData>
    <row r="1" spans="1:29" ht="39" customHeight="1">
      <c r="A1" s="529"/>
      <c r="B1" s="895" t="s">
        <v>3078</v>
      </c>
      <c r="C1" s="895"/>
      <c r="D1" s="895"/>
      <c r="E1" s="895"/>
      <c r="F1" s="895"/>
      <c r="G1" s="895"/>
      <c r="H1" s="895"/>
      <c r="I1" s="895"/>
      <c r="J1" s="895"/>
      <c r="K1" s="895"/>
      <c r="L1" s="895"/>
      <c r="M1" s="895"/>
      <c r="N1" s="895"/>
      <c r="O1" s="895"/>
      <c r="P1" s="895"/>
      <c r="Q1" s="895"/>
      <c r="R1" s="725"/>
      <c r="S1" s="725"/>
      <c r="T1" s="725"/>
      <c r="U1" s="171"/>
      <c r="V1" s="171"/>
      <c r="W1" s="171"/>
      <c r="X1" s="171"/>
      <c r="Y1" s="171"/>
      <c r="Z1" s="171"/>
      <c r="AA1" s="171"/>
      <c r="AB1" s="171"/>
    </row>
    <row r="8" spans="1:29">
      <c r="AC8" s="17" t="s">
        <v>1941</v>
      </c>
    </row>
    <row r="41" ht="15" customHeight="1"/>
    <row r="43" ht="18" customHeight="1"/>
    <row r="44" ht="24.75" customHeight="1"/>
    <row r="50" spans="2:25" ht="15.75">
      <c r="U50"/>
    </row>
    <row r="51" spans="2:25" ht="15.75">
      <c r="U51" s="548"/>
      <c r="V51" s="548"/>
    </row>
    <row r="52" spans="2:25" ht="15.75">
      <c r="U52" s="548"/>
      <c r="V52" s="548"/>
    </row>
    <row r="53" spans="2:25" ht="15.75">
      <c r="U53" s="548"/>
      <c r="V53" s="548"/>
    </row>
    <row r="56" spans="2:25" ht="15.75">
      <c r="W56"/>
      <c r="X56"/>
    </row>
    <row r="57" spans="2:25" ht="15.75">
      <c r="U57" s="181"/>
      <c r="V57"/>
      <c r="W57"/>
      <c r="X57"/>
      <c r="Y57"/>
    </row>
    <row r="58" spans="2:25" ht="17.25" customHeight="1">
      <c r="U58" s="181"/>
      <c r="V58" s="431"/>
      <c r="W58" s="431"/>
      <c r="X58" s="431"/>
      <c r="Y58"/>
    </row>
    <row r="59" spans="2:25" ht="15.75">
      <c r="U59" s="181"/>
      <c r="V59" s="431"/>
      <c r="W59" s="431"/>
      <c r="X59" s="431"/>
      <c r="Y59"/>
    </row>
    <row r="60" spans="2:25" ht="15.75">
      <c r="U60" s="181"/>
      <c r="V60" s="431"/>
      <c r="W60" s="431"/>
      <c r="X60" s="431"/>
      <c r="Y60"/>
    </row>
    <row r="61" spans="2:25" ht="15.75">
      <c r="N61" s="100"/>
      <c r="O61" s="100"/>
      <c r="P61" s="100"/>
      <c r="Q61" s="100"/>
      <c r="R61" s="100"/>
      <c r="S61" s="100"/>
      <c r="T61" s="100"/>
      <c r="U61" s="181"/>
      <c r="V61" s="431"/>
      <c r="W61" s="431"/>
      <c r="X61" s="431"/>
      <c r="Y61"/>
    </row>
    <row r="62" spans="2:25" ht="20.25" customHeight="1">
      <c r="N62" s="100"/>
      <c r="O62" s="100"/>
      <c r="P62" s="100"/>
      <c r="Q62" s="100"/>
      <c r="R62" s="100"/>
      <c r="S62" s="100"/>
      <c r="T62" s="100"/>
      <c r="U62" s="181"/>
      <c r="V62" s="431"/>
      <c r="W62" s="431"/>
      <c r="X62" s="431"/>
      <c r="Y62"/>
    </row>
    <row r="63" spans="2:25" ht="15.75" customHeight="1">
      <c r="N63" s="100"/>
      <c r="O63" s="100"/>
      <c r="P63" s="100"/>
      <c r="Q63" s="100"/>
      <c r="R63" s="100"/>
      <c r="S63" s="100"/>
      <c r="T63" s="100"/>
      <c r="U63" s="181"/>
      <c r="V63" s="431"/>
      <c r="W63" s="431"/>
      <c r="X63" s="431"/>
      <c r="Y63"/>
    </row>
    <row r="64" spans="2:25" ht="53.25" customHeight="1">
      <c r="B64" s="726" t="s">
        <v>2124</v>
      </c>
      <c r="C64" s="727" t="s">
        <v>1923</v>
      </c>
      <c r="D64" s="728" t="s">
        <v>1903</v>
      </c>
      <c r="E64" s="728" t="s">
        <v>1924</v>
      </c>
      <c r="F64" s="728" t="s">
        <v>1925</v>
      </c>
      <c r="G64" s="729" t="s">
        <v>1926</v>
      </c>
      <c r="N64" s="100"/>
      <c r="O64" s="100"/>
      <c r="P64" s="100"/>
      <c r="Q64" s="100"/>
      <c r="R64" s="100"/>
      <c r="S64" s="100"/>
      <c r="T64" s="100"/>
      <c r="U64" s="548"/>
      <c r="V64" s="548"/>
      <c r="W64" s="548"/>
      <c r="X64" s="431"/>
      <c r="Y64"/>
    </row>
    <row r="65" spans="2:25" ht="31.5">
      <c r="B65" s="730" t="s">
        <v>321</v>
      </c>
      <c r="C65" s="731" t="s">
        <v>2971</v>
      </c>
      <c r="D65" s="732">
        <v>123273</v>
      </c>
      <c r="E65" s="733">
        <v>0.83949445539574763</v>
      </c>
      <c r="F65" s="733">
        <v>0.95531868292326783</v>
      </c>
      <c r="G65" s="734">
        <v>0.29154802754861164</v>
      </c>
      <c r="N65" s="100"/>
      <c r="O65" s="100"/>
      <c r="P65" s="100"/>
      <c r="Q65" s="100"/>
      <c r="R65" s="181"/>
      <c r="S65" s="548"/>
      <c r="T65" s="100"/>
      <c r="U65" s="548"/>
      <c r="V65" s="548"/>
      <c r="W65" s="548"/>
      <c r="X65" s="431"/>
      <c r="Y65"/>
    </row>
    <row r="66" spans="2:25" ht="15.75">
      <c r="B66" s="735" t="s">
        <v>359</v>
      </c>
      <c r="C66" s="731" t="s">
        <v>2294</v>
      </c>
      <c r="D66" s="732">
        <v>3451</v>
      </c>
      <c r="E66" s="733">
        <v>0.90640394088669951</v>
      </c>
      <c r="F66" s="733">
        <v>0.83396117067516662</v>
      </c>
      <c r="G66" s="734">
        <v>0.95160822949869606</v>
      </c>
      <c r="R66" s="200"/>
      <c r="S66" s="548"/>
      <c r="U66" s="548"/>
      <c r="V66" s="548"/>
      <c r="W66" s="548"/>
      <c r="X66" s="431"/>
      <c r="Y66"/>
    </row>
    <row r="67" spans="2:25" ht="15.75">
      <c r="B67" s="730" t="s">
        <v>304</v>
      </c>
      <c r="C67" s="731" t="s">
        <v>3036</v>
      </c>
      <c r="D67" s="732">
        <v>19740</v>
      </c>
      <c r="E67" s="733">
        <v>3.6676798378926012E-2</v>
      </c>
      <c r="F67" s="733">
        <v>0.41231003039513681</v>
      </c>
      <c r="G67" s="734">
        <v>0.89376899696048628</v>
      </c>
      <c r="R67" s="181"/>
      <c r="S67" s="548"/>
      <c r="U67" s="548"/>
      <c r="V67" s="548"/>
      <c r="W67" s="548"/>
      <c r="X67" s="431"/>
      <c r="Y67"/>
    </row>
    <row r="68" spans="2:25" ht="31.5">
      <c r="B68" s="730" t="s">
        <v>307</v>
      </c>
      <c r="C68" s="731" t="s">
        <v>2972</v>
      </c>
      <c r="D68" s="732">
        <v>32058</v>
      </c>
      <c r="E68" s="733">
        <v>0.75793873604092576</v>
      </c>
      <c r="F68" s="733">
        <v>0.87772162954644706</v>
      </c>
      <c r="G68" s="734">
        <v>0.63662736290473521</v>
      </c>
      <c r="R68" s="181"/>
      <c r="S68" s="548"/>
      <c r="U68" s="548"/>
      <c r="V68" s="548"/>
      <c r="W68" s="548"/>
      <c r="X68" s="431"/>
      <c r="Y68"/>
    </row>
    <row r="69" spans="2:25" ht="15.75">
      <c r="B69" s="730" t="s">
        <v>314</v>
      </c>
      <c r="C69" s="731" t="s">
        <v>316</v>
      </c>
      <c r="D69" s="732">
        <v>24963</v>
      </c>
      <c r="E69" s="733">
        <v>1</v>
      </c>
      <c r="F69" s="733">
        <v>1</v>
      </c>
      <c r="G69" s="734">
        <v>1</v>
      </c>
      <c r="R69" s="200"/>
      <c r="S69" s="548"/>
      <c r="U69" s="548"/>
      <c r="V69" s="548"/>
      <c r="W69" s="548"/>
      <c r="X69" s="431"/>
      <c r="Y69"/>
    </row>
    <row r="70" spans="2:25" ht="15.75">
      <c r="B70" s="730" t="s">
        <v>473</v>
      </c>
      <c r="C70" s="775" t="s">
        <v>233</v>
      </c>
      <c r="D70" s="732">
        <v>1641</v>
      </c>
      <c r="E70" s="733">
        <v>6.4594759293113979E-2</v>
      </c>
      <c r="F70" s="733">
        <v>0.45460085313833032</v>
      </c>
      <c r="G70" s="734">
        <v>0</v>
      </c>
      <c r="R70" s="200"/>
      <c r="S70" s="548"/>
      <c r="U70" s="548"/>
      <c r="V70" s="548"/>
      <c r="W70" s="548"/>
      <c r="X70" s="431"/>
      <c r="Y70"/>
    </row>
    <row r="71" spans="2:25" ht="15.75">
      <c r="B71" s="735" t="s">
        <v>401</v>
      </c>
      <c r="C71" s="775" t="s">
        <v>400</v>
      </c>
      <c r="D71" s="732">
        <v>217</v>
      </c>
      <c r="E71" s="733">
        <v>0</v>
      </c>
      <c r="F71" s="733">
        <v>0</v>
      </c>
      <c r="G71" s="734">
        <v>0</v>
      </c>
      <c r="R71" s="200"/>
      <c r="S71" s="548"/>
      <c r="U71" s="548"/>
      <c r="V71" s="548"/>
      <c r="W71" s="548"/>
      <c r="X71" s="431"/>
      <c r="Y71"/>
    </row>
    <row r="72" spans="2:25" ht="15.75">
      <c r="B72" s="735" t="s">
        <v>404</v>
      </c>
      <c r="C72" s="775" t="s">
        <v>2754</v>
      </c>
      <c r="D72" s="772">
        <v>27419</v>
      </c>
      <c r="E72" s="773">
        <v>0.33538786972537293</v>
      </c>
      <c r="F72" s="773">
        <v>0.90331521937342718</v>
      </c>
      <c r="G72" s="774">
        <v>1</v>
      </c>
      <c r="R72" s="181"/>
      <c r="S72" s="548"/>
      <c r="U72" s="548"/>
      <c r="V72" s="548"/>
      <c r="W72" s="548"/>
      <c r="X72" s="548"/>
      <c r="Y72" s="548"/>
    </row>
    <row r="73" spans="2:25" ht="32.25" thickBot="1">
      <c r="B73" s="736" t="s">
        <v>297</v>
      </c>
      <c r="C73" s="776" t="s">
        <v>3077</v>
      </c>
      <c r="D73" s="739">
        <v>155092</v>
      </c>
      <c r="E73" s="737">
        <v>0.90796430505764325</v>
      </c>
      <c r="F73" s="737">
        <v>0.99237226936270084</v>
      </c>
      <c r="G73" s="738">
        <v>0.91609496298970927</v>
      </c>
      <c r="R73" s="181"/>
      <c r="S73" s="548"/>
      <c r="U73" s="548"/>
      <c r="V73" s="548"/>
      <c r="W73" s="548"/>
      <c r="X73" s="431"/>
      <c r="Y73"/>
    </row>
    <row r="74" spans="2:25" ht="23.25" customHeight="1" thickTop="1">
      <c r="B74" s="202" t="s">
        <v>1904</v>
      </c>
      <c r="C74" s="712" t="s">
        <v>2123</v>
      </c>
      <c r="D74" s="203">
        <v>387854</v>
      </c>
      <c r="E74" s="204">
        <v>0.79081303789570301</v>
      </c>
      <c r="F74" s="204">
        <v>0.93155156321708688</v>
      </c>
      <c r="G74" s="205">
        <v>0.70061672691270427</v>
      </c>
      <c r="U74" s="548"/>
      <c r="V74" s="548"/>
      <c r="W74" s="548"/>
      <c r="X74" s="431"/>
      <c r="Y74"/>
    </row>
    <row r="75" spans="2:25" ht="15.75">
      <c r="U75" s="548"/>
      <c r="V75" s="548"/>
      <c r="W75" s="548"/>
      <c r="X75" s="431"/>
      <c r="Y75" s="431"/>
    </row>
    <row r="76" spans="2:25" ht="15.75">
      <c r="U76" s="548"/>
      <c r="V76" s="548"/>
      <c r="W76" s="548"/>
      <c r="X76" s="431"/>
      <c r="Y76" s="431"/>
    </row>
    <row r="77" spans="2:25" ht="15.75">
      <c r="U77" s="548"/>
      <c r="V77" s="548"/>
      <c r="W77" s="548"/>
      <c r="X77" s="431"/>
      <c r="Y77" s="431"/>
    </row>
    <row r="78" spans="2:25" ht="15.75">
      <c r="U78" s="548"/>
      <c r="V78" s="548"/>
      <c r="W78" s="548"/>
      <c r="X78" s="431"/>
      <c r="Y78" s="431"/>
    </row>
    <row r="79" spans="2:25" ht="15.75">
      <c r="U79" s="548"/>
      <c r="V79" s="548"/>
      <c r="W79" s="548"/>
      <c r="X79" s="431"/>
      <c r="Y79" s="431"/>
    </row>
    <row r="80" spans="2:25" ht="15.75">
      <c r="U80" s="548"/>
      <c r="V80" s="548"/>
      <c r="W80" s="548"/>
      <c r="X80" s="431"/>
      <c r="Y80" s="431"/>
    </row>
    <row r="81" spans="2:25" ht="15.75">
      <c r="U81" s="548"/>
      <c r="V81" s="548"/>
      <c r="W81" s="548"/>
      <c r="X81" s="431"/>
      <c r="Y81" s="431"/>
    </row>
    <row r="82" spans="2:25" ht="15.75">
      <c r="U82" s="548"/>
      <c r="V82" s="548"/>
      <c r="W82" s="548"/>
      <c r="X82" s="431"/>
      <c r="Y82" s="431"/>
    </row>
    <row r="83" spans="2:25" ht="15.75">
      <c r="U83" s="548"/>
      <c r="V83" s="548"/>
      <c r="W83" s="548"/>
      <c r="X83" s="431"/>
      <c r="Y83" s="431"/>
    </row>
    <row r="84" spans="2:25" ht="15.75">
      <c r="U84" s="431"/>
      <c r="V84" s="431"/>
      <c r="W84" s="431"/>
      <c r="X84" s="431"/>
      <c r="Y84" s="431"/>
    </row>
    <row r="85" spans="2:25" ht="15.75">
      <c r="U85" s="431"/>
      <c r="V85" s="431"/>
      <c r="W85" s="431"/>
      <c r="X85" s="431"/>
      <c r="Y85" s="431"/>
    </row>
    <row r="86" spans="2:25" ht="15.75">
      <c r="U86" s="431"/>
      <c r="V86" s="431"/>
      <c r="W86" s="431"/>
      <c r="X86" s="431"/>
      <c r="Y86" s="431"/>
    </row>
    <row r="87" spans="2:25" ht="15.75">
      <c r="U87" s="431"/>
      <c r="V87" s="431"/>
      <c r="W87" s="431"/>
      <c r="X87" s="431"/>
      <c r="Y87" s="431"/>
    </row>
    <row r="88" spans="2:25" ht="15.75">
      <c r="U88" s="431"/>
      <c r="V88" s="431"/>
      <c r="W88" s="431"/>
      <c r="X88" s="431"/>
      <c r="Y88" s="431"/>
    </row>
    <row r="89" spans="2:25" ht="15.75">
      <c r="U89" s="431"/>
      <c r="V89" s="431"/>
      <c r="W89" s="431"/>
      <c r="X89" s="431"/>
      <c r="Y89" s="431"/>
    </row>
    <row r="90" spans="2:25" ht="15.75">
      <c r="U90" s="431"/>
      <c r="V90" s="431"/>
      <c r="W90" s="431"/>
      <c r="X90" s="431"/>
      <c r="Y90" s="431"/>
    </row>
    <row r="91" spans="2:25" ht="15.75">
      <c r="U91" s="431"/>
      <c r="V91" s="431"/>
      <c r="W91" s="431"/>
      <c r="X91" s="431"/>
      <c r="Y91" s="431"/>
    </row>
    <row r="92" spans="2:25" ht="9" customHeight="1">
      <c r="U92" s="431"/>
      <c r="V92" s="431"/>
      <c r="W92" s="431"/>
      <c r="X92" s="431"/>
      <c r="Y92" s="431"/>
    </row>
    <row r="93" spans="2:25" ht="21">
      <c r="B93" s="896" t="s">
        <v>21</v>
      </c>
      <c r="C93" s="898" t="s">
        <v>2991</v>
      </c>
      <c r="D93" s="898"/>
      <c r="E93" s="899" t="s">
        <v>1938</v>
      </c>
      <c r="F93" s="899"/>
      <c r="U93" s="431"/>
      <c r="V93" s="431"/>
      <c r="W93" s="431"/>
      <c r="X93" s="431"/>
      <c r="Y93" s="431"/>
    </row>
    <row r="94" spans="2:25" ht="47.25">
      <c r="B94" s="897"/>
      <c r="C94" s="741" t="s">
        <v>2992</v>
      </c>
      <c r="D94" s="742" t="s">
        <v>2993</v>
      </c>
      <c r="E94" s="743" t="s">
        <v>2994</v>
      </c>
      <c r="F94" s="769" t="s">
        <v>2995</v>
      </c>
      <c r="U94" s="431"/>
      <c r="V94" s="431"/>
      <c r="W94" s="431"/>
      <c r="X94" s="431"/>
      <c r="Y94" s="431"/>
    </row>
    <row r="95" spans="2:25" ht="15.75">
      <c r="B95" s="744" t="s">
        <v>321</v>
      </c>
      <c r="C95" s="745">
        <v>1146</v>
      </c>
      <c r="D95" s="746">
        <v>5571</v>
      </c>
      <c r="E95" s="747"/>
      <c r="F95" s="747"/>
      <c r="U95" s="431"/>
      <c r="V95" s="431"/>
      <c r="W95" s="431"/>
      <c r="X95" s="431"/>
      <c r="Y95" s="431"/>
    </row>
    <row r="96" spans="2:25" ht="15.75">
      <c r="B96" s="744" t="s">
        <v>304</v>
      </c>
      <c r="C96" s="745">
        <v>559</v>
      </c>
      <c r="D96" s="746">
        <v>2629</v>
      </c>
      <c r="E96" s="748">
        <v>0</v>
      </c>
      <c r="F96" s="748">
        <v>0.21645796064400713</v>
      </c>
      <c r="U96" s="431"/>
      <c r="V96" s="431"/>
      <c r="W96" s="431"/>
      <c r="X96" s="431"/>
      <c r="Y96" s="431"/>
    </row>
    <row r="97" spans="2:25" ht="15.75">
      <c r="B97" s="744" t="s">
        <v>314</v>
      </c>
      <c r="C97" s="745">
        <v>586</v>
      </c>
      <c r="D97" s="746">
        <v>1979</v>
      </c>
      <c r="E97" s="748">
        <v>1</v>
      </c>
      <c r="F97" s="748">
        <v>1</v>
      </c>
      <c r="U97" s="431"/>
      <c r="V97" s="431"/>
      <c r="W97" s="431"/>
      <c r="X97" s="431"/>
      <c r="Y97" s="431"/>
    </row>
    <row r="98" spans="2:25" ht="15.75">
      <c r="B98" s="744" t="s">
        <v>473</v>
      </c>
      <c r="C98" s="745">
        <v>2871</v>
      </c>
      <c r="D98" s="746">
        <v>11461</v>
      </c>
      <c r="E98" s="748">
        <v>0.35433208271529537</v>
      </c>
      <c r="F98" s="748">
        <v>0.73702542668059912</v>
      </c>
      <c r="U98" s="431"/>
      <c r="V98" s="431"/>
      <c r="W98" s="431"/>
      <c r="X98" s="431"/>
      <c r="Y98" s="431"/>
    </row>
    <row r="99" spans="2:25" ht="15.75">
      <c r="B99" s="744" t="s">
        <v>401</v>
      </c>
      <c r="C99" s="745">
        <v>322</v>
      </c>
      <c r="D99" s="746">
        <v>1348</v>
      </c>
      <c r="E99" s="748">
        <v>1</v>
      </c>
      <c r="F99" s="748">
        <v>1</v>
      </c>
      <c r="U99" s="431"/>
      <c r="V99" s="431"/>
      <c r="W99" s="431"/>
      <c r="X99" s="431"/>
      <c r="Y99" s="431"/>
    </row>
    <row r="100" spans="2:25" ht="15.75">
      <c r="B100" s="744" t="s">
        <v>404</v>
      </c>
      <c r="C100" s="745">
        <v>43</v>
      </c>
      <c r="D100" s="746">
        <v>154</v>
      </c>
      <c r="E100" s="748">
        <v>0</v>
      </c>
      <c r="F100" s="748">
        <v>0</v>
      </c>
      <c r="U100" s="431"/>
      <c r="V100" s="431"/>
      <c r="W100" s="431"/>
      <c r="X100" s="431"/>
      <c r="Y100" s="431"/>
    </row>
    <row r="101" spans="2:25" ht="15.75">
      <c r="B101" s="749" t="s">
        <v>454</v>
      </c>
      <c r="C101" s="750">
        <v>281</v>
      </c>
      <c r="D101" s="751">
        <v>1417</v>
      </c>
      <c r="E101" s="752">
        <v>0</v>
      </c>
      <c r="F101" s="752">
        <v>0</v>
      </c>
      <c r="U101" s="431"/>
      <c r="V101" s="431"/>
      <c r="W101" s="431"/>
      <c r="X101" s="431"/>
      <c r="Y101" s="431"/>
    </row>
    <row r="102" spans="2:25" ht="15.75">
      <c r="B102" s="749" t="s">
        <v>339</v>
      </c>
      <c r="C102" s="750">
        <v>1643</v>
      </c>
      <c r="D102" s="751">
        <v>6754</v>
      </c>
      <c r="E102" s="752"/>
      <c r="F102" s="752"/>
      <c r="U102" s="431"/>
      <c r="V102" s="431"/>
      <c r="W102" s="431"/>
      <c r="X102" s="431"/>
      <c r="Y102" s="431"/>
    </row>
    <row r="103" spans="2:25" ht="15.75">
      <c r="B103" s="749" t="s">
        <v>297</v>
      </c>
      <c r="C103" s="750">
        <v>103</v>
      </c>
      <c r="D103" s="751">
        <v>408</v>
      </c>
      <c r="E103" s="752">
        <v>1</v>
      </c>
      <c r="F103" s="752">
        <v>1</v>
      </c>
      <c r="U103" s="431"/>
      <c r="V103" s="431"/>
      <c r="W103" s="431"/>
      <c r="X103" s="431"/>
      <c r="Y103" s="431"/>
    </row>
    <row r="104" spans="2:25" ht="15.75">
      <c r="B104" s="753" t="s">
        <v>1904</v>
      </c>
      <c r="C104" s="754">
        <v>6895</v>
      </c>
      <c r="D104" s="754">
        <v>29389</v>
      </c>
      <c r="E104" s="755"/>
      <c r="F104" s="770"/>
      <c r="U104" s="431"/>
      <c r="V104" s="431"/>
      <c r="W104" s="431"/>
      <c r="X104" s="431"/>
      <c r="Y104" s="431"/>
    </row>
    <row r="105" spans="2:25" ht="15.75">
      <c r="B105" s="771" t="s">
        <v>3034</v>
      </c>
      <c r="C105" s="771"/>
      <c r="D105" s="771"/>
      <c r="E105" s="771"/>
      <c r="F105" s="771"/>
      <c r="U105" s="431"/>
      <c r="V105" s="431"/>
      <c r="W105" s="431"/>
      <c r="X105" s="431"/>
      <c r="Y105" s="431"/>
    </row>
    <row r="106" spans="2:25" ht="15.75">
      <c r="U106" s="431"/>
      <c r="V106" s="431"/>
      <c r="W106" s="431"/>
      <c r="X106" s="431"/>
      <c r="Y106" s="431"/>
    </row>
    <row r="107" spans="2:25" ht="15.75">
      <c r="U107" s="431"/>
      <c r="V107" s="431"/>
      <c r="W107" s="431"/>
      <c r="X107" s="431"/>
      <c r="Y107" s="431"/>
    </row>
    <row r="108" spans="2:25" ht="15.75">
      <c r="U108" s="431"/>
      <c r="V108" s="431"/>
      <c r="W108" s="431"/>
      <c r="X108" s="431"/>
      <c r="Y108" s="431"/>
    </row>
    <row r="109" spans="2:25" ht="15.75">
      <c r="U109" s="431"/>
      <c r="V109" s="431"/>
      <c r="W109" s="431"/>
      <c r="X109" s="431"/>
      <c r="Y109" s="431"/>
    </row>
    <row r="110" spans="2:25" ht="15.75">
      <c r="U110" s="431"/>
      <c r="V110" s="431"/>
      <c r="W110" s="431"/>
      <c r="X110" s="431"/>
      <c r="Y110" s="431"/>
    </row>
    <row r="111" spans="2:25" ht="15.75">
      <c r="U111" s="431"/>
      <c r="V111" s="431"/>
      <c r="W111" s="431"/>
      <c r="X111" s="431"/>
      <c r="Y111" s="431"/>
    </row>
    <row r="112" spans="2:25" ht="15.75">
      <c r="U112" s="431"/>
      <c r="V112" s="431"/>
      <c r="W112" s="431"/>
      <c r="X112" s="431"/>
      <c r="Y112" s="431"/>
    </row>
    <row r="113" spans="21:25" ht="15.75">
      <c r="U113" s="431"/>
      <c r="V113" s="431"/>
      <c r="W113" s="431"/>
      <c r="X113" s="431"/>
      <c r="Y113" s="431"/>
    </row>
    <row r="114" spans="21:25" ht="15.75">
      <c r="U114" s="431"/>
      <c r="V114" s="431"/>
      <c r="W114" s="431"/>
      <c r="X114" s="431"/>
      <c r="Y114" s="431"/>
    </row>
    <row r="115" spans="21:25" ht="15.75">
      <c r="U115" s="431"/>
      <c r="V115" s="431"/>
      <c r="W115" s="431"/>
      <c r="X115" s="431"/>
      <c r="Y115" s="431"/>
    </row>
    <row r="116" spans="21:25" ht="15.75">
      <c r="U116" s="431"/>
      <c r="V116" s="431"/>
      <c r="W116" s="431"/>
      <c r="X116" s="431"/>
      <c r="Y116" s="431"/>
    </row>
    <row r="117" spans="21:25" ht="15.75">
      <c r="U117" s="431"/>
      <c r="V117" s="431"/>
      <c r="W117" s="431"/>
      <c r="X117" s="431"/>
      <c r="Y117" s="431"/>
    </row>
    <row r="118" spans="21:25" ht="15.75">
      <c r="U118" s="431"/>
      <c r="V118" s="431"/>
      <c r="W118" s="431"/>
      <c r="X118" s="431"/>
      <c r="Y118" s="431"/>
    </row>
    <row r="119" spans="21:25" ht="15.75">
      <c r="U119" s="431"/>
      <c r="V119" s="431"/>
      <c r="W119" s="431"/>
      <c r="X119" s="431"/>
      <c r="Y119" s="431"/>
    </row>
    <row r="120" spans="21:25" ht="15.75">
      <c r="U120" s="431"/>
      <c r="V120" s="431"/>
      <c r="W120" s="431"/>
      <c r="X120" s="431"/>
      <c r="Y120" s="431"/>
    </row>
    <row r="121" spans="21:25" ht="15.75">
      <c r="W121"/>
      <c r="X121"/>
    </row>
    <row r="122" spans="21:25" ht="15.75">
      <c r="W122"/>
      <c r="X122"/>
    </row>
    <row r="123" spans="21:25" ht="15.75">
      <c r="W123"/>
      <c r="X123"/>
    </row>
    <row r="124" spans="21:25" ht="15.75">
      <c r="W124"/>
      <c r="X124"/>
    </row>
    <row r="125" spans="21:25" ht="15.75">
      <c r="W125"/>
      <c r="X125"/>
    </row>
    <row r="126" spans="21:25" ht="15.75">
      <c r="W126"/>
      <c r="X126"/>
    </row>
    <row r="127" spans="21:25" ht="15.75">
      <c r="W127"/>
      <c r="X127"/>
    </row>
    <row r="128" spans="21:25" ht="15.75">
      <c r="W128"/>
      <c r="X128"/>
    </row>
    <row r="129" spans="23:24" ht="15.75">
      <c r="W129"/>
      <c r="X129"/>
    </row>
    <row r="130" spans="23:24" ht="15.75">
      <c r="W130"/>
      <c r="X130"/>
    </row>
    <row r="131" spans="23:24" ht="15.75">
      <c r="W131"/>
      <c r="X131"/>
    </row>
    <row r="132" spans="23:24" ht="15.75">
      <c r="W132"/>
      <c r="X132"/>
    </row>
    <row r="133" spans="23:24" ht="15.75">
      <c r="W133"/>
      <c r="X133"/>
    </row>
    <row r="134" spans="23:24" ht="15.75">
      <c r="W134"/>
      <c r="X134"/>
    </row>
    <row r="135" spans="23:24" ht="15.75">
      <c r="W135"/>
      <c r="X135"/>
    </row>
    <row r="136" spans="23:24" ht="15.75">
      <c r="W136"/>
      <c r="X136"/>
    </row>
    <row r="137" spans="23:24" ht="15.75">
      <c r="W137"/>
      <c r="X137"/>
    </row>
    <row r="138" spans="23:24" ht="15.75">
      <c r="W138"/>
      <c r="X138"/>
    </row>
    <row r="139" spans="23:24" ht="15.75">
      <c r="W139"/>
      <c r="X139"/>
    </row>
    <row r="140" spans="23:24" ht="15.75">
      <c r="W140"/>
      <c r="X140"/>
    </row>
    <row r="141" spans="23:24" ht="15.75">
      <c r="W141"/>
      <c r="X141"/>
    </row>
    <row r="142" spans="23:24" ht="15.75">
      <c r="W142"/>
      <c r="X142"/>
    </row>
    <row r="143" spans="23:24" ht="15.75">
      <c r="W143"/>
      <c r="X143"/>
    </row>
    <row r="144" spans="23:24" ht="15.75">
      <c r="W144"/>
      <c r="X144"/>
    </row>
    <row r="145" spans="23:24" ht="15.75">
      <c r="W145"/>
      <c r="X145"/>
    </row>
    <row r="146" spans="23:24" ht="15.75">
      <c r="W146"/>
      <c r="X146"/>
    </row>
    <row r="147" spans="23:24" ht="15.75">
      <c r="W147"/>
      <c r="X147"/>
    </row>
    <row r="148" spans="23:24" ht="15.75">
      <c r="W148"/>
      <c r="X148"/>
    </row>
    <row r="149" spans="23:24" ht="15.75">
      <c r="W149"/>
      <c r="X149"/>
    </row>
    <row r="150" spans="23:24" ht="15.75">
      <c r="W150"/>
      <c r="X150"/>
    </row>
    <row r="151" spans="23:24" ht="15.75">
      <c r="W151"/>
      <c r="X151"/>
    </row>
    <row r="152" spans="23:24" ht="15.75">
      <c r="W152"/>
      <c r="X152"/>
    </row>
    <row r="153" spans="23:24" ht="15.75">
      <c r="W153"/>
      <c r="X153"/>
    </row>
    <row r="154" spans="23:24" ht="15.75">
      <c r="W154"/>
      <c r="X154"/>
    </row>
  </sheetData>
  <mergeCells count="4">
    <mergeCell ref="B1:Q1"/>
    <mergeCell ref="B93:B94"/>
    <mergeCell ref="C93:D93"/>
    <mergeCell ref="E93:F93"/>
  </mergeCells>
  <conditionalFormatting sqref="E65:G74">
    <cfRule type="iconSet" priority="6">
      <iconSet reverse="1">
        <cfvo type="percent" val="0"/>
        <cfvo type="percent" val="0" gte="0"/>
        <cfvo type="percent" val="30"/>
      </iconSet>
    </cfRule>
  </conditionalFormatting>
  <conditionalFormatting sqref="E95:F104">
    <cfRule type="iconSet" priority="1">
      <iconSet reverse="1">
        <cfvo type="percent" val="0"/>
        <cfvo type="percent" val="0" gte="0"/>
        <cfvo type="percent" val="30"/>
      </iconSet>
    </cfRule>
  </conditionalFormatting>
  <printOptions horizontalCentered="1" verticalCentered="1"/>
  <pageMargins left="0" right="0" top="0" bottom="0" header="0.3" footer="0.3"/>
  <pageSetup paperSize="9" scale="50"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F2" zoomScale="91" zoomScaleNormal="91" workbookViewId="0">
      <selection activeCell="L38" sqref="L38"/>
    </sheetView>
  </sheetViews>
  <sheetFormatPr defaultColWidth="9" defaultRowHeight="15.75"/>
  <cols>
    <col min="1" max="1" width="33.875" style="58" hidden="1" customWidth="1"/>
    <col min="2" max="2" width="15.375" style="58" hidden="1" customWidth="1"/>
    <col min="3" max="3" width="59.625" style="58" hidden="1" customWidth="1"/>
    <col min="4" max="4" width="47.25" style="58" hidden="1" customWidth="1"/>
    <col min="5" max="5" width="75.375" style="58" hidden="1" customWidth="1"/>
    <col min="6" max="6" width="37.25" style="58" customWidth="1"/>
    <col min="7" max="7" width="59.375" style="58" customWidth="1"/>
    <col min="8" max="16384" width="9" style="58"/>
  </cols>
  <sheetData>
    <row r="1" spans="1:20" ht="26.25">
      <c r="A1" s="900" t="s">
        <v>3035</v>
      </c>
      <c r="B1" s="900"/>
      <c r="C1" s="900"/>
      <c r="D1" s="900"/>
      <c r="E1" s="900"/>
      <c r="F1" s="900"/>
      <c r="G1" s="900"/>
      <c r="H1" s="900"/>
      <c r="I1" s="900"/>
      <c r="J1" s="900"/>
      <c r="K1" s="900"/>
      <c r="L1" s="900"/>
      <c r="M1" s="900"/>
      <c r="N1" s="900"/>
      <c r="O1" s="900"/>
      <c r="P1" s="900"/>
      <c r="Q1" s="900"/>
      <c r="R1" s="900"/>
      <c r="S1" s="900"/>
      <c r="T1" s="900"/>
    </row>
    <row r="33" spans="1:7">
      <c r="A33"/>
      <c r="B33"/>
    </row>
    <row r="34" spans="1:7">
      <c r="A34" s="778" t="s">
        <v>18</v>
      </c>
      <c r="B34" s="779" t="s">
        <v>2381</v>
      </c>
    </row>
    <row r="35" spans="1:7">
      <c r="A35" s="820" t="s">
        <v>21</v>
      </c>
      <c r="B35" s="779" t="s">
        <v>297</v>
      </c>
    </row>
    <row r="36" spans="1:7">
      <c r="A36" s="820" t="s">
        <v>20</v>
      </c>
      <c r="B36" s="779" t="s">
        <v>1895</v>
      </c>
    </row>
    <row r="37" spans="1:7">
      <c r="C37" s="201"/>
      <c r="D37" s="201"/>
      <c r="E37" s="201"/>
    </row>
    <row r="38" spans="1:7" s="102" customFormat="1">
      <c r="A38" s="778" t="s">
        <v>2951</v>
      </c>
      <c r="B38" s="796" t="s">
        <v>1943</v>
      </c>
      <c r="C38" s="779" t="s">
        <v>2757</v>
      </c>
      <c r="D38" s="779" t="s">
        <v>2758</v>
      </c>
      <c r="E38" s="779" t="s">
        <v>2759</v>
      </c>
      <c r="F38"/>
      <c r="G38"/>
    </row>
    <row r="39" spans="1:7">
      <c r="A39" s="779" t="s">
        <v>1750</v>
      </c>
      <c r="B39" s="781">
        <v>110</v>
      </c>
      <c r="C39" s="781">
        <v>110</v>
      </c>
      <c r="D39" s="781">
        <v>100</v>
      </c>
      <c r="E39" s="781">
        <v>110</v>
      </c>
      <c r="F39"/>
      <c r="G39"/>
    </row>
    <row r="40" spans="1:7">
      <c r="A40" s="779" t="s">
        <v>3021</v>
      </c>
      <c r="B40" s="781">
        <v>199</v>
      </c>
      <c r="C40" s="781">
        <v>199</v>
      </c>
      <c r="D40" s="781">
        <v>199</v>
      </c>
      <c r="E40" s="781">
        <v>199</v>
      </c>
      <c r="F40"/>
      <c r="G40"/>
    </row>
    <row r="41" spans="1:7">
      <c r="A41" s="779" t="s">
        <v>1091</v>
      </c>
      <c r="B41" s="781">
        <v>1435</v>
      </c>
      <c r="C41" s="781">
        <v>0</v>
      </c>
      <c r="D41" s="781">
        <v>0</v>
      </c>
      <c r="E41" s="781">
        <v>0</v>
      </c>
      <c r="F41"/>
      <c r="G41"/>
    </row>
    <row r="42" spans="1:7">
      <c r="A42" s="779" t="s">
        <v>2623</v>
      </c>
      <c r="B42" s="781">
        <v>4476</v>
      </c>
      <c r="C42" s="781">
        <v>0</v>
      </c>
      <c r="D42" s="781">
        <v>0</v>
      </c>
      <c r="E42" s="781">
        <v>0</v>
      </c>
      <c r="F42"/>
      <c r="G42"/>
    </row>
    <row r="43" spans="1:7">
      <c r="A43" s="779" t="s">
        <v>2610</v>
      </c>
      <c r="B43" s="781">
        <v>1083</v>
      </c>
      <c r="C43" s="781">
        <v>0</v>
      </c>
      <c r="D43" s="781">
        <v>0</v>
      </c>
      <c r="E43" s="781">
        <v>0</v>
      </c>
      <c r="F43"/>
      <c r="G43"/>
    </row>
    <row r="44" spans="1:7">
      <c r="A44" s="779" t="s">
        <v>457</v>
      </c>
      <c r="B44" s="781">
        <v>102</v>
      </c>
      <c r="C44" s="781">
        <v>102</v>
      </c>
      <c r="D44" s="781">
        <v>100</v>
      </c>
      <c r="E44" s="781">
        <v>0</v>
      </c>
      <c r="F44"/>
      <c r="G44"/>
    </row>
    <row r="45" spans="1:7">
      <c r="A45" s="779" t="s">
        <v>2624</v>
      </c>
      <c r="B45" s="781">
        <v>1867</v>
      </c>
      <c r="C45" s="781">
        <v>0</v>
      </c>
      <c r="D45" s="781">
        <v>0</v>
      </c>
      <c r="E45" s="781">
        <v>0</v>
      </c>
      <c r="F45"/>
      <c r="G45"/>
    </row>
    <row r="46" spans="1:7">
      <c r="A46" s="779" t="s">
        <v>1751</v>
      </c>
      <c r="B46" s="781">
        <v>3768</v>
      </c>
      <c r="C46" s="781">
        <v>0</v>
      </c>
      <c r="D46" s="781">
        <v>0</v>
      </c>
      <c r="E46" s="781">
        <v>0</v>
      </c>
      <c r="F46"/>
      <c r="G46"/>
    </row>
    <row r="47" spans="1:7">
      <c r="A47" s="779" t="s">
        <v>2617</v>
      </c>
      <c r="B47" s="781">
        <v>1416</v>
      </c>
      <c r="C47" s="781">
        <v>0</v>
      </c>
      <c r="D47" s="781">
        <v>0</v>
      </c>
      <c r="E47" s="781">
        <v>0</v>
      </c>
      <c r="F47"/>
      <c r="G47"/>
    </row>
    <row r="48" spans="1:7">
      <c r="A48" s="779" t="s">
        <v>2618</v>
      </c>
      <c r="B48" s="781">
        <v>853</v>
      </c>
      <c r="C48" s="781">
        <v>0</v>
      </c>
      <c r="D48" s="781">
        <v>0</v>
      </c>
      <c r="E48" s="781">
        <v>0</v>
      </c>
      <c r="F48"/>
      <c r="G48"/>
    </row>
    <row r="49" spans="1:7">
      <c r="A49" s="779" t="s">
        <v>431</v>
      </c>
      <c r="B49" s="781">
        <v>2256</v>
      </c>
      <c r="C49" s="781">
        <v>0</v>
      </c>
      <c r="D49" s="781">
        <v>0</v>
      </c>
      <c r="E49" s="781">
        <v>0</v>
      </c>
      <c r="F49"/>
      <c r="G49"/>
    </row>
    <row r="50" spans="1:7">
      <c r="A50" s="779" t="s">
        <v>2611</v>
      </c>
      <c r="B50" s="781">
        <v>373</v>
      </c>
      <c r="C50" s="781">
        <v>0</v>
      </c>
      <c r="D50" s="781">
        <v>0</v>
      </c>
      <c r="E50" s="781">
        <v>0</v>
      </c>
      <c r="F50"/>
      <c r="G50"/>
    </row>
    <row r="51" spans="1:7">
      <c r="A51" s="779" t="s">
        <v>2612</v>
      </c>
      <c r="B51" s="781">
        <v>481</v>
      </c>
      <c r="C51" s="781">
        <v>0</v>
      </c>
      <c r="D51" s="781">
        <v>0</v>
      </c>
      <c r="E51" s="781">
        <v>0</v>
      </c>
      <c r="F51"/>
      <c r="G51"/>
    </row>
    <row r="52" spans="1:7">
      <c r="A52" s="779" t="s">
        <v>2023</v>
      </c>
      <c r="B52" s="781">
        <v>2168</v>
      </c>
      <c r="C52" s="781">
        <v>0</v>
      </c>
      <c r="D52" s="781">
        <v>0</v>
      </c>
      <c r="E52" s="781">
        <v>0</v>
      </c>
      <c r="F52"/>
      <c r="G52"/>
    </row>
    <row r="53" spans="1:7">
      <c r="A53" s="779" t="s">
        <v>2626</v>
      </c>
      <c r="B53" s="781">
        <v>715</v>
      </c>
      <c r="C53" s="781">
        <v>0</v>
      </c>
      <c r="D53" s="781">
        <v>0</v>
      </c>
      <c r="E53" s="781">
        <v>0</v>
      </c>
      <c r="F53"/>
      <c r="G53"/>
    </row>
    <row r="54" spans="1:7">
      <c r="A54" s="779" t="s">
        <v>2019</v>
      </c>
      <c r="B54" s="781">
        <v>656</v>
      </c>
      <c r="C54" s="781">
        <v>0</v>
      </c>
      <c r="D54" s="781">
        <v>0</v>
      </c>
      <c r="E54" s="781">
        <v>0</v>
      </c>
      <c r="F54"/>
      <c r="G54"/>
    </row>
    <row r="55" spans="1:7">
      <c r="A55" s="779" t="s">
        <v>2616</v>
      </c>
      <c r="B55" s="781">
        <v>1117</v>
      </c>
      <c r="C55" s="781">
        <v>0</v>
      </c>
      <c r="D55" s="781">
        <v>0</v>
      </c>
      <c r="E55" s="781">
        <v>0</v>
      </c>
      <c r="F55"/>
      <c r="G55"/>
    </row>
    <row r="56" spans="1:7">
      <c r="A56" s="779" t="s">
        <v>2615</v>
      </c>
      <c r="B56" s="781">
        <v>741</v>
      </c>
      <c r="C56" s="781">
        <v>0</v>
      </c>
      <c r="D56" s="781">
        <v>0</v>
      </c>
      <c r="E56" s="781">
        <v>0</v>
      </c>
      <c r="F56"/>
      <c r="G56"/>
    </row>
    <row r="57" spans="1:7">
      <c r="A57" s="779" t="s">
        <v>2614</v>
      </c>
      <c r="B57" s="781">
        <v>978</v>
      </c>
      <c r="C57" s="781">
        <v>0</v>
      </c>
      <c r="D57" s="781">
        <v>0</v>
      </c>
      <c r="E57" s="781">
        <v>0</v>
      </c>
      <c r="F57"/>
      <c r="G57"/>
    </row>
    <row r="58" spans="1:7">
      <c r="A58" s="779" t="s">
        <v>452</v>
      </c>
      <c r="B58" s="781">
        <v>811</v>
      </c>
      <c r="C58" s="781">
        <v>0</v>
      </c>
      <c r="D58" s="781">
        <v>0</v>
      </c>
      <c r="E58" s="781">
        <v>0</v>
      </c>
      <c r="F58"/>
      <c r="G58"/>
    </row>
    <row r="59" spans="1:7">
      <c r="A59" s="779" t="s">
        <v>2619</v>
      </c>
      <c r="B59" s="781">
        <v>1027</v>
      </c>
      <c r="C59" s="781">
        <v>0</v>
      </c>
      <c r="D59" s="781">
        <v>0</v>
      </c>
      <c r="E59" s="781">
        <v>0</v>
      </c>
      <c r="F59"/>
      <c r="G59"/>
    </row>
    <row r="60" spans="1:7">
      <c r="A60" s="779" t="s">
        <v>3016</v>
      </c>
      <c r="B60" s="781">
        <v>134</v>
      </c>
      <c r="C60" s="781">
        <v>134</v>
      </c>
      <c r="D60" s="781">
        <v>134</v>
      </c>
      <c r="E60" s="781">
        <v>134</v>
      </c>
      <c r="F60"/>
      <c r="G60"/>
    </row>
    <row r="61" spans="1:7">
      <c r="A61" s="779" t="s">
        <v>3014</v>
      </c>
      <c r="B61" s="781">
        <v>112</v>
      </c>
      <c r="C61" s="781">
        <v>112</v>
      </c>
      <c r="D61" s="781">
        <v>0</v>
      </c>
      <c r="E61" s="781">
        <v>112</v>
      </c>
      <c r="F61"/>
      <c r="G61"/>
    </row>
    <row r="62" spans="1:7">
      <c r="A62" s="779" t="s">
        <v>438</v>
      </c>
      <c r="B62" s="781">
        <v>87567</v>
      </c>
      <c r="C62" s="781">
        <v>650</v>
      </c>
      <c r="D62" s="781">
        <v>200</v>
      </c>
      <c r="E62" s="781">
        <v>1815</v>
      </c>
      <c r="F62"/>
      <c r="G62"/>
    </row>
    <row r="63" spans="1:7">
      <c r="A63" s="779" t="s">
        <v>2621</v>
      </c>
      <c r="B63" s="781">
        <v>369</v>
      </c>
      <c r="C63" s="781">
        <v>0</v>
      </c>
      <c r="D63" s="781">
        <v>0</v>
      </c>
      <c r="E63" s="781">
        <v>0</v>
      </c>
      <c r="F63"/>
      <c r="G63"/>
    </row>
    <row r="64" spans="1:7">
      <c r="A64" s="779" t="s">
        <v>2620</v>
      </c>
      <c r="B64" s="781">
        <v>370</v>
      </c>
      <c r="C64" s="781">
        <v>0</v>
      </c>
      <c r="D64" s="781">
        <v>0</v>
      </c>
      <c r="E64" s="781">
        <v>0</v>
      </c>
      <c r="F64"/>
      <c r="G64"/>
    </row>
    <row r="65" spans="1:7">
      <c r="A65" s="779" t="s">
        <v>2622</v>
      </c>
      <c r="B65" s="781">
        <v>1369</v>
      </c>
      <c r="C65" s="781">
        <v>0</v>
      </c>
      <c r="D65" s="781">
        <v>0</v>
      </c>
      <c r="E65" s="781">
        <v>0</v>
      </c>
      <c r="F65"/>
      <c r="G65"/>
    </row>
    <row r="66" spans="1:7">
      <c r="A66" s="779" t="s">
        <v>2625</v>
      </c>
      <c r="B66" s="781">
        <v>1750</v>
      </c>
      <c r="C66" s="781">
        <v>0</v>
      </c>
      <c r="D66" s="781">
        <v>0</v>
      </c>
      <c r="E66" s="781">
        <v>0</v>
      </c>
      <c r="F66"/>
      <c r="G66"/>
    </row>
    <row r="67" spans="1:7">
      <c r="A67" s="779" t="s">
        <v>420</v>
      </c>
      <c r="B67" s="781">
        <v>1362</v>
      </c>
      <c r="C67" s="781">
        <v>0</v>
      </c>
      <c r="D67" s="781">
        <v>0</v>
      </c>
      <c r="E67" s="781">
        <v>0</v>
      </c>
      <c r="F67"/>
      <c r="G67"/>
    </row>
    <row r="68" spans="1:7">
      <c r="A68" s="779" t="s">
        <v>421</v>
      </c>
      <c r="B68" s="781">
        <v>2179</v>
      </c>
      <c r="C68" s="781">
        <v>0</v>
      </c>
      <c r="D68" s="781">
        <v>0</v>
      </c>
      <c r="E68" s="781">
        <v>0</v>
      </c>
      <c r="F68"/>
      <c r="G68"/>
    </row>
    <row r="69" spans="1:7">
      <c r="A69" s="779" t="s">
        <v>439</v>
      </c>
      <c r="B69" s="781">
        <v>695</v>
      </c>
      <c r="C69" s="781">
        <v>695</v>
      </c>
      <c r="D69" s="781">
        <v>0</v>
      </c>
      <c r="E69" s="781">
        <v>695</v>
      </c>
      <c r="F69"/>
      <c r="G69"/>
    </row>
    <row r="70" spans="1:7">
      <c r="A70" s="779" t="s">
        <v>435</v>
      </c>
      <c r="B70" s="781">
        <v>1390</v>
      </c>
      <c r="C70" s="781">
        <v>738</v>
      </c>
      <c r="D70" s="781">
        <v>0</v>
      </c>
      <c r="E70" s="781">
        <v>1390</v>
      </c>
      <c r="F70"/>
      <c r="G70"/>
    </row>
    <row r="71" spans="1:7">
      <c r="A71" s="779" t="s">
        <v>418</v>
      </c>
      <c r="B71" s="781">
        <v>442</v>
      </c>
      <c r="C71" s="781">
        <v>442</v>
      </c>
      <c r="D71" s="781">
        <v>0</v>
      </c>
      <c r="E71" s="781">
        <v>0</v>
      </c>
      <c r="F71"/>
      <c r="G71"/>
    </row>
    <row r="72" spans="1:7">
      <c r="A72" s="779" t="s">
        <v>1909</v>
      </c>
      <c r="B72" s="781">
        <v>625</v>
      </c>
      <c r="C72" s="781">
        <v>625</v>
      </c>
      <c r="D72" s="781">
        <v>0</v>
      </c>
      <c r="E72" s="781">
        <v>625</v>
      </c>
      <c r="F72"/>
      <c r="G72"/>
    </row>
    <row r="73" spans="1:7">
      <c r="A73" s="779" t="s">
        <v>3015</v>
      </c>
      <c r="B73" s="781">
        <v>249</v>
      </c>
      <c r="C73" s="781">
        <v>249</v>
      </c>
      <c r="D73" s="781">
        <v>0</v>
      </c>
      <c r="E73" s="781">
        <v>249</v>
      </c>
      <c r="F73"/>
      <c r="G73"/>
    </row>
    <row r="74" spans="1:7">
      <c r="A74" s="779" t="s">
        <v>3018</v>
      </c>
      <c r="B74" s="781">
        <v>120</v>
      </c>
      <c r="C74" s="781">
        <v>120</v>
      </c>
      <c r="D74" s="781">
        <v>0</v>
      </c>
      <c r="E74" s="781">
        <v>120</v>
      </c>
      <c r="F74"/>
      <c r="G74"/>
    </row>
    <row r="75" spans="1:7">
      <c r="A75" s="779" t="s">
        <v>691</v>
      </c>
      <c r="B75" s="781">
        <v>745</v>
      </c>
      <c r="C75" s="781">
        <v>93</v>
      </c>
      <c r="D75" s="781">
        <v>250</v>
      </c>
      <c r="E75" s="781">
        <v>745</v>
      </c>
      <c r="F75"/>
      <c r="G75"/>
    </row>
    <row r="76" spans="1:7">
      <c r="A76" s="779" t="s">
        <v>423</v>
      </c>
      <c r="B76" s="781">
        <v>5579</v>
      </c>
      <c r="C76" s="781">
        <v>5579</v>
      </c>
      <c r="D76" s="781">
        <v>0</v>
      </c>
      <c r="E76" s="781">
        <v>5579</v>
      </c>
      <c r="F76"/>
      <c r="G76"/>
    </row>
    <row r="77" spans="1:7">
      <c r="A77" s="779" t="s">
        <v>419</v>
      </c>
      <c r="B77" s="781">
        <v>2427</v>
      </c>
      <c r="C77" s="781">
        <v>2427</v>
      </c>
      <c r="D77" s="781">
        <v>200</v>
      </c>
      <c r="E77" s="781">
        <v>2427</v>
      </c>
      <c r="F77"/>
      <c r="G77"/>
    </row>
    <row r="78" spans="1:7">
      <c r="A78" s="779" t="s">
        <v>448</v>
      </c>
      <c r="B78" s="781">
        <v>658</v>
      </c>
      <c r="C78" s="781">
        <v>0</v>
      </c>
      <c r="D78" s="781">
        <v>0</v>
      </c>
      <c r="E78" s="781">
        <v>0</v>
      </c>
      <c r="F78"/>
      <c r="G78"/>
    </row>
    <row r="79" spans="1:7">
      <c r="A79" s="779" t="s">
        <v>2628</v>
      </c>
      <c r="B79" s="781">
        <v>12993</v>
      </c>
      <c r="C79" s="781">
        <v>0</v>
      </c>
      <c r="D79" s="781">
        <v>0</v>
      </c>
      <c r="E79" s="781">
        <v>0</v>
      </c>
      <c r="F79"/>
      <c r="G79"/>
    </row>
    <row r="80" spans="1:7">
      <c r="A80" s="779" t="s">
        <v>436</v>
      </c>
      <c r="B80" s="781">
        <v>74</v>
      </c>
      <c r="C80" s="781">
        <v>738</v>
      </c>
      <c r="D80" s="781">
        <v>0</v>
      </c>
      <c r="E80" s="781">
        <v>74</v>
      </c>
      <c r="F80"/>
      <c r="G80"/>
    </row>
    <row r="81" spans="1:7">
      <c r="A81" s="779" t="s">
        <v>2250</v>
      </c>
      <c r="B81" s="781">
        <v>1901</v>
      </c>
      <c r="C81" s="781">
        <v>0</v>
      </c>
      <c r="D81" s="781">
        <v>0</v>
      </c>
      <c r="E81" s="781">
        <v>0</v>
      </c>
      <c r="F81"/>
      <c r="G81"/>
    </row>
    <row r="82" spans="1:7">
      <c r="A82" s="779" t="s">
        <v>876</v>
      </c>
      <c r="B82" s="781">
        <v>1574</v>
      </c>
      <c r="C82" s="781">
        <v>0</v>
      </c>
      <c r="D82" s="781">
        <v>0</v>
      </c>
      <c r="E82" s="781">
        <v>0</v>
      </c>
      <c r="F82"/>
      <c r="G82"/>
    </row>
    <row r="83" spans="1:7">
      <c r="A83" s="779" t="s">
        <v>2613</v>
      </c>
      <c r="B83" s="781">
        <v>454</v>
      </c>
      <c r="C83" s="781">
        <v>0</v>
      </c>
      <c r="D83" s="781">
        <v>0</v>
      </c>
      <c r="E83" s="781">
        <v>0</v>
      </c>
      <c r="F83"/>
      <c r="G83"/>
    </row>
    <row r="84" spans="1:7">
      <c r="A84" s="779" t="s">
        <v>2022</v>
      </c>
      <c r="B84" s="781">
        <v>1529</v>
      </c>
      <c r="C84" s="781">
        <v>0</v>
      </c>
      <c r="D84" s="781">
        <v>0</v>
      </c>
      <c r="E84" s="781">
        <v>0</v>
      </c>
      <c r="F84"/>
      <c r="G84"/>
    </row>
    <row r="85" spans="1:7">
      <c r="A85" s="779" t="s">
        <v>671</v>
      </c>
      <c r="B85" s="781">
        <v>1473</v>
      </c>
      <c r="C85" s="781">
        <v>0</v>
      </c>
      <c r="D85" s="781">
        <v>0</v>
      </c>
      <c r="E85" s="781">
        <v>0</v>
      </c>
      <c r="F85"/>
      <c r="G85"/>
    </row>
    <row r="86" spans="1:7">
      <c r="A86" s="779" t="s">
        <v>440</v>
      </c>
      <c r="B86" s="781">
        <v>320</v>
      </c>
      <c r="C86" s="781">
        <v>0</v>
      </c>
      <c r="D86" s="781">
        <v>0</v>
      </c>
      <c r="E86" s="781">
        <v>0</v>
      </c>
      <c r="F86"/>
      <c r="G86"/>
    </row>
    <row r="87" spans="1:7">
      <c r="A87" s="779" t="s">
        <v>1642</v>
      </c>
      <c r="B87" s="781">
        <v>155092</v>
      </c>
      <c r="C87" s="781">
        <v>13013</v>
      </c>
      <c r="D87" s="781">
        <v>1183</v>
      </c>
      <c r="E87" s="781">
        <v>14274</v>
      </c>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7"/>
  <sheetViews>
    <sheetView showGridLines="0" workbookViewId="0">
      <selection activeCell="Q13" sqref="Q13"/>
    </sheetView>
  </sheetViews>
  <sheetFormatPr defaultColWidth="14" defaultRowHeight="15.75"/>
  <cols>
    <col min="9" max="9" width="22.625" customWidth="1"/>
    <col min="10" max="10" width="24.75" customWidth="1"/>
    <col min="11" max="11" width="42.5" customWidth="1"/>
    <col min="12" max="12" width="17.25" hidden="1" customWidth="1"/>
    <col min="13" max="13" width="15.875" hidden="1" customWidth="1"/>
    <col min="14" max="14" width="57" hidden="1" customWidth="1"/>
    <col min="15" max="15" width="45.375" hidden="1" customWidth="1"/>
    <col min="16" max="16" width="71.75" hidden="1" customWidth="1"/>
  </cols>
  <sheetData>
    <row r="2" spans="12:16">
      <c r="L2" s="560" t="s">
        <v>33</v>
      </c>
      <c r="M2" s="548" t="s">
        <v>1895</v>
      </c>
    </row>
    <row r="3" spans="12:16">
      <c r="N3" s="431"/>
      <c r="O3" s="431"/>
      <c r="P3" s="431"/>
    </row>
    <row r="4" spans="12:16">
      <c r="L4" s="560" t="s">
        <v>18</v>
      </c>
      <c r="M4" s="548" t="s">
        <v>2985</v>
      </c>
      <c r="N4" s="548" t="s">
        <v>2757</v>
      </c>
      <c r="O4" s="548" t="s">
        <v>2758</v>
      </c>
      <c r="P4" s="548" t="s">
        <v>2759</v>
      </c>
    </row>
    <row r="5" spans="12:16">
      <c r="L5" s="548" t="s">
        <v>2380</v>
      </c>
      <c r="M5" s="547">
        <v>32230</v>
      </c>
      <c r="N5" s="547">
        <v>9272</v>
      </c>
      <c r="O5" s="547">
        <v>7228</v>
      </c>
      <c r="P5" s="547">
        <v>13404</v>
      </c>
    </row>
    <row r="6" spans="12:16">
      <c r="L6" s="548" t="s">
        <v>2381</v>
      </c>
      <c r="M6" s="547">
        <v>54338</v>
      </c>
      <c r="N6" s="547">
        <v>0</v>
      </c>
      <c r="O6" s="547">
        <v>9428</v>
      </c>
      <c r="P6" s="547">
        <v>27546</v>
      </c>
    </row>
    <row r="7" spans="12:16">
      <c r="L7" s="548" t="s">
        <v>1642</v>
      </c>
      <c r="M7" s="547">
        <v>86568</v>
      </c>
      <c r="N7" s="547">
        <v>9272</v>
      </c>
      <c r="O7" s="547">
        <v>16656</v>
      </c>
      <c r="P7" s="547">
        <v>40950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25" workbookViewId="0">
      <selection activeCell="D60" sqref="D60"/>
    </sheetView>
  </sheetViews>
  <sheetFormatPr defaultColWidth="9" defaultRowHeight="12.75"/>
  <cols>
    <col min="1" max="3" width="9" style="18"/>
    <col min="4" max="4" width="9" style="67"/>
    <col min="5" max="5" width="15.875" style="66" customWidth="1"/>
    <col min="6" max="14" width="9" style="18"/>
    <col min="15" max="15" width="15.875" style="18" customWidth="1"/>
    <col min="16" max="27" width="9" style="18"/>
    <col min="28" max="28" width="13" style="62" customWidth="1"/>
    <col min="29" max="29" width="16.75" style="62" customWidth="1"/>
    <col min="30" max="16384" width="9" style="18"/>
  </cols>
  <sheetData>
    <row r="1" spans="1:29" ht="14.25" thickTop="1" thickBot="1">
      <c r="A1" s="1" t="s">
        <v>0</v>
      </c>
      <c r="B1" s="1" t="s">
        <v>1</v>
      </c>
      <c r="C1" s="1" t="s">
        <v>2</v>
      </c>
      <c r="D1" s="48" t="s">
        <v>3</v>
      </c>
      <c r="E1" s="48" t="s">
        <v>4</v>
      </c>
      <c r="F1" s="1" t="s">
        <v>1152</v>
      </c>
      <c r="G1" s="1" t="s">
        <v>5</v>
      </c>
      <c r="H1" s="1" t="s">
        <v>6</v>
      </c>
      <c r="I1" s="1" t="s">
        <v>50</v>
      </c>
      <c r="J1" s="1" t="s">
        <v>51</v>
      </c>
      <c r="K1" s="1" t="s">
        <v>54</v>
      </c>
      <c r="L1" s="2" t="s">
        <v>56</v>
      </c>
      <c r="M1" s="2" t="s">
        <v>58</v>
      </c>
      <c r="N1" s="2" t="s">
        <v>112</v>
      </c>
      <c r="O1" s="2" t="s">
        <v>113</v>
      </c>
      <c r="P1" s="2" t="s">
        <v>60</v>
      </c>
      <c r="Q1" s="2" t="s">
        <v>59</v>
      </c>
      <c r="R1" s="3" t="s">
        <v>61</v>
      </c>
      <c r="S1" s="3" t="s">
        <v>1153</v>
      </c>
      <c r="T1" s="4" t="s">
        <v>63</v>
      </c>
      <c r="U1" s="3" t="s">
        <v>64</v>
      </c>
      <c r="V1" s="3" t="s">
        <v>65</v>
      </c>
      <c r="W1" s="5" t="s">
        <v>66</v>
      </c>
      <c r="X1" s="5"/>
      <c r="Y1" s="5" t="s">
        <v>1154</v>
      </c>
      <c r="Z1" s="5" t="s">
        <v>67</v>
      </c>
      <c r="AA1" s="46" t="s">
        <v>68</v>
      </c>
      <c r="AB1" s="62" t="s">
        <v>1155</v>
      </c>
    </row>
    <row r="2" spans="1:29" ht="13.5" thickBot="1">
      <c r="A2" s="11" t="s">
        <v>14</v>
      </c>
      <c r="B2" s="12" t="s">
        <v>14</v>
      </c>
      <c r="C2" s="11" t="s">
        <v>14</v>
      </c>
      <c r="D2" s="52" t="s">
        <v>14</v>
      </c>
      <c r="E2" s="49" t="s">
        <v>14</v>
      </c>
      <c r="F2" s="12" t="s">
        <v>15</v>
      </c>
      <c r="G2" s="11" t="s">
        <v>15</v>
      </c>
      <c r="H2" s="12" t="s">
        <v>53</v>
      </c>
      <c r="I2" s="11" t="s">
        <v>14</v>
      </c>
      <c r="J2" s="12" t="s">
        <v>17</v>
      </c>
      <c r="K2" s="11" t="s">
        <v>55</v>
      </c>
      <c r="L2" s="12" t="s">
        <v>15</v>
      </c>
      <c r="M2" s="11" t="s">
        <v>15</v>
      </c>
      <c r="N2" s="12" t="s">
        <v>15</v>
      </c>
      <c r="O2" s="11" t="s">
        <v>15</v>
      </c>
      <c r="P2" s="12" t="s">
        <v>55</v>
      </c>
      <c r="Q2" s="11" t="s">
        <v>15</v>
      </c>
      <c r="R2" s="12" t="s">
        <v>15</v>
      </c>
      <c r="S2" s="11" t="s">
        <v>15</v>
      </c>
      <c r="T2" s="12" t="s">
        <v>15</v>
      </c>
      <c r="U2" s="11" t="s">
        <v>1156</v>
      </c>
      <c r="V2" s="12" t="s">
        <v>1156</v>
      </c>
      <c r="W2" s="11" t="s">
        <v>15</v>
      </c>
      <c r="X2" s="11"/>
      <c r="Y2" s="12" t="s">
        <v>15</v>
      </c>
      <c r="Z2" s="11" t="s">
        <v>15</v>
      </c>
      <c r="AA2" s="47" t="s">
        <v>15</v>
      </c>
    </row>
    <row r="3" spans="1:29" ht="129" thickTop="1" thickBot="1">
      <c r="A3" s="14" t="s">
        <v>18</v>
      </c>
      <c r="B3" s="13" t="s">
        <v>1157</v>
      </c>
      <c r="C3" s="14" t="s">
        <v>20</v>
      </c>
      <c r="D3" s="53" t="s">
        <v>21</v>
      </c>
      <c r="E3" s="50" t="s">
        <v>22</v>
      </c>
      <c r="F3" s="13" t="s">
        <v>24</v>
      </c>
      <c r="G3" s="14" t="s">
        <v>1158</v>
      </c>
      <c r="H3" s="13" t="s">
        <v>1159</v>
      </c>
      <c r="I3" s="14" t="s">
        <v>1160</v>
      </c>
      <c r="J3" s="13" t="s">
        <v>1161</v>
      </c>
      <c r="K3" s="14" t="s">
        <v>1162</v>
      </c>
      <c r="L3" s="13" t="s">
        <v>1163</v>
      </c>
      <c r="M3" s="14" t="s">
        <v>1164</v>
      </c>
      <c r="N3" s="13" t="s">
        <v>1165</v>
      </c>
      <c r="O3" s="14" t="s">
        <v>1166</v>
      </c>
      <c r="P3" s="13" t="s">
        <v>1167</v>
      </c>
      <c r="Q3" s="14" t="s">
        <v>1168</v>
      </c>
      <c r="R3" s="13" t="s">
        <v>1169</v>
      </c>
      <c r="S3" s="14" t="s">
        <v>1170</v>
      </c>
      <c r="T3" s="13" t="s">
        <v>1171</v>
      </c>
      <c r="U3" s="14" t="s">
        <v>1172</v>
      </c>
      <c r="V3" s="13" t="s">
        <v>1173</v>
      </c>
      <c r="W3" s="16" t="s">
        <v>1174</v>
      </c>
      <c r="X3" s="16" t="s">
        <v>1175</v>
      </c>
      <c r="Y3" s="13" t="s">
        <v>1176</v>
      </c>
      <c r="Z3" s="14" t="s">
        <v>1177</v>
      </c>
      <c r="AA3" s="56" t="s">
        <v>1178</v>
      </c>
      <c r="AB3" s="63" t="s">
        <v>1179</v>
      </c>
      <c r="AC3" s="63" t="s">
        <v>1180</v>
      </c>
    </row>
    <row r="4" spans="1:29" ht="14.25" thickTop="1" thickBot="1">
      <c r="A4" s="10" t="s">
        <v>1181</v>
      </c>
      <c r="B4" s="10" t="s">
        <v>1182</v>
      </c>
      <c r="C4" s="8" t="s">
        <v>37</v>
      </c>
      <c r="D4" s="51" t="s">
        <v>327</v>
      </c>
      <c r="E4" s="51" t="s">
        <v>629</v>
      </c>
      <c r="F4" s="7"/>
      <c r="G4" s="8"/>
      <c r="H4" s="7" t="s">
        <v>41</v>
      </c>
      <c r="I4" s="40" t="s">
        <v>312</v>
      </c>
      <c r="J4" s="7"/>
      <c r="K4" s="15">
        <v>0</v>
      </c>
      <c r="L4" s="7"/>
      <c r="M4" s="8"/>
      <c r="N4" s="7"/>
      <c r="O4" s="8"/>
      <c r="P4" s="7"/>
      <c r="Q4" s="7"/>
      <c r="R4" s="8"/>
      <c r="S4" s="7"/>
      <c r="T4" s="9"/>
      <c r="U4" s="7" t="s">
        <v>129</v>
      </c>
      <c r="V4" s="7" t="s">
        <v>129</v>
      </c>
      <c r="W4" s="7"/>
      <c r="X4" s="7" t="s">
        <v>130</v>
      </c>
      <c r="Y4" s="8"/>
      <c r="Z4" s="7"/>
      <c r="AA4" s="57"/>
      <c r="AB4" s="62" t="s">
        <v>2687</v>
      </c>
      <c r="AC4" s="62" t="s">
        <v>359</v>
      </c>
    </row>
    <row r="5" spans="1:29" ht="14.25" thickTop="1" thickBot="1">
      <c r="A5" s="10" t="s">
        <v>1183</v>
      </c>
      <c r="B5" s="10" t="s">
        <v>316</v>
      </c>
      <c r="C5" s="8" t="s">
        <v>296</v>
      </c>
      <c r="D5" s="51" t="s">
        <v>187</v>
      </c>
      <c r="E5" s="51" t="s">
        <v>542</v>
      </c>
      <c r="F5" s="7"/>
      <c r="G5" s="8"/>
      <c r="H5" s="7" t="s">
        <v>128</v>
      </c>
      <c r="I5" s="40" t="s">
        <v>142</v>
      </c>
      <c r="J5" s="7"/>
      <c r="K5" s="15">
        <v>0.1</v>
      </c>
      <c r="L5" s="7"/>
      <c r="M5" s="8"/>
      <c r="N5" s="7"/>
      <c r="O5" s="8"/>
      <c r="P5" s="7"/>
      <c r="Q5" s="7"/>
      <c r="R5" s="8"/>
      <c r="S5" s="7"/>
      <c r="T5" s="9"/>
      <c r="U5" s="7" t="s">
        <v>1184</v>
      </c>
      <c r="V5" s="7" t="s">
        <v>143</v>
      </c>
      <c r="W5" s="7"/>
      <c r="X5" s="7" t="s">
        <v>221</v>
      </c>
      <c r="Y5" s="8"/>
      <c r="Z5" s="7"/>
      <c r="AA5" s="57"/>
      <c r="AB5" s="62" t="s">
        <v>2687</v>
      </c>
      <c r="AC5" s="62" t="s">
        <v>304</v>
      </c>
    </row>
    <row r="6" spans="1:29" ht="14.25" thickTop="1" thickBot="1">
      <c r="A6" s="10" t="s">
        <v>1185</v>
      </c>
      <c r="B6" s="10" t="s">
        <v>1186</v>
      </c>
      <c r="C6" s="8" t="s">
        <v>700</v>
      </c>
      <c r="D6" s="51" t="s">
        <v>321</v>
      </c>
      <c r="E6" s="51" t="s">
        <v>663</v>
      </c>
      <c r="F6" s="7"/>
      <c r="G6" s="8"/>
      <c r="H6" s="7" t="s">
        <v>285</v>
      </c>
      <c r="I6" s="6" t="s">
        <v>1187</v>
      </c>
      <c r="J6" s="7"/>
      <c r="K6" s="15">
        <v>0.2</v>
      </c>
      <c r="L6" s="7"/>
      <c r="M6" s="8"/>
      <c r="N6" s="7"/>
      <c r="O6" s="8"/>
      <c r="P6" s="7"/>
      <c r="Q6" s="7"/>
      <c r="R6" s="8"/>
      <c r="S6" s="7"/>
      <c r="T6" s="9"/>
      <c r="U6" s="7" t="s">
        <v>178</v>
      </c>
      <c r="V6" s="7" t="s">
        <v>178</v>
      </c>
      <c r="W6" s="7"/>
      <c r="X6" s="7" t="s">
        <v>137</v>
      </c>
      <c r="Y6" s="8"/>
      <c r="Z6" s="7"/>
      <c r="AA6" s="57"/>
      <c r="AB6" s="62" t="s">
        <v>2687</v>
      </c>
      <c r="AC6" s="62" t="s">
        <v>314</v>
      </c>
    </row>
    <row r="7" spans="1:29" ht="14.25" thickTop="1" thickBot="1">
      <c r="A7" s="10" t="s">
        <v>1188</v>
      </c>
      <c r="B7" s="10" t="s">
        <v>1189</v>
      </c>
      <c r="D7" s="51" t="s">
        <v>138</v>
      </c>
      <c r="E7" s="51" t="s">
        <v>581</v>
      </c>
      <c r="F7" s="7"/>
      <c r="G7" s="8"/>
      <c r="H7" s="7"/>
      <c r="I7" s="40" t="s">
        <v>329</v>
      </c>
      <c r="J7" s="7"/>
      <c r="K7" s="15">
        <v>0.3</v>
      </c>
      <c r="L7" s="7"/>
      <c r="M7" s="8"/>
      <c r="N7" s="7"/>
      <c r="O7" s="8"/>
      <c r="P7" s="7"/>
      <c r="Q7" s="7"/>
      <c r="R7" s="8"/>
      <c r="S7" s="7"/>
      <c r="T7" s="9"/>
      <c r="U7" s="7" t="s">
        <v>132</v>
      </c>
      <c r="V7" s="7" t="s">
        <v>132</v>
      </c>
      <c r="W7" s="7"/>
      <c r="X7" s="7"/>
      <c r="Y7" s="8"/>
      <c r="Z7" s="7"/>
      <c r="AA7" s="57"/>
      <c r="AB7" s="62" t="s">
        <v>2687</v>
      </c>
      <c r="AC7" s="62" t="s">
        <v>473</v>
      </c>
    </row>
    <row r="8" spans="1:29" ht="14.25" thickTop="1" thickBot="1">
      <c r="A8" s="10" t="s">
        <v>1190</v>
      </c>
      <c r="B8" s="10" t="s">
        <v>1191</v>
      </c>
      <c r="D8" s="51" t="s">
        <v>140</v>
      </c>
      <c r="E8" s="51" t="s">
        <v>603</v>
      </c>
      <c r="F8" s="7"/>
      <c r="G8" s="8"/>
      <c r="H8" s="7"/>
      <c r="I8" s="54" t="s">
        <v>1192</v>
      </c>
      <c r="J8" s="7"/>
      <c r="K8" s="15">
        <v>0.4</v>
      </c>
      <c r="L8" s="7"/>
      <c r="M8" s="8"/>
      <c r="N8" s="7"/>
      <c r="O8" s="8"/>
      <c r="P8" s="7"/>
      <c r="Q8" s="7"/>
      <c r="R8" s="8"/>
      <c r="S8" s="7"/>
      <c r="T8" s="9"/>
      <c r="U8" s="65"/>
      <c r="V8" s="65"/>
      <c r="W8" s="7"/>
      <c r="X8" s="7"/>
      <c r="Y8" s="8"/>
      <c r="Z8" s="7"/>
      <c r="AA8" s="57"/>
      <c r="AB8" s="62" t="s">
        <v>2687</v>
      </c>
      <c r="AC8" s="62" t="s">
        <v>401</v>
      </c>
    </row>
    <row r="9" spans="1:29" ht="13.5" thickBot="1">
      <c r="A9" s="10" t="s">
        <v>1193</v>
      </c>
      <c r="B9" s="10" t="s">
        <v>2294</v>
      </c>
      <c r="D9" s="51" t="s">
        <v>719</v>
      </c>
      <c r="E9" s="51" t="s">
        <v>650</v>
      </c>
      <c r="F9" s="7"/>
      <c r="G9" s="8"/>
      <c r="H9" s="7"/>
      <c r="I9" s="39" t="s">
        <v>1194</v>
      </c>
      <c r="J9" s="7"/>
      <c r="K9" s="15">
        <v>0.5</v>
      </c>
      <c r="L9" s="7"/>
      <c r="M9" s="8"/>
      <c r="N9" s="7"/>
      <c r="O9" s="8"/>
      <c r="P9" s="7"/>
      <c r="Q9" s="7"/>
      <c r="R9" s="8"/>
      <c r="S9" s="7"/>
      <c r="T9" s="9"/>
      <c r="U9" s="7"/>
      <c r="V9" s="8"/>
      <c r="W9" s="7"/>
      <c r="X9" s="7"/>
      <c r="Y9" s="8"/>
      <c r="Z9" s="7"/>
      <c r="AA9" s="57"/>
      <c r="AB9" s="62" t="s">
        <v>2687</v>
      </c>
      <c r="AC9" s="62" t="s">
        <v>404</v>
      </c>
    </row>
    <row r="10" spans="1:29" ht="13.5" thickBot="1">
      <c r="A10" s="10" t="s">
        <v>1195</v>
      </c>
      <c r="B10" s="10" t="s">
        <v>306</v>
      </c>
      <c r="D10" s="51" t="s">
        <v>741</v>
      </c>
      <c r="E10" s="51" t="s">
        <v>938</v>
      </c>
      <c r="F10" s="7"/>
      <c r="G10" s="8"/>
      <c r="H10" s="7"/>
      <c r="I10" s="39" t="s">
        <v>1197</v>
      </c>
      <c r="J10" s="7"/>
      <c r="K10" s="15">
        <v>0.6</v>
      </c>
      <c r="L10" s="7"/>
      <c r="M10" s="8"/>
      <c r="N10" s="7"/>
      <c r="O10" s="8"/>
      <c r="P10" s="7"/>
      <c r="Q10" s="7"/>
      <c r="R10" s="8"/>
      <c r="S10" s="7"/>
      <c r="T10" s="9"/>
      <c r="U10" s="7"/>
      <c r="V10" s="8"/>
      <c r="W10" s="7"/>
      <c r="X10" s="7"/>
      <c r="Y10" s="8"/>
      <c r="Z10" s="7"/>
      <c r="AA10" s="57"/>
      <c r="AB10" s="62" t="s">
        <v>2687</v>
      </c>
      <c r="AC10" s="62" t="s">
        <v>454</v>
      </c>
    </row>
    <row r="11" spans="1:29" ht="13.5" thickBot="1">
      <c r="A11" s="10" t="s">
        <v>1195</v>
      </c>
      <c r="B11" s="10" t="s">
        <v>1196</v>
      </c>
      <c r="D11" s="51" t="s">
        <v>773</v>
      </c>
      <c r="E11" s="51" t="s">
        <v>540</v>
      </c>
      <c r="F11" s="7"/>
      <c r="G11" s="8"/>
      <c r="H11" s="7"/>
      <c r="I11" s="30" t="s">
        <v>299</v>
      </c>
      <c r="J11" s="7"/>
      <c r="K11" s="15">
        <v>0.7</v>
      </c>
      <c r="L11" s="7"/>
      <c r="M11" s="8"/>
      <c r="N11" s="7"/>
      <c r="O11" s="8"/>
      <c r="P11" s="7"/>
      <c r="Q11" s="7"/>
      <c r="R11" s="8"/>
      <c r="S11" s="7"/>
      <c r="T11" s="9"/>
      <c r="U11" s="7"/>
      <c r="V11" s="8"/>
      <c r="W11" s="7"/>
      <c r="X11" s="7"/>
      <c r="Y11" s="8"/>
      <c r="Z11" s="7"/>
      <c r="AA11" s="57"/>
      <c r="AB11" s="62" t="s">
        <v>2687</v>
      </c>
      <c r="AC11" s="62" t="s">
        <v>356</v>
      </c>
    </row>
    <row r="12" spans="1:29" ht="13.5" thickBot="1">
      <c r="A12" s="10" t="s">
        <v>1198</v>
      </c>
      <c r="B12" s="10" t="s">
        <v>320</v>
      </c>
      <c r="D12" s="51" t="s">
        <v>1071</v>
      </c>
      <c r="E12" s="51" t="s">
        <v>569</v>
      </c>
      <c r="F12" s="7"/>
      <c r="G12" s="8"/>
      <c r="H12" s="7"/>
      <c r="I12" s="30" t="s">
        <v>220</v>
      </c>
      <c r="J12" s="7"/>
      <c r="K12" s="15">
        <v>0.8</v>
      </c>
      <c r="L12" s="7"/>
      <c r="M12" s="8"/>
      <c r="N12" s="7"/>
      <c r="O12" s="8"/>
      <c r="P12" s="7"/>
      <c r="Q12" s="7"/>
      <c r="R12" s="8"/>
      <c r="S12" s="7"/>
      <c r="T12" s="9"/>
      <c r="U12" s="7"/>
      <c r="V12" s="8"/>
      <c r="W12" s="7"/>
      <c r="X12" s="7"/>
      <c r="Y12" s="8"/>
      <c r="Z12" s="7"/>
      <c r="AA12" s="57"/>
      <c r="AB12" s="62" t="s">
        <v>2687</v>
      </c>
      <c r="AC12" s="62" t="s">
        <v>297</v>
      </c>
    </row>
    <row r="13" spans="1:29" ht="13.5" thickBot="1">
      <c r="A13" s="10" t="s">
        <v>1200</v>
      </c>
      <c r="B13" s="10" t="s">
        <v>1199</v>
      </c>
      <c r="C13" s="65"/>
      <c r="D13" s="51" t="s">
        <v>704</v>
      </c>
      <c r="E13" s="51" t="s">
        <v>591</v>
      </c>
      <c r="F13" s="7"/>
      <c r="G13" s="8"/>
      <c r="H13" s="7"/>
      <c r="I13" s="30" t="s">
        <v>40</v>
      </c>
      <c r="J13" s="7"/>
      <c r="K13" s="15">
        <v>0.9</v>
      </c>
      <c r="L13" s="7"/>
      <c r="M13" s="8"/>
      <c r="N13" s="7"/>
      <c r="O13" s="8"/>
      <c r="P13" s="7"/>
      <c r="Q13" s="7"/>
      <c r="R13" s="8"/>
      <c r="S13" s="7"/>
      <c r="T13" s="9"/>
      <c r="U13" s="7"/>
      <c r="V13" s="8"/>
      <c r="W13" s="7"/>
      <c r="X13" s="7"/>
      <c r="Y13" s="8"/>
      <c r="Z13" s="7"/>
      <c r="AA13" s="57"/>
      <c r="AB13" s="62" t="s">
        <v>37</v>
      </c>
      <c r="AC13" s="62" t="s">
        <v>187</v>
      </c>
    </row>
    <row r="14" spans="1:29" ht="13.5" thickBot="1">
      <c r="A14" s="10" t="s">
        <v>1202</v>
      </c>
      <c r="B14" s="10" t="s">
        <v>1201</v>
      </c>
      <c r="D14" s="51" t="s">
        <v>359</v>
      </c>
      <c r="E14" s="51" t="s">
        <v>583</v>
      </c>
      <c r="F14" s="7"/>
      <c r="G14" s="8"/>
      <c r="H14" s="7"/>
      <c r="I14" s="45" t="s">
        <v>218</v>
      </c>
      <c r="J14" s="7"/>
      <c r="K14" s="15">
        <v>1</v>
      </c>
      <c r="L14" s="7"/>
      <c r="M14" s="8"/>
      <c r="N14" s="7"/>
      <c r="O14" s="8"/>
      <c r="P14" s="7"/>
      <c r="Q14" s="7"/>
      <c r="R14" s="8"/>
      <c r="S14" s="7"/>
      <c r="T14" s="9"/>
      <c r="U14" s="7"/>
      <c r="V14" s="8"/>
      <c r="W14" s="7"/>
      <c r="X14" s="7"/>
      <c r="Y14" s="8"/>
      <c r="Z14" s="7"/>
      <c r="AA14" s="57"/>
      <c r="AB14" s="62" t="s">
        <v>37</v>
      </c>
      <c r="AC14" s="62" t="s">
        <v>138</v>
      </c>
    </row>
    <row r="15" spans="1:29" ht="13.5" thickBot="1">
      <c r="A15" s="10" t="s">
        <v>1204</v>
      </c>
      <c r="B15" s="10" t="s">
        <v>1203</v>
      </c>
      <c r="D15" s="51" t="s">
        <v>304</v>
      </c>
      <c r="E15" s="51" t="s">
        <v>552</v>
      </c>
      <c r="F15" s="7"/>
      <c r="G15" s="8"/>
      <c r="H15" s="7"/>
      <c r="I15" s="30" t="s">
        <v>284</v>
      </c>
      <c r="J15" s="7"/>
      <c r="K15" s="8"/>
      <c r="L15" s="7"/>
      <c r="M15" s="8"/>
      <c r="N15" s="7"/>
      <c r="O15" s="8"/>
      <c r="P15" s="7"/>
      <c r="Q15" s="7"/>
      <c r="R15" s="8"/>
      <c r="S15" s="7"/>
      <c r="T15" s="9"/>
      <c r="U15" s="7"/>
      <c r="V15" s="8"/>
      <c r="W15" s="7"/>
      <c r="X15" s="7"/>
      <c r="Y15" s="8"/>
      <c r="Z15" s="7"/>
      <c r="AA15" s="57"/>
      <c r="AB15" s="62" t="s">
        <v>37</v>
      </c>
      <c r="AC15" s="62" t="s">
        <v>140</v>
      </c>
    </row>
    <row r="16" spans="1:29" ht="13.5" thickBot="1">
      <c r="A16" s="10" t="s">
        <v>1207</v>
      </c>
      <c r="B16" s="10" t="s">
        <v>1205</v>
      </c>
      <c r="D16" s="51" t="s">
        <v>1076</v>
      </c>
      <c r="E16" s="51" t="s">
        <v>553</v>
      </c>
      <c r="F16" s="7"/>
      <c r="G16" s="8"/>
      <c r="H16" s="7"/>
      <c r="I16" s="30" t="s">
        <v>703</v>
      </c>
      <c r="J16" s="7"/>
      <c r="K16" s="8"/>
      <c r="L16" s="7"/>
      <c r="M16" s="8"/>
      <c r="N16" s="7"/>
      <c r="O16" s="8"/>
      <c r="P16" s="7"/>
      <c r="Q16" s="7"/>
      <c r="R16" s="8"/>
      <c r="S16" s="7"/>
      <c r="T16" s="9"/>
      <c r="U16" s="7"/>
      <c r="V16" s="8"/>
      <c r="W16" s="7"/>
      <c r="X16" s="7"/>
      <c r="Y16" s="8"/>
      <c r="Z16" s="7"/>
      <c r="AA16" s="57"/>
      <c r="AB16" s="62" t="s">
        <v>37</v>
      </c>
      <c r="AC16" s="62" t="s">
        <v>773</v>
      </c>
    </row>
    <row r="17" spans="1:29" ht="13.5" thickBot="1">
      <c r="A17" s="10" t="s">
        <v>1208</v>
      </c>
      <c r="B17" s="10" t="s">
        <v>411</v>
      </c>
      <c r="D17" s="51" t="s">
        <v>38</v>
      </c>
      <c r="E17" s="51" t="s">
        <v>531</v>
      </c>
      <c r="F17" s="7"/>
      <c r="G17" s="8"/>
      <c r="H17" s="7"/>
      <c r="I17" s="30" t="s">
        <v>277</v>
      </c>
      <c r="J17" s="7"/>
      <c r="K17" s="8"/>
      <c r="L17" s="7"/>
      <c r="M17" s="8"/>
      <c r="N17" s="7"/>
      <c r="O17" s="8"/>
      <c r="P17" s="7"/>
      <c r="Q17" s="7"/>
      <c r="R17" s="8"/>
      <c r="S17" s="7"/>
      <c r="T17" s="9"/>
      <c r="U17" s="7"/>
      <c r="V17" s="8"/>
      <c r="W17" s="7"/>
      <c r="X17" s="7"/>
      <c r="Y17" s="8"/>
      <c r="Z17" s="7"/>
      <c r="AA17" s="57"/>
      <c r="AB17" s="62" t="s">
        <v>37</v>
      </c>
      <c r="AC17" s="62" t="s">
        <v>1071</v>
      </c>
    </row>
    <row r="18" spans="1:29" ht="13.5" thickBot="1">
      <c r="A18" s="41" t="s">
        <v>1210</v>
      </c>
      <c r="B18" s="10" t="s">
        <v>1209</v>
      </c>
      <c r="D18" s="51" t="s">
        <v>707</v>
      </c>
      <c r="E18" s="51" t="s">
        <v>666</v>
      </c>
      <c r="F18" s="7"/>
      <c r="G18" s="8"/>
      <c r="H18" s="7"/>
      <c r="I18" s="30" t="s">
        <v>270</v>
      </c>
      <c r="J18" s="7"/>
      <c r="K18" s="8"/>
      <c r="L18" s="7"/>
      <c r="M18" s="8"/>
      <c r="N18" s="7"/>
      <c r="O18" s="8"/>
      <c r="P18" s="7"/>
      <c r="Q18" s="7"/>
      <c r="R18" s="8"/>
      <c r="S18" s="7"/>
      <c r="T18" s="9"/>
      <c r="U18" s="7"/>
      <c r="V18" s="8"/>
      <c r="W18" s="7"/>
      <c r="X18" s="7"/>
      <c r="Y18" s="8"/>
      <c r="Z18" s="7"/>
      <c r="AA18" s="57"/>
      <c r="AB18" s="62" t="s">
        <v>37</v>
      </c>
      <c r="AC18" s="62" t="s">
        <v>1076</v>
      </c>
    </row>
    <row r="19" spans="1:29" ht="13.5" thickBot="1">
      <c r="A19" s="41" t="s">
        <v>1212</v>
      </c>
      <c r="B19" s="10" t="s">
        <v>1211</v>
      </c>
      <c r="D19" s="51" t="s">
        <v>307</v>
      </c>
      <c r="E19" s="51" t="s">
        <v>665</v>
      </c>
      <c r="F19" s="7"/>
      <c r="G19" s="8"/>
      <c r="H19" s="7"/>
      <c r="I19" s="30" t="s">
        <v>309</v>
      </c>
      <c r="J19" s="7"/>
      <c r="K19" s="8"/>
      <c r="L19" s="7"/>
      <c r="M19" s="8"/>
      <c r="N19" s="7"/>
      <c r="O19" s="8"/>
      <c r="P19" s="7"/>
      <c r="Q19" s="7"/>
      <c r="R19" s="8"/>
      <c r="S19" s="7"/>
      <c r="T19" s="9"/>
      <c r="U19" s="7"/>
      <c r="V19" s="8"/>
      <c r="W19" s="7"/>
      <c r="X19" s="7"/>
      <c r="Y19" s="8"/>
      <c r="Z19" s="7"/>
      <c r="AA19" s="57"/>
      <c r="AB19" s="62" t="s">
        <v>37</v>
      </c>
      <c r="AC19" s="62" t="s">
        <v>1318</v>
      </c>
    </row>
    <row r="20" spans="1:29" ht="13.5" thickBot="1">
      <c r="A20" s="41" t="s">
        <v>35</v>
      </c>
      <c r="B20" s="10" t="s">
        <v>133</v>
      </c>
      <c r="D20" s="51" t="s">
        <v>314</v>
      </c>
      <c r="E20" s="51" t="s">
        <v>642</v>
      </c>
      <c r="F20" s="7"/>
      <c r="G20" s="8"/>
      <c r="H20" s="7"/>
      <c r="I20" s="30" t="s">
        <v>318</v>
      </c>
      <c r="J20" s="7"/>
      <c r="K20" s="8"/>
      <c r="L20" s="7"/>
      <c r="M20" s="8"/>
      <c r="N20" s="7"/>
      <c r="O20" s="8"/>
      <c r="P20" s="7"/>
      <c r="Q20" s="7"/>
      <c r="R20" s="8"/>
      <c r="S20" s="7"/>
      <c r="T20" s="9"/>
      <c r="U20" s="7"/>
      <c r="V20" s="8"/>
      <c r="W20" s="7"/>
      <c r="X20" s="7"/>
      <c r="Y20" s="8"/>
      <c r="Z20" s="7"/>
      <c r="AA20" s="57"/>
      <c r="AB20" s="62" t="s">
        <v>37</v>
      </c>
      <c r="AC20" s="62" t="s">
        <v>38</v>
      </c>
    </row>
    <row r="21" spans="1:29" ht="13.5" thickBot="1">
      <c r="A21" s="41" t="s">
        <v>1214</v>
      </c>
      <c r="B21" s="10" t="s">
        <v>36</v>
      </c>
      <c r="D21" s="51" t="s">
        <v>144</v>
      </c>
      <c r="E21" s="51" t="s">
        <v>580</v>
      </c>
      <c r="F21" s="7"/>
      <c r="G21" s="8"/>
      <c r="H21" s="7"/>
      <c r="I21" s="39" t="s">
        <v>1216</v>
      </c>
      <c r="J21" s="7"/>
      <c r="K21" s="8"/>
      <c r="L21" s="7"/>
      <c r="M21" s="8"/>
      <c r="N21" s="7"/>
      <c r="O21" s="8"/>
      <c r="P21" s="7"/>
      <c r="Q21" s="7"/>
      <c r="R21" s="8"/>
      <c r="S21" s="7"/>
      <c r="T21" s="9"/>
      <c r="U21" s="7"/>
      <c r="V21" s="8"/>
      <c r="W21" s="7"/>
      <c r="X21" s="7"/>
      <c r="Y21" s="8"/>
      <c r="Z21" s="7"/>
      <c r="AA21" s="57"/>
      <c r="AB21" s="62" t="s">
        <v>37</v>
      </c>
      <c r="AC21" s="62" t="s">
        <v>144</v>
      </c>
    </row>
    <row r="22" spans="1:29" ht="13.5" thickBot="1">
      <c r="A22" s="41" t="s">
        <v>1984</v>
      </c>
      <c r="B22" s="10" t="s">
        <v>1215</v>
      </c>
      <c r="D22" s="51" t="s">
        <v>149</v>
      </c>
      <c r="E22" s="51" t="s">
        <v>543</v>
      </c>
      <c r="F22" s="7"/>
      <c r="G22" s="8"/>
      <c r="H22" s="7"/>
      <c r="I22" s="39" t="s">
        <v>1218</v>
      </c>
      <c r="J22" s="7"/>
      <c r="K22" s="8"/>
      <c r="L22" s="7"/>
      <c r="M22" s="8"/>
      <c r="N22" s="7"/>
      <c r="O22" s="8"/>
      <c r="P22" s="7"/>
      <c r="Q22" s="7"/>
      <c r="R22" s="8"/>
      <c r="S22" s="7"/>
      <c r="T22" s="9"/>
      <c r="U22" s="7"/>
      <c r="V22" s="8"/>
      <c r="W22" s="7"/>
      <c r="X22" s="7"/>
      <c r="Y22" s="8"/>
      <c r="Z22" s="7"/>
      <c r="AA22" s="57"/>
      <c r="AB22" s="62" t="s">
        <v>37</v>
      </c>
      <c r="AC22" s="62" t="s">
        <v>149</v>
      </c>
    </row>
    <row r="23" spans="1:29" ht="13.5" thickBot="1">
      <c r="A23" s="41" t="s">
        <v>2235</v>
      </c>
      <c r="B23" s="10" t="s">
        <v>1217</v>
      </c>
      <c r="D23" s="51" t="s">
        <v>197</v>
      </c>
      <c r="E23" s="51" t="s">
        <v>661</v>
      </c>
      <c r="F23" s="7"/>
      <c r="G23" s="8"/>
      <c r="H23" s="7"/>
      <c r="I23" s="30" t="s">
        <v>336</v>
      </c>
      <c r="J23" s="7"/>
      <c r="K23" s="8"/>
      <c r="L23" s="7"/>
      <c r="M23" s="8"/>
      <c r="N23" s="7"/>
      <c r="O23" s="8"/>
      <c r="P23" s="7"/>
      <c r="Q23" s="7"/>
      <c r="R23" s="8"/>
      <c r="S23" s="7"/>
      <c r="T23" s="9"/>
      <c r="U23" s="7"/>
      <c r="V23" s="8"/>
      <c r="W23" s="7"/>
      <c r="X23" s="7"/>
      <c r="Y23" s="8"/>
      <c r="Z23" s="7"/>
      <c r="AA23" s="57"/>
      <c r="AB23" s="62" t="s">
        <v>37</v>
      </c>
      <c r="AC23" s="62" t="s">
        <v>197</v>
      </c>
    </row>
    <row r="24" spans="1:29" ht="13.5" thickBot="1">
      <c r="A24" s="41" t="s">
        <v>2236</v>
      </c>
      <c r="B24" s="10" t="s">
        <v>1219</v>
      </c>
      <c r="D24" s="51" t="s">
        <v>473</v>
      </c>
      <c r="E24" s="51" t="s">
        <v>622</v>
      </c>
      <c r="F24" s="7"/>
      <c r="G24" s="8"/>
      <c r="H24" s="7"/>
      <c r="I24" s="30" t="s">
        <v>706</v>
      </c>
      <c r="J24" s="7"/>
      <c r="K24" s="8"/>
      <c r="L24" s="7"/>
      <c r="M24" s="8"/>
      <c r="N24" s="7"/>
      <c r="O24" s="8"/>
      <c r="P24" s="7"/>
      <c r="Q24" s="7"/>
      <c r="R24" s="8"/>
      <c r="S24" s="7"/>
      <c r="T24" s="9"/>
      <c r="U24" s="7"/>
      <c r="V24" s="8"/>
      <c r="W24" s="7"/>
      <c r="X24" s="7"/>
      <c r="Y24" s="8"/>
      <c r="Z24" s="7"/>
      <c r="AA24" s="57"/>
      <c r="AB24" s="62" t="s">
        <v>37</v>
      </c>
      <c r="AC24" s="62" t="s">
        <v>151</v>
      </c>
    </row>
    <row r="25" spans="1:29" ht="13.5" thickBot="1">
      <c r="A25" s="41" t="s">
        <v>2379</v>
      </c>
      <c r="B25" s="10" t="s">
        <v>1220</v>
      </c>
      <c r="D25" s="51" t="s">
        <v>710</v>
      </c>
      <c r="E25" s="51" t="s">
        <v>615</v>
      </c>
      <c r="F25" s="7"/>
      <c r="G25" s="8"/>
      <c r="H25" s="7"/>
      <c r="I25" s="39" t="s">
        <v>1222</v>
      </c>
      <c r="J25" s="7"/>
      <c r="K25" s="8"/>
      <c r="L25" s="7"/>
      <c r="M25" s="8"/>
      <c r="N25" s="7"/>
      <c r="O25" s="8"/>
      <c r="P25" s="7"/>
      <c r="Q25" s="7"/>
      <c r="R25" s="8"/>
      <c r="S25" s="7"/>
      <c r="T25" s="9"/>
      <c r="U25" s="7"/>
      <c r="V25" s="8"/>
      <c r="W25" s="7"/>
      <c r="X25" s="7"/>
      <c r="Y25" s="8"/>
      <c r="Z25" s="7"/>
      <c r="AA25" s="57"/>
      <c r="AB25" s="62" t="s">
        <v>37</v>
      </c>
      <c r="AC25" s="62" t="s">
        <v>1206</v>
      </c>
    </row>
    <row r="26" spans="1:29" ht="13.5" thickBot="1">
      <c r="A26" s="41" t="s">
        <v>2380</v>
      </c>
      <c r="B26" s="10" t="s">
        <v>295</v>
      </c>
      <c r="D26" s="51" t="s">
        <v>401</v>
      </c>
      <c r="E26" s="51" t="s">
        <v>606</v>
      </c>
      <c r="F26" s="7"/>
      <c r="G26" s="8"/>
      <c r="H26" s="7"/>
      <c r="I26" s="30" t="s">
        <v>463</v>
      </c>
      <c r="J26" s="7"/>
      <c r="K26" s="8"/>
      <c r="L26" s="7"/>
      <c r="M26" s="8"/>
      <c r="N26" s="7"/>
      <c r="O26" s="8"/>
      <c r="P26" s="7"/>
      <c r="Q26" s="7"/>
      <c r="R26" s="8"/>
      <c r="S26" s="7"/>
      <c r="T26" s="9"/>
      <c r="U26" s="7"/>
      <c r="V26" s="8"/>
      <c r="W26" s="7"/>
      <c r="X26" s="7"/>
      <c r="Y26" s="8"/>
      <c r="Z26" s="7"/>
      <c r="AA26" s="57"/>
      <c r="AB26" s="62" t="s">
        <v>37</v>
      </c>
      <c r="AC26" s="62" t="s">
        <v>165</v>
      </c>
    </row>
    <row r="27" spans="1:29" ht="13.5" thickBot="1">
      <c r="A27" s="41" t="s">
        <v>2381</v>
      </c>
      <c r="B27" s="10" t="s">
        <v>310</v>
      </c>
      <c r="D27" s="51" t="s">
        <v>151</v>
      </c>
      <c r="E27" s="51" t="s">
        <v>534</v>
      </c>
      <c r="F27" s="7"/>
      <c r="G27" s="8"/>
      <c r="H27" s="7"/>
      <c r="I27" s="30" t="s">
        <v>341</v>
      </c>
      <c r="J27" s="7"/>
      <c r="K27" s="8"/>
      <c r="L27" s="7"/>
      <c r="M27" s="8"/>
      <c r="N27" s="7"/>
      <c r="O27" s="8"/>
      <c r="P27" s="7"/>
      <c r="Q27" s="7"/>
      <c r="R27" s="8"/>
      <c r="S27" s="7"/>
      <c r="T27" s="9"/>
      <c r="U27" s="7"/>
      <c r="V27" s="8"/>
      <c r="W27" s="7"/>
      <c r="X27" s="7"/>
      <c r="Y27" s="8"/>
      <c r="Z27" s="7"/>
      <c r="AA27" s="57"/>
      <c r="AB27" s="62" t="s">
        <v>37</v>
      </c>
      <c r="AC27" s="62" t="s">
        <v>206</v>
      </c>
    </row>
    <row r="28" spans="1:29" ht="13.5" thickBot="1">
      <c r="A28" s="41" t="s">
        <v>2382</v>
      </c>
      <c r="B28" s="10" t="s">
        <v>1223</v>
      </c>
      <c r="D28" s="51" t="s">
        <v>701</v>
      </c>
      <c r="E28" s="51" t="s">
        <v>582</v>
      </c>
      <c r="F28" s="7"/>
      <c r="G28" s="8"/>
      <c r="H28" s="7"/>
      <c r="I28" s="30" t="s">
        <v>298</v>
      </c>
      <c r="J28" s="7"/>
      <c r="K28" s="8"/>
      <c r="L28" s="7"/>
      <c r="M28" s="8"/>
      <c r="N28" s="7"/>
      <c r="O28" s="8"/>
      <c r="P28" s="7"/>
      <c r="Q28" s="7"/>
      <c r="R28" s="8"/>
      <c r="S28" s="7"/>
      <c r="T28" s="9"/>
      <c r="U28" s="7"/>
      <c r="V28" s="8"/>
      <c r="W28" s="7"/>
      <c r="X28" s="7"/>
      <c r="Y28" s="8"/>
      <c r="Z28" s="7"/>
      <c r="AA28" s="57"/>
      <c r="AB28" s="62" t="s">
        <v>37</v>
      </c>
      <c r="AC28" s="62" t="s">
        <v>176</v>
      </c>
    </row>
    <row r="29" spans="1:29" ht="13.5" thickBot="1">
      <c r="A29" s="65"/>
      <c r="B29" s="10" t="s">
        <v>1224</v>
      </c>
      <c r="C29" s="65"/>
      <c r="D29" s="51" t="s">
        <v>721</v>
      </c>
      <c r="E29" s="51" t="s">
        <v>589</v>
      </c>
      <c r="F29" s="7"/>
      <c r="G29" s="8"/>
      <c r="H29" s="7"/>
      <c r="I29" s="30" t="s">
        <v>291</v>
      </c>
      <c r="J29" s="7"/>
      <c r="K29" s="8"/>
      <c r="L29" s="7"/>
      <c r="M29" s="8"/>
      <c r="N29" s="7"/>
      <c r="O29" s="8"/>
      <c r="P29" s="7"/>
      <c r="Q29" s="7"/>
      <c r="R29" s="8"/>
      <c r="S29" s="7"/>
      <c r="T29" s="9"/>
      <c r="U29" s="7"/>
      <c r="V29" s="8"/>
      <c r="W29" s="7"/>
      <c r="X29" s="7"/>
      <c r="Y29" s="8"/>
      <c r="Z29" s="7"/>
      <c r="AA29" s="57"/>
      <c r="AB29" s="62" t="s">
        <v>37</v>
      </c>
      <c r="AC29" s="62" t="s">
        <v>1137</v>
      </c>
    </row>
    <row r="30" spans="1:29" ht="13.5" thickBot="1">
      <c r="A30" s="65"/>
      <c r="B30" s="10" t="s">
        <v>184</v>
      </c>
      <c r="D30" s="51" t="s">
        <v>1125</v>
      </c>
      <c r="E30" s="51" t="s">
        <v>651</v>
      </c>
      <c r="F30" s="7"/>
      <c r="G30" s="8"/>
      <c r="H30" s="7"/>
      <c r="I30" s="39" t="s">
        <v>1226</v>
      </c>
      <c r="J30" s="7"/>
      <c r="K30" s="8"/>
      <c r="L30" s="7"/>
      <c r="M30" s="8"/>
      <c r="N30" s="7"/>
      <c r="O30" s="8"/>
      <c r="P30" s="7"/>
      <c r="Q30" s="7"/>
      <c r="R30" s="8"/>
      <c r="S30" s="7"/>
      <c r="T30" s="9"/>
      <c r="U30" s="7"/>
      <c r="V30" s="8"/>
      <c r="W30" s="7"/>
      <c r="X30" s="7"/>
      <c r="Y30" s="8"/>
      <c r="Z30" s="7"/>
      <c r="AA30" s="57"/>
      <c r="AB30" s="62" t="s">
        <v>37</v>
      </c>
      <c r="AC30" s="62" t="s">
        <v>1213</v>
      </c>
    </row>
    <row r="31" spans="1:29" ht="13.5" thickBot="1">
      <c r="B31" s="10" t="s">
        <v>1225</v>
      </c>
      <c r="D31" s="51" t="s">
        <v>404</v>
      </c>
      <c r="E31" s="51" t="s">
        <v>652</v>
      </c>
      <c r="F31" s="7"/>
      <c r="G31" s="8"/>
      <c r="H31" s="7"/>
      <c r="I31" s="30" t="s">
        <v>236</v>
      </c>
      <c r="J31" s="7"/>
      <c r="K31" s="8"/>
      <c r="L31" s="7"/>
      <c r="M31" s="8"/>
      <c r="N31" s="7"/>
      <c r="O31" s="8"/>
      <c r="P31" s="7"/>
      <c r="Q31" s="7"/>
      <c r="R31" s="8"/>
      <c r="S31" s="7"/>
      <c r="T31" s="9"/>
      <c r="U31" s="7"/>
      <c r="V31" s="8"/>
      <c r="W31" s="7"/>
      <c r="X31" s="7"/>
      <c r="Y31" s="8"/>
      <c r="Z31" s="7"/>
      <c r="AA31" s="57"/>
      <c r="AB31" s="62" t="s">
        <v>37</v>
      </c>
      <c r="AC31" s="62" t="s">
        <v>134</v>
      </c>
    </row>
    <row r="32" spans="1:29" ht="13.5" thickBot="1">
      <c r="B32" s="10" t="s">
        <v>1228</v>
      </c>
      <c r="D32" s="51" t="s">
        <v>454</v>
      </c>
      <c r="E32" s="51" t="s">
        <v>944</v>
      </c>
      <c r="F32" s="7"/>
      <c r="G32" s="8"/>
      <c r="H32" s="7"/>
      <c r="I32" s="30" t="s">
        <v>724</v>
      </c>
      <c r="J32" s="7"/>
      <c r="K32" s="8"/>
      <c r="L32" s="7"/>
      <c r="M32" s="8"/>
      <c r="N32" s="7"/>
      <c r="O32" s="8"/>
      <c r="P32" s="7"/>
      <c r="Q32" s="7"/>
      <c r="R32" s="8"/>
      <c r="S32" s="7"/>
      <c r="T32" s="9"/>
      <c r="U32" s="7"/>
      <c r="V32" s="8"/>
      <c r="W32" s="7"/>
      <c r="X32" s="7"/>
      <c r="Y32" s="8"/>
      <c r="Z32" s="7"/>
      <c r="AA32" s="57"/>
      <c r="AB32" s="62" t="s">
        <v>2686</v>
      </c>
      <c r="AC32" s="62" t="s">
        <v>321</v>
      </c>
    </row>
    <row r="33" spans="1:29" ht="13.5" thickBot="1">
      <c r="A33" s="65"/>
      <c r="B33" s="10" t="s">
        <v>1229</v>
      </c>
      <c r="D33" s="51" t="s">
        <v>165</v>
      </c>
      <c r="E33" s="51" t="s">
        <v>533</v>
      </c>
      <c r="F33" s="7"/>
      <c r="G33" s="8"/>
      <c r="H33" s="7"/>
      <c r="I33" s="18" t="s">
        <v>289</v>
      </c>
      <c r="J33" s="7"/>
      <c r="K33" s="8"/>
      <c r="L33" s="7"/>
      <c r="M33" s="8"/>
      <c r="N33" s="7"/>
      <c r="O33" s="8"/>
      <c r="P33" s="7"/>
      <c r="Q33" s="7"/>
      <c r="R33" s="8"/>
      <c r="S33" s="7"/>
      <c r="T33" s="9"/>
      <c r="U33" s="7"/>
      <c r="V33" s="8"/>
      <c r="W33" s="7"/>
      <c r="X33" s="7"/>
      <c r="Y33" s="8"/>
      <c r="Z33" s="7"/>
      <c r="AA33" s="57"/>
      <c r="AB33" s="62" t="s">
        <v>2686</v>
      </c>
      <c r="AC33" s="62" t="s">
        <v>307</v>
      </c>
    </row>
    <row r="34" spans="1:29" ht="13.5" thickBot="1">
      <c r="A34" s="65"/>
      <c r="B34" s="10" t="s">
        <v>1920</v>
      </c>
      <c r="D34" s="51" t="s">
        <v>356</v>
      </c>
      <c r="E34" s="51" t="s">
        <v>662</v>
      </c>
      <c r="F34" s="7"/>
      <c r="G34" s="8"/>
      <c r="H34" s="7"/>
      <c r="I34" s="18" t="s">
        <v>1659</v>
      </c>
      <c r="J34" s="7"/>
      <c r="K34" s="8"/>
      <c r="L34" s="7"/>
      <c r="M34" s="8"/>
      <c r="N34" s="7"/>
      <c r="O34" s="8"/>
      <c r="P34" s="7"/>
      <c r="Q34" s="7"/>
      <c r="R34" s="8"/>
      <c r="S34" s="7"/>
      <c r="T34" s="9"/>
      <c r="U34" s="7"/>
      <c r="V34" s="8"/>
      <c r="W34" s="7"/>
      <c r="X34" s="7"/>
      <c r="Y34" s="8"/>
      <c r="Z34" s="7"/>
      <c r="AA34" s="57"/>
      <c r="AB34" s="62" t="s">
        <v>2686</v>
      </c>
      <c r="AC34" s="62" t="s">
        <v>339</v>
      </c>
    </row>
    <row r="35" spans="1:29" ht="13.5" thickBot="1">
      <c r="A35" s="65"/>
      <c r="B35" s="10" t="s">
        <v>1230</v>
      </c>
      <c r="D35" s="51" t="s">
        <v>339</v>
      </c>
      <c r="E35" s="51" t="s">
        <v>620</v>
      </c>
      <c r="F35" s="7"/>
      <c r="G35" s="8"/>
      <c r="H35" s="7"/>
      <c r="I35" s="30" t="s">
        <v>1893</v>
      </c>
      <c r="J35" s="7"/>
      <c r="K35" s="8"/>
      <c r="L35" s="7"/>
      <c r="M35" s="8"/>
      <c r="N35" s="7"/>
      <c r="O35" s="8"/>
      <c r="P35" s="7"/>
      <c r="Q35" s="7"/>
      <c r="R35" s="8"/>
      <c r="S35" s="7"/>
      <c r="T35" s="9"/>
      <c r="U35" s="7"/>
      <c r="V35" s="8"/>
      <c r="W35" s="7"/>
      <c r="X35" s="7"/>
      <c r="Y35" s="8"/>
      <c r="Z35" s="7"/>
      <c r="AA35" s="57"/>
      <c r="AB35" s="62" t="s">
        <v>296</v>
      </c>
      <c r="AC35" s="62" t="s">
        <v>327</v>
      </c>
    </row>
    <row r="36" spans="1:29" ht="13.5" thickBot="1">
      <c r="A36" s="65"/>
      <c r="B36" s="10" t="s">
        <v>371</v>
      </c>
      <c r="D36" s="51" t="s">
        <v>206</v>
      </c>
      <c r="E36" s="51" t="s">
        <v>654</v>
      </c>
      <c r="F36" s="7"/>
      <c r="G36" s="8"/>
      <c r="H36" s="7"/>
      <c r="I36" s="30" t="s">
        <v>136</v>
      </c>
      <c r="J36" s="7"/>
      <c r="K36" s="8"/>
      <c r="L36" s="7"/>
      <c r="M36" s="8"/>
      <c r="N36" s="7"/>
      <c r="O36" s="8"/>
      <c r="P36" s="7"/>
      <c r="Q36" s="7"/>
      <c r="R36" s="8"/>
      <c r="S36" s="7"/>
      <c r="T36" s="9"/>
      <c r="U36" s="7"/>
      <c r="V36" s="8"/>
      <c r="W36" s="7"/>
      <c r="X36" s="7"/>
      <c r="Y36" s="8"/>
      <c r="Z36" s="7"/>
      <c r="AA36" s="57"/>
      <c r="AB36" s="62" t="s">
        <v>296</v>
      </c>
      <c r="AC36" s="62" t="s">
        <v>1221</v>
      </c>
    </row>
    <row r="37" spans="1:29" ht="13.5" thickBot="1">
      <c r="B37" s="10" t="s">
        <v>1231</v>
      </c>
      <c r="D37" s="51" t="s">
        <v>297</v>
      </c>
      <c r="E37" s="51" t="s">
        <v>570</v>
      </c>
      <c r="F37" s="7"/>
      <c r="G37" s="8"/>
      <c r="H37" s="7"/>
      <c r="I37" s="30" t="s">
        <v>1893</v>
      </c>
      <c r="J37" s="7"/>
      <c r="K37" s="8"/>
      <c r="L37" s="7"/>
      <c r="M37" s="8"/>
      <c r="N37" s="7"/>
      <c r="O37" s="8"/>
      <c r="P37" s="7"/>
      <c r="Q37" s="7"/>
      <c r="R37" s="8"/>
      <c r="S37" s="7"/>
      <c r="T37" s="9"/>
      <c r="U37" s="7"/>
      <c r="V37" s="8"/>
      <c r="W37" s="7"/>
      <c r="X37" s="7"/>
      <c r="Y37" s="8"/>
      <c r="Z37" s="7"/>
      <c r="AA37" s="57"/>
      <c r="AB37" s="62" t="s">
        <v>296</v>
      </c>
      <c r="AC37" s="62" t="s">
        <v>1227</v>
      </c>
    </row>
    <row r="38" spans="1:29" ht="13.5" thickBot="1">
      <c r="B38" s="10" t="s">
        <v>301</v>
      </c>
      <c r="D38" s="51" t="s">
        <v>176</v>
      </c>
      <c r="E38" s="51" t="s">
        <v>604</v>
      </c>
      <c r="F38" s="7"/>
      <c r="G38" s="8"/>
      <c r="H38" s="7"/>
      <c r="I38" s="39" t="s">
        <v>791</v>
      </c>
      <c r="J38" s="7"/>
      <c r="K38" s="8"/>
      <c r="L38" s="7"/>
      <c r="M38" s="8"/>
      <c r="N38" s="7"/>
      <c r="O38" s="8"/>
      <c r="P38" s="7"/>
      <c r="Q38" s="7"/>
      <c r="R38" s="8"/>
      <c r="S38" s="7"/>
      <c r="T38" s="9"/>
      <c r="U38" s="7"/>
      <c r="V38" s="8"/>
      <c r="W38" s="7"/>
      <c r="X38" s="7"/>
      <c r="Y38" s="8"/>
      <c r="Z38" s="7"/>
      <c r="AA38" s="57"/>
      <c r="AB38" s="62" t="s">
        <v>296</v>
      </c>
      <c r="AC38" s="62" t="s">
        <v>1232</v>
      </c>
    </row>
    <row r="39" spans="1:29" ht="13.5" thickBot="1">
      <c r="B39" s="10" t="s">
        <v>1233</v>
      </c>
      <c r="D39" s="51" t="s">
        <v>134</v>
      </c>
      <c r="E39" s="51" t="s">
        <v>1235</v>
      </c>
      <c r="F39" s="7"/>
      <c r="G39" s="8"/>
      <c r="H39" s="7"/>
      <c r="I39" s="30" t="s">
        <v>233</v>
      </c>
      <c r="J39" s="7"/>
      <c r="K39" s="8"/>
      <c r="L39" s="7"/>
      <c r="M39" s="8"/>
      <c r="N39" s="7"/>
      <c r="O39" s="8"/>
      <c r="P39" s="7"/>
      <c r="Q39" s="7"/>
      <c r="R39" s="8"/>
      <c r="S39" s="7"/>
      <c r="T39" s="9"/>
      <c r="U39" s="7"/>
      <c r="V39" s="8"/>
      <c r="W39" s="7"/>
      <c r="X39" s="7"/>
      <c r="Y39" s="8"/>
      <c r="Z39" s="7"/>
      <c r="AA39" s="57"/>
      <c r="AB39" s="62" t="s">
        <v>296</v>
      </c>
      <c r="AC39" s="62" t="s">
        <v>1234</v>
      </c>
    </row>
    <row r="40" spans="1:29" ht="13.5" thickBot="1">
      <c r="B40" s="10" t="s">
        <v>368</v>
      </c>
      <c r="D40" s="51"/>
      <c r="E40" s="51" t="s">
        <v>633</v>
      </c>
      <c r="F40" s="7"/>
      <c r="G40" s="8"/>
      <c r="H40" s="7"/>
      <c r="I40" s="30" t="s">
        <v>238</v>
      </c>
      <c r="J40" s="7"/>
      <c r="K40" s="8"/>
      <c r="L40" s="7"/>
      <c r="M40" s="8"/>
      <c r="N40" s="7"/>
      <c r="O40" s="8"/>
      <c r="P40" s="7"/>
      <c r="Q40" s="7"/>
      <c r="R40" s="8"/>
      <c r="S40" s="7"/>
      <c r="T40" s="9"/>
      <c r="U40" s="7"/>
      <c r="V40" s="8"/>
      <c r="W40" s="7"/>
      <c r="X40" s="7"/>
      <c r="Y40" s="8"/>
      <c r="Z40" s="7"/>
      <c r="AA40" s="57"/>
      <c r="AB40" s="62" t="s">
        <v>700</v>
      </c>
      <c r="AC40" s="62" t="s">
        <v>1236</v>
      </c>
    </row>
    <row r="41" spans="1:29" ht="13.5" thickBot="1">
      <c r="B41" s="10" t="s">
        <v>1237</v>
      </c>
      <c r="D41" s="51"/>
      <c r="E41" s="51" t="s">
        <v>648</v>
      </c>
      <c r="F41" s="7"/>
      <c r="G41" s="8"/>
      <c r="H41" s="7"/>
      <c r="I41" s="30" t="s">
        <v>186</v>
      </c>
      <c r="J41" s="7"/>
      <c r="K41" s="8"/>
      <c r="L41" s="7"/>
      <c r="M41" s="8"/>
      <c r="N41" s="7"/>
      <c r="O41" s="8"/>
      <c r="P41" s="7"/>
      <c r="Q41" s="7"/>
      <c r="R41" s="8"/>
      <c r="S41" s="7"/>
      <c r="T41" s="9"/>
      <c r="U41" s="7"/>
      <c r="V41" s="8"/>
      <c r="W41" s="7"/>
      <c r="X41" s="7"/>
      <c r="Y41" s="8"/>
      <c r="Z41" s="7"/>
      <c r="AA41" s="57"/>
      <c r="AB41" s="62" t="s">
        <v>700</v>
      </c>
      <c r="AC41" s="62" t="s">
        <v>1238</v>
      </c>
    </row>
    <row r="42" spans="1:29" ht="13.5" thickBot="1">
      <c r="B42" s="10" t="s">
        <v>1239</v>
      </c>
      <c r="D42" s="51"/>
      <c r="E42" s="51" t="s">
        <v>584</v>
      </c>
      <c r="F42" s="7"/>
      <c r="G42" s="8"/>
      <c r="H42" s="7"/>
      <c r="I42" s="30" t="s">
        <v>191</v>
      </c>
      <c r="J42" s="7"/>
      <c r="K42" s="8"/>
      <c r="L42" s="7"/>
      <c r="M42" s="8"/>
      <c r="N42" s="7"/>
      <c r="O42" s="8"/>
      <c r="P42" s="7"/>
      <c r="Q42" s="7"/>
      <c r="R42" s="8"/>
      <c r="S42" s="7"/>
      <c r="T42" s="9"/>
      <c r="U42" s="7"/>
      <c r="V42" s="8"/>
      <c r="W42" s="7"/>
      <c r="X42" s="7"/>
      <c r="Y42" s="8"/>
      <c r="Z42" s="7"/>
      <c r="AA42" s="57"/>
      <c r="AB42" s="62" t="s">
        <v>700</v>
      </c>
      <c r="AC42" s="62" t="s">
        <v>1240</v>
      </c>
    </row>
    <row r="43" spans="1:29" ht="13.5" thickBot="1">
      <c r="B43" s="432" t="s">
        <v>2308</v>
      </c>
      <c r="D43" s="51"/>
      <c r="E43" s="51" t="s">
        <v>546</v>
      </c>
      <c r="F43" s="7"/>
      <c r="G43" s="8"/>
      <c r="H43" s="7"/>
      <c r="I43" s="30" t="s">
        <v>200</v>
      </c>
      <c r="J43" s="7"/>
      <c r="K43" s="8"/>
      <c r="L43" s="7"/>
      <c r="M43" s="8"/>
      <c r="N43" s="7"/>
      <c r="O43" s="8"/>
      <c r="P43" s="7"/>
      <c r="Q43" s="7"/>
      <c r="R43" s="8"/>
      <c r="S43" s="7"/>
      <c r="T43" s="9"/>
      <c r="U43" s="7"/>
      <c r="V43" s="8"/>
      <c r="W43" s="7"/>
      <c r="X43" s="7"/>
      <c r="Y43" s="8"/>
      <c r="Z43" s="7"/>
      <c r="AA43" s="57"/>
      <c r="AB43" s="62" t="s">
        <v>700</v>
      </c>
      <c r="AC43" s="62" t="s">
        <v>1242</v>
      </c>
    </row>
    <row r="44" spans="1:29" ht="13.5" thickBot="1">
      <c r="B44" s="432" t="s">
        <v>2683</v>
      </c>
      <c r="D44" s="51"/>
      <c r="E44" s="51" t="s">
        <v>653</v>
      </c>
      <c r="F44" s="7"/>
      <c r="G44" s="8"/>
      <c r="H44" s="7"/>
      <c r="I44" s="30" t="s">
        <v>714</v>
      </c>
      <c r="J44" s="7"/>
      <c r="K44" s="8"/>
      <c r="L44" s="7"/>
      <c r="M44" s="8"/>
      <c r="N44" s="7"/>
      <c r="O44" s="8"/>
      <c r="P44" s="7"/>
      <c r="Q44" s="7"/>
      <c r="R44" s="8"/>
      <c r="S44" s="7"/>
      <c r="T44" s="9"/>
      <c r="U44" s="7"/>
      <c r="V44" s="8"/>
      <c r="W44" s="7"/>
      <c r="X44" s="7"/>
      <c r="Y44" s="8"/>
      <c r="Z44" s="7"/>
      <c r="AA44" s="57"/>
      <c r="AB44" s="62" t="s">
        <v>700</v>
      </c>
      <c r="AC44" s="62" t="s">
        <v>1243</v>
      </c>
    </row>
    <row r="45" spans="1:29" ht="13.5" thickBot="1">
      <c r="B45" s="432" t="s">
        <v>2540</v>
      </c>
      <c r="D45" s="51"/>
      <c r="E45" s="51" t="s">
        <v>547</v>
      </c>
      <c r="F45" s="7"/>
      <c r="G45" s="8"/>
      <c r="H45" s="7"/>
      <c r="I45" s="30" t="s">
        <v>189</v>
      </c>
      <c r="J45" s="7"/>
      <c r="K45" s="8"/>
      <c r="L45" s="7"/>
      <c r="M45" s="8"/>
      <c r="N45" s="7"/>
      <c r="O45" s="8"/>
      <c r="P45" s="7"/>
      <c r="Q45" s="7"/>
      <c r="R45" s="8"/>
      <c r="S45" s="7"/>
      <c r="T45" s="9"/>
      <c r="U45" s="7"/>
      <c r="V45" s="8"/>
      <c r="W45" s="7"/>
      <c r="X45" s="7"/>
      <c r="Y45" s="8"/>
      <c r="Z45" s="7"/>
      <c r="AA45" s="57"/>
      <c r="AB45" s="62" t="s">
        <v>700</v>
      </c>
      <c r="AC45" s="62" t="s">
        <v>719</v>
      </c>
    </row>
    <row r="46" spans="1:29" ht="13.5" thickBot="1">
      <c r="B46" s="10" t="s">
        <v>1241</v>
      </c>
      <c r="D46" s="51"/>
      <c r="E46" s="51" t="s">
        <v>943</v>
      </c>
      <c r="F46" s="7"/>
      <c r="G46" s="8"/>
      <c r="H46" s="7"/>
      <c r="I46" s="30" t="s">
        <v>204</v>
      </c>
      <c r="J46" s="7"/>
      <c r="K46" s="8"/>
      <c r="L46" s="7"/>
      <c r="M46" s="8"/>
      <c r="N46" s="7"/>
      <c r="O46" s="8"/>
      <c r="P46" s="7"/>
      <c r="Q46" s="7"/>
      <c r="R46" s="8"/>
      <c r="S46" s="7"/>
      <c r="T46" s="9"/>
      <c r="U46" s="7"/>
      <c r="V46" s="8"/>
      <c r="W46" s="7"/>
      <c r="X46" s="7"/>
      <c r="Y46" s="8"/>
      <c r="Z46" s="7"/>
      <c r="AA46" s="57"/>
      <c r="AB46" s="62" t="s">
        <v>700</v>
      </c>
      <c r="AC46" s="62" t="s">
        <v>741</v>
      </c>
    </row>
    <row r="47" spans="1:29" ht="13.5" thickBot="1">
      <c r="B47" s="10" t="s">
        <v>400</v>
      </c>
      <c r="D47" s="51"/>
      <c r="E47" s="51" t="s">
        <v>646</v>
      </c>
      <c r="F47" s="7"/>
      <c r="G47" s="8"/>
      <c r="H47" s="7"/>
      <c r="I47" s="30" t="s">
        <v>194</v>
      </c>
      <c r="J47" s="7"/>
      <c r="K47" s="8"/>
      <c r="L47" s="7"/>
      <c r="M47" s="8"/>
      <c r="N47" s="7"/>
      <c r="O47" s="8"/>
      <c r="P47" s="7"/>
      <c r="Q47" s="7"/>
      <c r="R47" s="8"/>
      <c r="S47" s="7"/>
      <c r="T47" s="9"/>
      <c r="U47" s="7"/>
      <c r="V47" s="8"/>
      <c r="W47" s="7"/>
      <c r="X47" s="7"/>
      <c r="Y47" s="8"/>
      <c r="Z47" s="7"/>
      <c r="AA47" s="57"/>
      <c r="AB47" s="62" t="s">
        <v>700</v>
      </c>
      <c r="AC47" s="62" t="s">
        <v>1246</v>
      </c>
    </row>
    <row r="48" spans="1:29" ht="13.5" thickBot="1">
      <c r="B48" s="10" t="s">
        <v>289</v>
      </c>
      <c r="D48" s="51"/>
      <c r="E48" s="51" t="s">
        <v>920</v>
      </c>
      <c r="F48" s="7"/>
      <c r="G48" s="8"/>
      <c r="H48" s="7"/>
      <c r="I48" s="30" t="s">
        <v>718</v>
      </c>
      <c r="J48" s="7"/>
      <c r="K48" s="8"/>
      <c r="L48" s="7"/>
      <c r="M48" s="8"/>
      <c r="N48" s="7"/>
      <c r="O48" s="8"/>
      <c r="P48" s="7"/>
      <c r="Q48" s="7"/>
      <c r="R48" s="8"/>
      <c r="S48" s="7"/>
      <c r="T48" s="9"/>
      <c r="U48" s="7"/>
      <c r="V48" s="8"/>
      <c r="W48" s="7"/>
      <c r="X48" s="7"/>
      <c r="Y48" s="8"/>
      <c r="Z48" s="7"/>
      <c r="AA48" s="57"/>
      <c r="AB48" s="62" t="s">
        <v>700</v>
      </c>
      <c r="AC48" s="62" t="s">
        <v>1248</v>
      </c>
    </row>
    <row r="49" spans="2:29" ht="13.5" thickBot="1">
      <c r="B49" s="10" t="s">
        <v>1244</v>
      </c>
      <c r="D49" s="51"/>
      <c r="E49" s="51" t="s">
        <v>586</v>
      </c>
      <c r="F49" s="7"/>
      <c r="G49" s="8"/>
      <c r="H49" s="7"/>
      <c r="I49" s="30" t="s">
        <v>737</v>
      </c>
      <c r="J49" s="7"/>
      <c r="K49" s="8"/>
      <c r="L49" s="7"/>
      <c r="M49" s="8"/>
      <c r="N49" s="7"/>
      <c r="O49" s="8"/>
      <c r="P49" s="7"/>
      <c r="Q49" s="7"/>
      <c r="R49" s="8"/>
      <c r="S49" s="7"/>
      <c r="T49" s="9"/>
      <c r="U49" s="7"/>
      <c r="V49" s="8"/>
      <c r="W49" s="7"/>
      <c r="X49" s="7"/>
      <c r="Y49" s="8"/>
      <c r="Z49" s="7"/>
      <c r="AA49" s="57"/>
      <c r="AB49" s="62" t="s">
        <v>700</v>
      </c>
      <c r="AC49" s="62" t="s">
        <v>1249</v>
      </c>
    </row>
    <row r="50" spans="2:29" ht="13.5" thickBot="1">
      <c r="B50" s="10" t="s">
        <v>1245</v>
      </c>
      <c r="D50" s="51"/>
      <c r="E50" s="51" t="s">
        <v>574</v>
      </c>
      <c r="F50" s="7"/>
      <c r="G50" s="8"/>
      <c r="H50" s="7"/>
      <c r="I50" s="30" t="s">
        <v>717</v>
      </c>
      <c r="J50" s="7"/>
      <c r="K50" s="8"/>
      <c r="L50" s="7"/>
      <c r="M50" s="8"/>
      <c r="N50" s="7"/>
      <c r="O50" s="8"/>
      <c r="P50" s="7"/>
      <c r="Q50" s="7"/>
      <c r="R50" s="8"/>
      <c r="S50" s="7"/>
      <c r="T50" s="9"/>
      <c r="U50" s="7"/>
      <c r="V50" s="8"/>
      <c r="W50" s="7"/>
      <c r="X50" s="7"/>
      <c r="Y50" s="8"/>
      <c r="Z50" s="7"/>
      <c r="AA50" s="57"/>
      <c r="AB50" s="62" t="s">
        <v>700</v>
      </c>
      <c r="AC50" s="62" t="s">
        <v>1250</v>
      </c>
    </row>
    <row r="51" spans="2:29" ht="13.5" thickBot="1">
      <c r="B51" s="10" t="s">
        <v>1247</v>
      </c>
      <c r="D51" s="51"/>
      <c r="E51" s="51" t="s">
        <v>535</v>
      </c>
      <c r="F51" s="7"/>
      <c r="G51" s="8"/>
      <c r="H51" s="7"/>
      <c r="I51" s="30" t="s">
        <v>210</v>
      </c>
      <c r="J51" s="7"/>
      <c r="K51" s="8"/>
      <c r="L51" s="7"/>
      <c r="M51" s="8"/>
      <c r="N51" s="7"/>
      <c r="O51" s="8"/>
      <c r="P51" s="7"/>
      <c r="Q51" s="7"/>
      <c r="R51" s="8"/>
      <c r="S51" s="7"/>
      <c r="T51" s="9"/>
      <c r="U51" s="7"/>
      <c r="V51" s="8"/>
      <c r="W51" s="7"/>
      <c r="X51" s="7"/>
      <c r="Y51" s="8"/>
      <c r="Z51" s="7"/>
      <c r="AA51" s="57"/>
      <c r="AB51" s="62" t="s">
        <v>700</v>
      </c>
      <c r="AC51" s="62" t="s">
        <v>1252</v>
      </c>
    </row>
    <row r="52" spans="2:29" ht="13.5" thickBot="1">
      <c r="B52" s="10" t="s">
        <v>234</v>
      </c>
      <c r="C52" s="65"/>
      <c r="D52" s="51"/>
      <c r="E52" s="51" t="s">
        <v>588</v>
      </c>
      <c r="F52" s="7"/>
      <c r="G52" s="8"/>
      <c r="H52" s="7"/>
      <c r="I52" s="30" t="s">
        <v>323</v>
      </c>
      <c r="J52" s="7"/>
      <c r="K52" s="8"/>
      <c r="L52" s="7"/>
      <c r="M52" s="8"/>
      <c r="N52" s="7"/>
      <c r="O52" s="8"/>
      <c r="P52" s="7"/>
      <c r="Q52" s="7"/>
      <c r="R52" s="8"/>
      <c r="S52" s="7"/>
      <c r="T52" s="9"/>
      <c r="U52" s="7"/>
      <c r="V52" s="8"/>
      <c r="W52" s="7"/>
      <c r="X52" s="7"/>
      <c r="Y52" s="8"/>
      <c r="Z52" s="7"/>
      <c r="AA52" s="57"/>
      <c r="AB52" s="62" t="s">
        <v>700</v>
      </c>
      <c r="AC52" s="62" t="s">
        <v>704</v>
      </c>
    </row>
    <row r="53" spans="2:29" ht="14.25" thickTop="1" thickBot="1">
      <c r="B53" s="10" t="s">
        <v>268</v>
      </c>
      <c r="D53" s="51"/>
      <c r="E53" s="51" t="s">
        <v>657</v>
      </c>
      <c r="F53" s="7"/>
      <c r="G53" s="8"/>
      <c r="H53" s="7"/>
      <c r="I53" s="6"/>
      <c r="J53" s="7"/>
      <c r="K53" s="8"/>
      <c r="L53" s="7"/>
      <c r="M53" s="8"/>
      <c r="N53" s="7"/>
      <c r="O53" s="8"/>
      <c r="P53" s="7"/>
      <c r="Q53" s="7"/>
      <c r="R53" s="8"/>
      <c r="S53" s="7"/>
      <c r="T53" s="9"/>
      <c r="U53" s="7"/>
      <c r="V53" s="8"/>
      <c r="W53" s="7"/>
      <c r="X53" s="7"/>
      <c r="Y53" s="8"/>
      <c r="Z53" s="7"/>
      <c r="AA53" s="57"/>
      <c r="AB53" s="62" t="s">
        <v>700</v>
      </c>
      <c r="AC53" s="62" t="s">
        <v>1255</v>
      </c>
    </row>
    <row r="54" spans="2:29" ht="14.25" thickTop="1" thickBot="1">
      <c r="B54" s="10" t="s">
        <v>1251</v>
      </c>
      <c r="D54" s="51"/>
      <c r="E54" s="51" t="s">
        <v>524</v>
      </c>
      <c r="F54" s="7"/>
      <c r="G54" s="8"/>
      <c r="H54" s="7"/>
      <c r="I54" s="6"/>
      <c r="J54" s="7"/>
      <c r="K54" s="8"/>
      <c r="L54" s="7"/>
      <c r="M54" s="8"/>
      <c r="N54" s="7"/>
      <c r="O54" s="8"/>
      <c r="P54" s="7"/>
      <c r="Q54" s="7"/>
      <c r="R54" s="8"/>
      <c r="S54" s="7"/>
      <c r="T54" s="9"/>
      <c r="U54" s="7"/>
      <c r="V54" s="8"/>
      <c r="W54" s="7"/>
      <c r="X54" s="7"/>
      <c r="Y54" s="8"/>
      <c r="Z54" s="7"/>
      <c r="AA54" s="57"/>
      <c r="AB54" s="62" t="s">
        <v>700</v>
      </c>
      <c r="AC54" s="62" t="s">
        <v>1256</v>
      </c>
    </row>
    <row r="55" spans="2:29" ht="14.25" thickTop="1" thickBot="1">
      <c r="B55" s="10" t="s">
        <v>1253</v>
      </c>
      <c r="D55" s="51"/>
      <c r="E55" s="51" t="s">
        <v>526</v>
      </c>
      <c r="F55" s="7"/>
      <c r="G55" s="8"/>
      <c r="H55" s="7"/>
      <c r="I55" s="6"/>
      <c r="J55" s="7"/>
      <c r="K55" s="8"/>
      <c r="L55" s="7"/>
      <c r="M55" s="8"/>
      <c r="N55" s="7"/>
      <c r="O55" s="8"/>
      <c r="P55" s="7"/>
      <c r="Q55" s="7"/>
      <c r="R55" s="8"/>
      <c r="S55" s="7"/>
      <c r="T55" s="9"/>
      <c r="U55" s="7"/>
      <c r="V55" s="8"/>
      <c r="W55" s="7"/>
      <c r="X55" s="7"/>
      <c r="Y55" s="8"/>
      <c r="Z55" s="7"/>
      <c r="AA55" s="57"/>
      <c r="AB55" s="62" t="s">
        <v>700</v>
      </c>
      <c r="AC55" s="62" t="s">
        <v>1257</v>
      </c>
    </row>
    <row r="56" spans="2:29" ht="14.25" thickTop="1" thickBot="1">
      <c r="B56" s="10" t="s">
        <v>233</v>
      </c>
      <c r="D56" s="51"/>
      <c r="E56" s="51" t="s">
        <v>600</v>
      </c>
      <c r="F56" s="7"/>
      <c r="G56" s="8"/>
      <c r="H56" s="7"/>
      <c r="I56" s="6"/>
      <c r="J56" s="7"/>
      <c r="K56" s="8"/>
      <c r="L56" s="7"/>
      <c r="M56" s="8"/>
      <c r="N56" s="7"/>
      <c r="O56" s="8"/>
      <c r="P56" s="7"/>
      <c r="Q56" s="7"/>
      <c r="R56" s="8"/>
      <c r="S56" s="7"/>
      <c r="T56" s="9"/>
      <c r="U56" s="7"/>
      <c r="V56" s="8"/>
      <c r="W56" s="7"/>
      <c r="X56" s="7"/>
      <c r="Y56" s="8"/>
      <c r="Z56" s="7"/>
      <c r="AA56" s="57"/>
      <c r="AB56" s="62" t="s">
        <v>700</v>
      </c>
      <c r="AC56" s="62" t="s">
        <v>1258</v>
      </c>
    </row>
    <row r="57" spans="2:29" ht="14.25" thickTop="1" thickBot="1">
      <c r="B57" s="549" t="s">
        <v>2864</v>
      </c>
      <c r="D57" s="51"/>
      <c r="E57" s="51" t="s">
        <v>602</v>
      </c>
      <c r="F57" s="7"/>
      <c r="G57" s="8"/>
      <c r="H57" s="7"/>
      <c r="I57" s="6"/>
      <c r="J57" s="7"/>
      <c r="K57" s="8"/>
      <c r="L57" s="7"/>
      <c r="M57" s="8"/>
      <c r="N57" s="7"/>
      <c r="O57" s="8"/>
      <c r="P57" s="7"/>
      <c r="Q57" s="7"/>
      <c r="R57" s="8"/>
      <c r="S57" s="7"/>
      <c r="T57" s="9"/>
      <c r="U57" s="7"/>
      <c r="V57" s="8"/>
      <c r="W57" s="7"/>
      <c r="X57" s="7"/>
      <c r="Y57" s="8"/>
      <c r="Z57" s="7"/>
      <c r="AA57" s="57"/>
      <c r="AB57" s="62" t="s">
        <v>700</v>
      </c>
      <c r="AC57" s="62" t="s">
        <v>1259</v>
      </c>
    </row>
    <row r="58" spans="2:29" ht="14.25" thickTop="1" thickBot="1">
      <c r="B58" s="10" t="s">
        <v>283</v>
      </c>
      <c r="D58" s="51"/>
      <c r="E58" s="51" t="s">
        <v>555</v>
      </c>
      <c r="F58" s="7"/>
      <c r="G58" s="8"/>
      <c r="H58" s="7"/>
      <c r="I58" s="6"/>
      <c r="J58" s="7"/>
      <c r="K58" s="8"/>
      <c r="L58" s="7"/>
      <c r="M58" s="8"/>
      <c r="N58" s="7"/>
      <c r="O58" s="8"/>
      <c r="P58" s="7"/>
      <c r="Q58" s="7"/>
      <c r="R58" s="8"/>
      <c r="S58" s="7"/>
      <c r="T58" s="9"/>
      <c r="U58" s="7"/>
      <c r="V58" s="8"/>
      <c r="W58" s="7"/>
      <c r="X58" s="7"/>
      <c r="Y58" s="8"/>
      <c r="Z58" s="7"/>
      <c r="AA58" s="57"/>
      <c r="AB58" s="62" t="s">
        <v>700</v>
      </c>
      <c r="AC58" s="62" t="s">
        <v>1260</v>
      </c>
    </row>
    <row r="59" spans="2:29" ht="14.25" thickTop="1" thickBot="1">
      <c r="B59" s="509" t="s">
        <v>2727</v>
      </c>
      <c r="D59" s="51"/>
      <c r="E59" s="51" t="s">
        <v>585</v>
      </c>
      <c r="F59" s="7"/>
      <c r="G59" s="8"/>
      <c r="H59" s="7"/>
      <c r="I59" s="6"/>
      <c r="J59" s="7"/>
      <c r="K59" s="8"/>
      <c r="L59" s="7"/>
      <c r="M59" s="8"/>
      <c r="N59" s="7"/>
      <c r="O59" s="8"/>
      <c r="P59" s="7"/>
      <c r="Q59" s="7"/>
      <c r="R59" s="8"/>
      <c r="S59" s="7"/>
      <c r="T59" s="9"/>
      <c r="U59" s="7"/>
      <c r="V59" s="8"/>
      <c r="W59" s="7"/>
      <c r="X59" s="7"/>
      <c r="Y59" s="8"/>
      <c r="Z59" s="7"/>
      <c r="AA59" s="57"/>
      <c r="AB59" s="62" t="s">
        <v>700</v>
      </c>
      <c r="AC59" s="62" t="s">
        <v>1261</v>
      </c>
    </row>
    <row r="60" spans="2:29" ht="14.25" thickTop="1" thickBot="1">
      <c r="B60" s="18" t="s">
        <v>1901</v>
      </c>
      <c r="D60" s="51"/>
      <c r="E60" s="51" t="s">
        <v>544</v>
      </c>
      <c r="F60" s="7"/>
      <c r="G60" s="8"/>
      <c r="H60" s="7"/>
      <c r="I60" s="6"/>
      <c r="J60" s="7"/>
      <c r="K60" s="8"/>
      <c r="L60" s="7"/>
      <c r="M60" s="8"/>
      <c r="N60" s="7"/>
      <c r="O60" s="8"/>
      <c r="P60" s="7"/>
      <c r="Q60" s="7"/>
      <c r="R60" s="8"/>
      <c r="S60" s="7"/>
      <c r="T60" s="9"/>
      <c r="U60" s="7"/>
      <c r="V60" s="8"/>
      <c r="W60" s="7"/>
      <c r="X60" s="7"/>
      <c r="Y60" s="8"/>
      <c r="Z60" s="7"/>
      <c r="AA60" s="57"/>
      <c r="AB60" s="62" t="s">
        <v>700</v>
      </c>
      <c r="AC60" s="62" t="s">
        <v>1262</v>
      </c>
    </row>
    <row r="61" spans="2:29" ht="14.25" thickTop="1" thickBot="1">
      <c r="B61" s="10"/>
      <c r="D61" s="51"/>
      <c r="E61" s="51" t="s">
        <v>945</v>
      </c>
      <c r="F61" s="7"/>
      <c r="G61" s="8"/>
      <c r="H61" s="7"/>
      <c r="I61" s="6"/>
      <c r="J61" s="7"/>
      <c r="K61" s="8"/>
      <c r="L61" s="7"/>
      <c r="M61" s="8"/>
      <c r="N61" s="7"/>
      <c r="O61" s="8"/>
      <c r="P61" s="7"/>
      <c r="Q61" s="7"/>
      <c r="R61" s="8"/>
      <c r="S61" s="7"/>
      <c r="T61" s="9"/>
      <c r="U61" s="7"/>
      <c r="V61" s="8"/>
      <c r="W61" s="7"/>
      <c r="X61" s="7"/>
      <c r="Y61" s="8"/>
      <c r="Z61" s="7"/>
      <c r="AA61" s="57"/>
      <c r="AB61" s="62" t="s">
        <v>700</v>
      </c>
      <c r="AC61" s="62" t="s">
        <v>1263</v>
      </c>
    </row>
    <row r="62" spans="2:29" ht="14.25" thickTop="1" thickBot="1">
      <c r="B62" s="10"/>
      <c r="D62" s="51"/>
      <c r="E62" s="51" t="s">
        <v>579</v>
      </c>
      <c r="F62" s="7"/>
      <c r="G62" s="8"/>
      <c r="H62" s="7"/>
      <c r="I62" s="6"/>
      <c r="J62" s="7"/>
      <c r="K62" s="8"/>
      <c r="L62" s="7"/>
      <c r="M62" s="8"/>
      <c r="N62" s="7"/>
      <c r="O62" s="8"/>
      <c r="P62" s="7"/>
      <c r="Q62" s="7"/>
      <c r="R62" s="8"/>
      <c r="S62" s="7"/>
      <c r="T62" s="9"/>
      <c r="U62" s="7"/>
      <c r="V62" s="8"/>
      <c r="W62" s="7"/>
      <c r="X62" s="7"/>
      <c r="Y62" s="8"/>
      <c r="Z62" s="7"/>
      <c r="AA62" s="57"/>
      <c r="AB62" s="62" t="s">
        <v>700</v>
      </c>
      <c r="AC62" s="62" t="s">
        <v>707</v>
      </c>
    </row>
    <row r="63" spans="2:29" ht="14.25" thickTop="1" thickBot="1">
      <c r="B63" s="10"/>
      <c r="D63" s="51"/>
      <c r="E63" s="51" t="s">
        <v>578</v>
      </c>
      <c r="F63" s="7"/>
      <c r="G63" s="8"/>
      <c r="H63" s="7"/>
      <c r="I63" s="6"/>
      <c r="J63" s="7"/>
      <c r="K63" s="8"/>
      <c r="L63" s="7"/>
      <c r="M63" s="8"/>
      <c r="N63" s="7"/>
      <c r="O63" s="8"/>
      <c r="P63" s="7"/>
      <c r="Q63" s="7"/>
      <c r="R63" s="8"/>
      <c r="S63" s="7"/>
      <c r="T63" s="9"/>
      <c r="U63" s="7"/>
      <c r="V63" s="8"/>
      <c r="W63" s="7"/>
      <c r="X63" s="7"/>
      <c r="Y63" s="8"/>
      <c r="Z63" s="7"/>
      <c r="AA63" s="57"/>
      <c r="AB63" s="62" t="s">
        <v>700</v>
      </c>
      <c r="AC63" s="62" t="s">
        <v>1264</v>
      </c>
    </row>
    <row r="64" spans="2:29" ht="14.25" thickTop="1" thickBot="1">
      <c r="B64" s="10"/>
      <c r="D64" s="51"/>
      <c r="E64" s="51" t="s">
        <v>527</v>
      </c>
      <c r="F64" s="7"/>
      <c r="G64" s="8"/>
      <c r="H64" s="7"/>
      <c r="I64" s="6"/>
      <c r="J64" s="7"/>
      <c r="K64" s="8"/>
      <c r="L64" s="7"/>
      <c r="M64" s="8"/>
      <c r="N64" s="7"/>
      <c r="O64" s="8"/>
      <c r="P64" s="7"/>
      <c r="Q64" s="7"/>
      <c r="R64" s="8"/>
      <c r="S64" s="7"/>
      <c r="T64" s="9"/>
      <c r="U64" s="7"/>
      <c r="V64" s="8"/>
      <c r="W64" s="7"/>
      <c r="X64" s="7"/>
      <c r="Y64" s="8"/>
      <c r="Z64" s="7"/>
      <c r="AA64" s="57"/>
      <c r="AB64" s="62" t="s">
        <v>700</v>
      </c>
      <c r="AC64" s="62" t="s">
        <v>1265</v>
      </c>
    </row>
    <row r="65" spans="2:29" ht="14.25" thickTop="1" thickBot="1">
      <c r="B65" s="10"/>
      <c r="D65" s="51"/>
      <c r="E65" s="51" t="s">
        <v>532</v>
      </c>
      <c r="F65" s="7"/>
      <c r="G65" s="8"/>
      <c r="H65" s="7"/>
      <c r="I65" s="6"/>
      <c r="J65" s="7"/>
      <c r="K65" s="8"/>
      <c r="L65" s="7"/>
      <c r="M65" s="8"/>
      <c r="N65" s="7"/>
      <c r="O65" s="8"/>
      <c r="P65" s="7"/>
      <c r="Q65" s="7"/>
      <c r="R65" s="8"/>
      <c r="S65" s="7"/>
      <c r="T65" s="9"/>
      <c r="U65" s="7"/>
      <c r="V65" s="8"/>
      <c r="W65" s="7"/>
      <c r="X65" s="7"/>
      <c r="Y65" s="8"/>
      <c r="Z65" s="7"/>
      <c r="AA65" s="57"/>
      <c r="AB65" s="62" t="s">
        <v>700</v>
      </c>
      <c r="AC65" s="62" t="s">
        <v>1266</v>
      </c>
    </row>
    <row r="66" spans="2:29" ht="14.25" thickTop="1" thickBot="1">
      <c r="B66" s="10"/>
      <c r="D66" s="51"/>
      <c r="E66" s="51" t="s">
        <v>590</v>
      </c>
      <c r="F66" s="7"/>
      <c r="G66" s="8"/>
      <c r="H66" s="7"/>
      <c r="I66" s="6"/>
      <c r="J66" s="7"/>
      <c r="K66" s="8"/>
      <c r="L66" s="7"/>
      <c r="M66" s="8"/>
      <c r="N66" s="7"/>
      <c r="O66" s="8"/>
      <c r="P66" s="7"/>
      <c r="Q66" s="7"/>
      <c r="R66" s="8"/>
      <c r="S66" s="7"/>
      <c r="T66" s="9"/>
      <c r="U66" s="7"/>
      <c r="V66" s="8"/>
      <c r="W66" s="7"/>
      <c r="X66" s="7"/>
      <c r="Y66" s="8"/>
      <c r="Z66" s="7"/>
      <c r="AA66" s="57"/>
      <c r="AB66" s="62" t="s">
        <v>700</v>
      </c>
      <c r="AC66" s="62" t="s">
        <v>1267</v>
      </c>
    </row>
    <row r="67" spans="2:29" ht="14.25" thickTop="1" thickBot="1">
      <c r="B67" s="10"/>
      <c r="D67" s="51"/>
      <c r="E67" s="51" t="s">
        <v>352</v>
      </c>
      <c r="F67" s="7"/>
      <c r="G67" s="8"/>
      <c r="H67" s="7"/>
      <c r="I67" s="6"/>
      <c r="J67" s="7"/>
      <c r="K67" s="8"/>
      <c r="L67" s="7"/>
      <c r="M67" s="8"/>
      <c r="N67" s="7"/>
      <c r="O67" s="8"/>
      <c r="P67" s="7"/>
      <c r="Q67" s="7"/>
      <c r="R67" s="8"/>
      <c r="S67" s="7"/>
      <c r="T67" s="9"/>
      <c r="U67" s="7"/>
      <c r="V67" s="8"/>
      <c r="W67" s="7"/>
      <c r="X67" s="7"/>
      <c r="Y67" s="8"/>
      <c r="Z67" s="7"/>
      <c r="AA67" s="57"/>
      <c r="AB67" s="62" t="s">
        <v>700</v>
      </c>
      <c r="AC67" s="62" t="s">
        <v>710</v>
      </c>
    </row>
    <row r="68" spans="2:29" ht="14.25" thickTop="1" thickBot="1">
      <c r="B68" s="10"/>
      <c r="D68" s="51"/>
      <c r="E68" s="51" t="s">
        <v>572</v>
      </c>
      <c r="F68" s="7"/>
      <c r="G68" s="8"/>
      <c r="H68" s="7"/>
      <c r="I68" s="6"/>
      <c r="J68" s="7"/>
      <c r="K68" s="8"/>
      <c r="L68" s="7"/>
      <c r="M68" s="8"/>
      <c r="N68" s="7"/>
      <c r="O68" s="8"/>
      <c r="P68" s="7"/>
      <c r="Q68" s="7"/>
      <c r="R68" s="8"/>
      <c r="S68" s="7"/>
      <c r="T68" s="9"/>
      <c r="U68" s="7"/>
      <c r="V68" s="8"/>
      <c r="W68" s="7"/>
      <c r="X68" s="7"/>
      <c r="Y68" s="8"/>
      <c r="Z68" s="7"/>
      <c r="AA68" s="57"/>
      <c r="AB68" s="62" t="s">
        <v>700</v>
      </c>
      <c r="AC68" s="62" t="s">
        <v>1268</v>
      </c>
    </row>
    <row r="69" spans="2:29" ht="14.25" thickTop="1" thickBot="1">
      <c r="B69" s="10"/>
      <c r="D69" s="66"/>
      <c r="E69" s="51" t="s">
        <v>641</v>
      </c>
      <c r="F69" s="7"/>
      <c r="G69" s="8"/>
      <c r="H69" s="7"/>
      <c r="I69" s="6"/>
      <c r="J69" s="7"/>
      <c r="K69" s="8"/>
      <c r="L69" s="7"/>
      <c r="M69" s="8"/>
      <c r="N69" s="7"/>
      <c r="O69" s="8"/>
      <c r="P69" s="7"/>
      <c r="Q69" s="7"/>
      <c r="R69" s="8"/>
      <c r="S69" s="7"/>
      <c r="T69" s="9"/>
      <c r="U69" s="7"/>
      <c r="V69" s="8"/>
      <c r="W69" s="7"/>
      <c r="X69" s="7"/>
      <c r="Y69" s="8"/>
      <c r="Z69" s="7"/>
      <c r="AA69" s="57"/>
      <c r="AB69" s="62" t="s">
        <v>700</v>
      </c>
      <c r="AC69" s="62" t="s">
        <v>701</v>
      </c>
    </row>
    <row r="70" spans="2:29" ht="14.25" thickTop="1" thickBot="1">
      <c r="B70" s="10"/>
      <c r="D70" s="66"/>
      <c r="E70" s="51" t="s">
        <v>919</v>
      </c>
      <c r="F70" s="7"/>
      <c r="G70" s="8"/>
      <c r="H70" s="7"/>
      <c r="I70" s="6"/>
      <c r="J70" s="7"/>
      <c r="K70" s="8"/>
      <c r="L70" s="7"/>
      <c r="M70" s="8"/>
      <c r="N70" s="7"/>
      <c r="O70" s="8"/>
      <c r="P70" s="7"/>
      <c r="Q70" s="7"/>
      <c r="R70" s="8"/>
      <c r="S70" s="7"/>
      <c r="T70" s="9"/>
      <c r="U70" s="7"/>
      <c r="V70" s="8"/>
      <c r="W70" s="7"/>
      <c r="X70" s="7"/>
      <c r="Y70" s="8"/>
      <c r="Z70" s="7"/>
      <c r="AA70" s="57"/>
      <c r="AB70" s="62" t="s">
        <v>700</v>
      </c>
      <c r="AC70" s="62" t="s">
        <v>1269</v>
      </c>
    </row>
    <row r="71" spans="2:29" ht="14.25" thickTop="1" thickBot="1">
      <c r="B71" s="10"/>
      <c r="D71" s="66"/>
      <c r="E71" s="51" t="s">
        <v>669</v>
      </c>
      <c r="F71" s="7"/>
      <c r="G71" s="8"/>
      <c r="H71" s="7"/>
      <c r="I71" s="6"/>
      <c r="J71" s="7"/>
      <c r="K71" s="8"/>
      <c r="L71" s="7"/>
      <c r="M71" s="8"/>
      <c r="N71" s="7"/>
      <c r="O71" s="8"/>
      <c r="P71" s="7"/>
      <c r="Q71" s="7"/>
      <c r="R71" s="8"/>
      <c r="S71" s="7"/>
      <c r="T71" s="9"/>
      <c r="U71" s="7"/>
      <c r="V71" s="8"/>
      <c r="W71" s="7"/>
      <c r="X71" s="7"/>
      <c r="Y71" s="8"/>
      <c r="Z71" s="7"/>
      <c r="AA71" s="57"/>
      <c r="AB71" s="62" t="s">
        <v>700</v>
      </c>
      <c r="AC71" s="62" t="s">
        <v>721</v>
      </c>
    </row>
    <row r="72" spans="2:29" ht="14.25" thickTop="1" thickBot="1">
      <c r="B72" s="10"/>
      <c r="D72" s="66"/>
      <c r="E72" s="51" t="s">
        <v>577</v>
      </c>
      <c r="F72" s="7"/>
      <c r="G72" s="8"/>
      <c r="H72" s="7"/>
      <c r="I72" s="6"/>
      <c r="J72" s="7"/>
      <c r="K72" s="8"/>
      <c r="L72" s="7"/>
      <c r="M72" s="8"/>
      <c r="N72" s="7"/>
      <c r="O72" s="8"/>
      <c r="P72" s="7"/>
      <c r="Q72" s="7"/>
      <c r="R72" s="8"/>
      <c r="S72" s="7"/>
      <c r="T72" s="9"/>
      <c r="U72" s="7"/>
      <c r="V72" s="8"/>
      <c r="W72" s="7"/>
      <c r="X72" s="7"/>
      <c r="Y72" s="8"/>
      <c r="Z72" s="7"/>
      <c r="AA72" s="57"/>
      <c r="AB72" s="62" t="s">
        <v>700</v>
      </c>
      <c r="AC72" s="62" t="s">
        <v>1270</v>
      </c>
    </row>
    <row r="73" spans="2:29" ht="14.25" thickTop="1" thickBot="1">
      <c r="B73" s="10"/>
      <c r="D73" s="66"/>
      <c r="E73" s="51" t="s">
        <v>362</v>
      </c>
      <c r="F73" s="7"/>
      <c r="G73" s="8"/>
      <c r="H73" s="7"/>
      <c r="I73" s="6"/>
      <c r="J73" s="7"/>
      <c r="K73" s="8"/>
      <c r="L73" s="7"/>
      <c r="M73" s="8"/>
      <c r="N73" s="7"/>
      <c r="O73" s="8"/>
      <c r="P73" s="7"/>
      <c r="Q73" s="7"/>
      <c r="R73" s="8"/>
      <c r="S73" s="7"/>
      <c r="T73" s="9"/>
      <c r="U73" s="7"/>
      <c r="V73" s="8"/>
      <c r="W73" s="7"/>
      <c r="X73" s="7"/>
      <c r="Y73" s="8"/>
      <c r="Z73" s="7"/>
      <c r="AA73" s="57"/>
      <c r="AB73" s="62" t="s">
        <v>700</v>
      </c>
      <c r="AC73" s="62" t="s">
        <v>1271</v>
      </c>
    </row>
    <row r="74" spans="2:29" ht="14.25" thickTop="1" thickBot="1">
      <c r="B74" s="10"/>
      <c r="D74" s="66"/>
      <c r="E74" s="51" t="s">
        <v>364</v>
      </c>
      <c r="F74" s="7"/>
      <c r="G74" s="8"/>
      <c r="H74" s="7"/>
      <c r="I74" s="6"/>
      <c r="J74" s="7"/>
      <c r="K74" s="8"/>
      <c r="L74" s="7"/>
      <c r="M74" s="8"/>
      <c r="N74" s="7"/>
      <c r="O74" s="8"/>
      <c r="P74" s="7"/>
      <c r="Q74" s="7"/>
      <c r="R74" s="8"/>
      <c r="S74" s="7"/>
      <c r="T74" s="9"/>
      <c r="U74" s="7"/>
      <c r="V74" s="8"/>
      <c r="W74" s="7"/>
      <c r="X74" s="7"/>
      <c r="Y74" s="8"/>
      <c r="Z74" s="7"/>
      <c r="AA74" s="57"/>
      <c r="AB74" s="62" t="s">
        <v>700</v>
      </c>
      <c r="AC74" s="62" t="s">
        <v>1272</v>
      </c>
    </row>
    <row r="75" spans="2:29" ht="14.25" thickTop="1" thickBot="1">
      <c r="B75" s="10"/>
      <c r="D75" s="66"/>
      <c r="E75" s="51" t="s">
        <v>369</v>
      </c>
      <c r="F75" s="7"/>
      <c r="G75" s="8"/>
      <c r="H75" s="7"/>
      <c r="I75" s="6"/>
      <c r="J75" s="7"/>
      <c r="K75" s="8"/>
      <c r="L75" s="7"/>
      <c r="M75" s="8"/>
      <c r="N75" s="7"/>
      <c r="O75" s="8"/>
      <c r="P75" s="7"/>
      <c r="Q75" s="7"/>
      <c r="R75" s="8"/>
      <c r="S75" s="7"/>
      <c r="T75" s="9"/>
      <c r="U75" s="7"/>
      <c r="V75" s="8"/>
      <c r="W75" s="7"/>
      <c r="X75" s="7"/>
      <c r="Y75" s="8"/>
      <c r="Z75" s="7"/>
      <c r="AA75" s="57"/>
      <c r="AB75" s="62" t="s">
        <v>700</v>
      </c>
      <c r="AC75" s="62" t="s">
        <v>1273</v>
      </c>
    </row>
    <row r="76" spans="2:29" ht="14.25" thickTop="1" thickBot="1">
      <c r="B76" s="10"/>
      <c r="D76" s="66"/>
      <c r="E76" s="51" t="s">
        <v>361</v>
      </c>
      <c r="F76" s="7"/>
      <c r="G76" s="8"/>
      <c r="H76" s="7"/>
      <c r="I76" s="6"/>
      <c r="J76" s="7"/>
      <c r="K76" s="8"/>
      <c r="L76" s="7"/>
      <c r="M76" s="8"/>
      <c r="N76" s="7"/>
      <c r="O76" s="8"/>
      <c r="P76" s="7"/>
      <c r="Q76" s="7"/>
      <c r="R76" s="8"/>
      <c r="S76" s="7"/>
      <c r="T76" s="9"/>
      <c r="U76" s="7"/>
      <c r="V76" s="8"/>
      <c r="W76" s="7"/>
      <c r="X76" s="7"/>
      <c r="Y76" s="8"/>
      <c r="Z76" s="7"/>
      <c r="AA76" s="57"/>
      <c r="AB76" s="62" t="s">
        <v>700</v>
      </c>
      <c r="AC76" s="62" t="s">
        <v>1274</v>
      </c>
    </row>
    <row r="77" spans="2:29" ht="14.25" thickTop="1" thickBot="1">
      <c r="B77" s="10"/>
      <c r="D77" s="66"/>
      <c r="E77" s="51" t="s">
        <v>799</v>
      </c>
      <c r="F77" s="7"/>
      <c r="G77" s="8"/>
      <c r="H77" s="7"/>
      <c r="I77" s="6"/>
      <c r="J77" s="7"/>
      <c r="K77" s="8"/>
      <c r="L77" s="7"/>
      <c r="M77" s="8"/>
      <c r="N77" s="7"/>
      <c r="O77" s="8"/>
      <c r="P77" s="7"/>
      <c r="Q77" s="7"/>
      <c r="R77" s="8"/>
      <c r="S77" s="7"/>
      <c r="T77" s="9"/>
      <c r="U77" s="7"/>
      <c r="V77" s="8"/>
      <c r="W77" s="7"/>
      <c r="X77" s="7"/>
      <c r="Y77" s="8"/>
      <c r="Z77" s="7"/>
      <c r="AA77" s="57"/>
      <c r="AB77" s="62" t="s">
        <v>700</v>
      </c>
      <c r="AC77" s="62" t="s">
        <v>1275</v>
      </c>
    </row>
    <row r="78" spans="2:29" ht="14.25" thickTop="1" thickBot="1">
      <c r="B78" s="10"/>
      <c r="D78" s="66"/>
      <c r="E78" s="51" t="s">
        <v>798</v>
      </c>
      <c r="F78" s="7"/>
      <c r="G78" s="8"/>
      <c r="H78" s="7"/>
      <c r="I78" s="6"/>
      <c r="J78" s="7"/>
      <c r="K78" s="8"/>
      <c r="L78" s="7"/>
      <c r="M78" s="8"/>
      <c r="N78" s="7"/>
      <c r="O78" s="8"/>
      <c r="P78" s="7"/>
      <c r="Q78" s="7"/>
      <c r="R78" s="8"/>
      <c r="S78" s="7"/>
      <c r="T78" s="9"/>
      <c r="U78" s="7"/>
      <c r="V78" s="8"/>
      <c r="W78" s="7"/>
      <c r="X78" s="7"/>
      <c r="Y78" s="8"/>
      <c r="Z78" s="7"/>
      <c r="AA78" s="57"/>
      <c r="AB78" s="62" t="s">
        <v>700</v>
      </c>
      <c r="AC78" s="62" t="s">
        <v>1276</v>
      </c>
    </row>
    <row r="79" spans="2:29" ht="14.25" thickTop="1" thickBot="1">
      <c r="B79" s="10"/>
      <c r="D79" s="66"/>
      <c r="E79" s="51" t="s">
        <v>366</v>
      </c>
      <c r="F79" s="7"/>
      <c r="G79" s="8"/>
      <c r="H79" s="7"/>
      <c r="I79" s="6"/>
      <c r="J79" s="7"/>
      <c r="K79" s="8"/>
      <c r="L79" s="7"/>
      <c r="M79" s="8"/>
      <c r="N79" s="7"/>
      <c r="O79" s="8"/>
      <c r="P79" s="7"/>
      <c r="Q79" s="7"/>
      <c r="R79" s="8"/>
      <c r="S79" s="7"/>
      <c r="T79" s="9"/>
      <c r="U79" s="7"/>
      <c r="V79" s="8"/>
      <c r="W79" s="7"/>
      <c r="X79" s="7"/>
      <c r="Y79" s="8"/>
      <c r="Z79" s="7"/>
      <c r="AA79" s="57"/>
      <c r="AB79" s="62" t="s">
        <v>700</v>
      </c>
      <c r="AC79" s="62" t="s">
        <v>1277</v>
      </c>
    </row>
    <row r="80" spans="2:29" ht="14.25" thickTop="1" thickBot="1">
      <c r="B80" s="10"/>
      <c r="D80" s="66"/>
      <c r="E80" s="51" t="s">
        <v>363</v>
      </c>
      <c r="F80" s="7"/>
      <c r="G80" s="8"/>
      <c r="H80" s="7"/>
      <c r="I80" s="6"/>
      <c r="J80" s="7"/>
      <c r="K80" s="8"/>
      <c r="L80" s="7"/>
      <c r="M80" s="8"/>
      <c r="N80" s="7"/>
      <c r="O80" s="8"/>
      <c r="P80" s="7"/>
      <c r="Q80" s="7"/>
      <c r="R80" s="8"/>
      <c r="S80" s="7"/>
      <c r="T80" s="9"/>
      <c r="U80" s="7"/>
      <c r="V80" s="8"/>
      <c r="W80" s="7"/>
      <c r="X80" s="7"/>
      <c r="Y80" s="8"/>
      <c r="Z80" s="7"/>
      <c r="AA80" s="57"/>
      <c r="AB80" s="62" t="s">
        <v>700</v>
      </c>
      <c r="AC80" s="62" t="s">
        <v>1278</v>
      </c>
    </row>
    <row r="81" spans="2:29" ht="14.25" thickTop="1" thickBot="1">
      <c r="B81" s="10"/>
      <c r="D81" s="66"/>
      <c r="E81" s="51" t="s">
        <v>365</v>
      </c>
      <c r="F81" s="7"/>
      <c r="G81" s="8"/>
      <c r="H81" s="7"/>
      <c r="I81" s="6"/>
      <c r="J81" s="7"/>
      <c r="K81" s="8"/>
      <c r="L81" s="7"/>
      <c r="M81" s="8"/>
      <c r="N81" s="7"/>
      <c r="O81" s="8"/>
      <c r="P81" s="7"/>
      <c r="Q81" s="7"/>
      <c r="R81" s="8"/>
      <c r="S81" s="7"/>
      <c r="T81" s="9"/>
      <c r="U81" s="7"/>
      <c r="V81" s="8"/>
      <c r="W81" s="7"/>
      <c r="X81" s="7"/>
      <c r="Y81" s="8"/>
      <c r="Z81" s="7"/>
      <c r="AA81" s="57"/>
      <c r="AB81" s="62" t="s">
        <v>700</v>
      </c>
      <c r="AC81" s="62" t="s">
        <v>1279</v>
      </c>
    </row>
    <row r="82" spans="2:29" ht="14.25" thickTop="1" thickBot="1">
      <c r="B82" s="10"/>
      <c r="D82" s="66"/>
      <c r="E82" s="51" t="s">
        <v>367</v>
      </c>
      <c r="F82" s="7"/>
      <c r="G82" s="8"/>
      <c r="H82" s="7"/>
      <c r="I82" s="6"/>
      <c r="J82" s="7"/>
      <c r="K82" s="8"/>
      <c r="L82" s="7"/>
      <c r="M82" s="8"/>
      <c r="N82" s="7"/>
      <c r="O82" s="8"/>
      <c r="P82" s="7"/>
      <c r="Q82" s="7"/>
      <c r="R82" s="8"/>
      <c r="S82" s="7"/>
      <c r="T82" s="9"/>
      <c r="U82" s="7"/>
      <c r="V82" s="8"/>
      <c r="W82" s="7"/>
      <c r="X82" s="7"/>
      <c r="Y82" s="8"/>
      <c r="Z82" s="7"/>
      <c r="AA82" s="57"/>
      <c r="AB82" s="62" t="s">
        <v>700</v>
      </c>
      <c r="AC82" s="62" t="s">
        <v>1280</v>
      </c>
    </row>
    <row r="83" spans="2:29" ht="14.25" thickTop="1" thickBot="1">
      <c r="B83" s="10"/>
      <c r="D83" s="66"/>
      <c r="E83" s="51" t="s">
        <v>360</v>
      </c>
      <c r="F83" s="7"/>
      <c r="G83" s="8"/>
      <c r="H83" s="7"/>
      <c r="I83" s="6"/>
      <c r="J83" s="7"/>
      <c r="K83" s="8"/>
      <c r="L83" s="7"/>
      <c r="M83" s="8"/>
      <c r="N83" s="7"/>
      <c r="O83" s="8"/>
      <c r="P83" s="7"/>
      <c r="Q83" s="7"/>
      <c r="R83" s="8"/>
      <c r="S83" s="7"/>
      <c r="T83" s="9"/>
      <c r="U83" s="7"/>
      <c r="V83" s="8"/>
      <c r="W83" s="7"/>
      <c r="X83" s="7"/>
      <c r="Y83" s="8"/>
      <c r="Z83" s="7"/>
      <c r="AA83" s="57"/>
      <c r="AB83" s="64" t="s">
        <v>700</v>
      </c>
      <c r="AC83" s="64" t="s">
        <v>1281</v>
      </c>
    </row>
    <row r="84" spans="2:29" ht="14.25" thickTop="1" thickBot="1">
      <c r="B84" s="10"/>
      <c r="D84" s="66"/>
      <c r="E84" s="51" t="s">
        <v>947</v>
      </c>
      <c r="F84" s="7"/>
      <c r="G84" s="8"/>
      <c r="H84" s="7"/>
      <c r="I84" s="6"/>
      <c r="J84" s="7"/>
      <c r="K84" s="8"/>
      <c r="L84" s="7"/>
      <c r="M84" s="8"/>
      <c r="N84" s="7"/>
      <c r="O84" s="8"/>
      <c r="P84" s="7"/>
      <c r="Q84" s="7"/>
      <c r="R84" s="8"/>
      <c r="S84" s="7"/>
      <c r="T84" s="9"/>
      <c r="U84" s="7"/>
      <c r="V84" s="8"/>
      <c r="W84" s="7"/>
      <c r="X84" s="7"/>
      <c r="Y84" s="8"/>
      <c r="Z84" s="7"/>
      <c r="AA84" s="8"/>
    </row>
    <row r="85" spans="2:29" ht="14.25" thickTop="1" thickBot="1">
      <c r="B85" s="10"/>
      <c r="D85" s="66"/>
      <c r="E85" s="51" t="s">
        <v>946</v>
      </c>
      <c r="F85" s="7"/>
      <c r="G85" s="8"/>
      <c r="H85" s="7"/>
      <c r="I85" s="6"/>
      <c r="J85" s="7"/>
      <c r="K85" s="8"/>
      <c r="L85" s="7"/>
      <c r="M85" s="8"/>
      <c r="N85" s="7"/>
      <c r="O85" s="8"/>
      <c r="P85" s="7"/>
      <c r="Q85" s="7"/>
      <c r="R85" s="8"/>
      <c r="S85" s="7"/>
      <c r="T85" s="9"/>
      <c r="U85" s="7"/>
      <c r="V85" s="8"/>
      <c r="W85" s="7"/>
      <c r="X85" s="7"/>
      <c r="Y85" s="8"/>
      <c r="Z85" s="7"/>
      <c r="AA85" s="8"/>
    </row>
    <row r="86" spans="2:29" ht="14.25" thickTop="1" thickBot="1">
      <c r="B86" s="10"/>
      <c r="D86" s="66"/>
      <c r="E86" s="51" t="s">
        <v>568</v>
      </c>
      <c r="F86" s="7"/>
      <c r="G86" s="8"/>
      <c r="H86" s="7"/>
      <c r="I86" s="6"/>
      <c r="J86" s="7"/>
      <c r="K86" s="8"/>
      <c r="L86" s="7"/>
      <c r="M86" s="8"/>
      <c r="N86" s="7"/>
      <c r="O86" s="8"/>
      <c r="P86" s="7"/>
      <c r="Q86" s="7"/>
      <c r="R86" s="8"/>
      <c r="S86" s="7"/>
      <c r="T86" s="9"/>
      <c r="U86" s="7"/>
      <c r="V86" s="8"/>
      <c r="W86" s="7"/>
      <c r="X86" s="7"/>
      <c r="Y86" s="8"/>
      <c r="Z86" s="7"/>
      <c r="AA86" s="8"/>
    </row>
    <row r="87" spans="2:29" ht="14.25" thickTop="1" thickBot="1">
      <c r="B87" s="10"/>
      <c r="D87" s="66"/>
      <c r="E87" s="51" t="s">
        <v>554</v>
      </c>
      <c r="F87" s="7"/>
      <c r="G87" s="8"/>
      <c r="H87" s="7"/>
      <c r="I87" s="6"/>
      <c r="J87" s="7"/>
      <c r="K87" s="8"/>
      <c r="L87" s="7"/>
      <c r="M87" s="8"/>
      <c r="N87" s="7"/>
      <c r="O87" s="8"/>
      <c r="P87" s="7"/>
      <c r="Q87" s="7"/>
      <c r="R87" s="8"/>
      <c r="S87" s="7"/>
      <c r="T87" s="9"/>
      <c r="U87" s="7"/>
      <c r="V87" s="8"/>
      <c r="W87" s="7"/>
      <c r="X87" s="7"/>
      <c r="Y87" s="8"/>
      <c r="Z87" s="7"/>
      <c r="AA87" s="8"/>
    </row>
    <row r="88" spans="2:29" ht="14.25" thickTop="1" thickBot="1">
      <c r="B88" s="10"/>
      <c r="D88" s="66"/>
      <c r="E88" s="51" t="s">
        <v>558</v>
      </c>
      <c r="F88" s="7"/>
      <c r="G88" s="8"/>
      <c r="H88" s="7"/>
      <c r="I88" s="6"/>
      <c r="J88" s="7"/>
      <c r="K88" s="8"/>
      <c r="L88" s="7"/>
      <c r="M88" s="8"/>
      <c r="N88" s="7"/>
      <c r="O88" s="8"/>
      <c r="P88" s="7"/>
      <c r="Q88" s="7"/>
      <c r="R88" s="8"/>
      <c r="S88" s="7"/>
      <c r="T88" s="9"/>
      <c r="U88" s="7"/>
      <c r="V88" s="8"/>
      <c r="W88" s="7"/>
      <c r="X88" s="7"/>
      <c r="Y88" s="8"/>
      <c r="Z88" s="7"/>
      <c r="AA88" s="8"/>
    </row>
    <row r="89" spans="2:29" ht="14.25" thickTop="1" thickBot="1">
      <c r="B89" s="10"/>
      <c r="D89" s="66"/>
      <c r="E89" s="51" t="s">
        <v>609</v>
      </c>
      <c r="F89" s="7"/>
      <c r="G89" s="8"/>
      <c r="H89" s="7"/>
      <c r="I89" s="6"/>
      <c r="J89" s="7"/>
      <c r="K89" s="8"/>
      <c r="L89" s="7"/>
      <c r="M89" s="8"/>
      <c r="N89" s="7"/>
      <c r="O89" s="8"/>
      <c r="P89" s="7"/>
      <c r="Q89" s="7"/>
      <c r="R89" s="8"/>
      <c r="S89" s="7"/>
      <c r="T89" s="9"/>
      <c r="U89" s="7"/>
      <c r="V89" s="8"/>
      <c r="W89" s="7"/>
      <c r="X89" s="7"/>
      <c r="Y89" s="8"/>
      <c r="Z89" s="7"/>
      <c r="AA89" s="8"/>
    </row>
    <row r="90" spans="2:29" ht="14.25" thickTop="1" thickBot="1">
      <c r="B90" s="10"/>
      <c r="D90" s="66"/>
      <c r="E90" s="51" t="s">
        <v>926</v>
      </c>
      <c r="F90" s="7"/>
      <c r="G90" s="8"/>
      <c r="H90" s="7"/>
      <c r="I90" s="6"/>
      <c r="J90" s="7"/>
      <c r="K90" s="8"/>
      <c r="L90" s="7"/>
      <c r="M90" s="8"/>
      <c r="N90" s="7"/>
      <c r="O90" s="8"/>
      <c r="P90" s="7"/>
      <c r="Q90" s="7"/>
      <c r="R90" s="8"/>
      <c r="S90" s="7"/>
      <c r="T90" s="9"/>
      <c r="U90" s="7"/>
      <c r="V90" s="8"/>
      <c r="W90" s="7"/>
      <c r="X90" s="7"/>
      <c r="Y90" s="8"/>
      <c r="Z90" s="7"/>
      <c r="AA90" s="8"/>
    </row>
    <row r="91" spans="2:29" ht="14.25" thickTop="1" thickBot="1">
      <c r="B91" s="10"/>
      <c r="D91" s="66"/>
      <c r="E91" s="51" t="s">
        <v>647</v>
      </c>
      <c r="F91" s="7"/>
      <c r="G91" s="8"/>
      <c r="H91" s="7"/>
      <c r="I91" s="6"/>
      <c r="J91" s="7"/>
      <c r="K91" s="8"/>
      <c r="L91" s="7"/>
      <c r="M91" s="8"/>
      <c r="N91" s="7"/>
      <c r="O91" s="8"/>
      <c r="P91" s="7"/>
      <c r="Q91" s="7"/>
      <c r="R91" s="8"/>
      <c r="S91" s="7"/>
      <c r="T91" s="9"/>
      <c r="U91" s="7"/>
      <c r="V91" s="8"/>
      <c r="W91" s="7"/>
      <c r="X91" s="7"/>
      <c r="Y91" s="8"/>
      <c r="Z91" s="7"/>
      <c r="AA91" s="8"/>
    </row>
    <row r="92" spans="2:29" ht="14.25" thickTop="1" thickBot="1">
      <c r="B92" s="10"/>
      <c r="D92" s="66"/>
      <c r="E92" s="51" t="s">
        <v>918</v>
      </c>
      <c r="F92" s="7"/>
      <c r="G92" s="8"/>
      <c r="H92" s="7"/>
      <c r="I92" s="6"/>
      <c r="J92" s="7"/>
      <c r="K92" s="8"/>
      <c r="L92" s="7"/>
      <c r="M92" s="8"/>
      <c r="N92" s="7"/>
      <c r="O92" s="8"/>
      <c r="P92" s="7"/>
      <c r="Q92" s="7"/>
      <c r="R92" s="8"/>
      <c r="S92" s="7"/>
      <c r="T92" s="9"/>
      <c r="U92" s="7"/>
      <c r="V92" s="8"/>
      <c r="W92" s="7"/>
      <c r="X92" s="7"/>
      <c r="Y92" s="8"/>
      <c r="Z92" s="7"/>
      <c r="AA92" s="8"/>
    </row>
    <row r="93" spans="2:29" ht="14.25" thickTop="1" thickBot="1">
      <c r="B93" s="10"/>
      <c r="D93" s="66"/>
      <c r="E93" s="51" t="s">
        <v>612</v>
      </c>
      <c r="F93" s="7"/>
      <c r="G93" s="8"/>
      <c r="H93" s="7"/>
      <c r="I93" s="6"/>
      <c r="J93" s="7"/>
      <c r="K93" s="8"/>
      <c r="L93" s="7"/>
      <c r="M93" s="8"/>
      <c r="N93" s="7"/>
      <c r="O93" s="8"/>
      <c r="P93" s="7"/>
      <c r="Q93" s="7"/>
      <c r="R93" s="8"/>
      <c r="S93" s="7"/>
      <c r="T93" s="9"/>
      <c r="U93" s="7"/>
      <c r="V93" s="8"/>
      <c r="W93" s="7"/>
      <c r="X93" s="7"/>
      <c r="Y93" s="8"/>
      <c r="Z93" s="7"/>
      <c r="AA93" s="8"/>
    </row>
    <row r="94" spans="2:29" ht="14.25" thickTop="1" thickBot="1">
      <c r="B94" s="10"/>
      <c r="D94" s="66"/>
      <c r="E94" s="51" t="s">
        <v>942</v>
      </c>
      <c r="F94" s="7"/>
      <c r="G94" s="8"/>
      <c r="H94" s="7"/>
      <c r="I94" s="6"/>
      <c r="J94" s="7"/>
      <c r="K94" s="8"/>
      <c r="L94" s="7"/>
      <c r="M94" s="8"/>
      <c r="N94" s="7"/>
      <c r="O94" s="8"/>
      <c r="P94" s="7"/>
      <c r="Q94" s="7"/>
      <c r="R94" s="8"/>
      <c r="S94" s="7"/>
      <c r="T94" s="9"/>
      <c r="U94" s="7"/>
      <c r="V94" s="8"/>
      <c r="W94" s="7"/>
      <c r="X94" s="7"/>
      <c r="Y94" s="8"/>
      <c r="Z94" s="7"/>
      <c r="AA94" s="8"/>
    </row>
    <row r="95" spans="2:29" ht="14.25" thickTop="1" thickBot="1">
      <c r="B95" s="10"/>
      <c r="D95" s="66"/>
      <c r="E95" s="51" t="s">
        <v>1132</v>
      </c>
      <c r="F95" s="7"/>
      <c r="G95" s="8"/>
      <c r="H95" s="7"/>
      <c r="I95" s="6"/>
      <c r="J95" s="7"/>
      <c r="K95" s="8"/>
      <c r="L95" s="7"/>
      <c r="M95" s="8"/>
      <c r="N95" s="7"/>
      <c r="O95" s="8"/>
      <c r="P95" s="7"/>
      <c r="Q95" s="7"/>
      <c r="R95" s="8"/>
      <c r="S95" s="7"/>
      <c r="T95" s="9"/>
      <c r="U95" s="7"/>
      <c r="V95" s="8"/>
      <c r="W95" s="7"/>
      <c r="X95" s="7"/>
      <c r="Y95" s="8"/>
      <c r="Z95" s="7"/>
      <c r="AA95" s="8"/>
    </row>
    <row r="96" spans="2:29" ht="14.25" thickTop="1" thickBot="1">
      <c r="B96" s="10"/>
      <c r="D96" s="66"/>
      <c r="E96" s="51" t="s">
        <v>595</v>
      </c>
      <c r="F96" s="7"/>
      <c r="G96" s="8"/>
      <c r="H96" s="7"/>
      <c r="I96" s="6"/>
      <c r="J96" s="7"/>
      <c r="K96" s="8"/>
      <c r="L96" s="7"/>
      <c r="M96" s="8"/>
      <c r="N96" s="7"/>
      <c r="O96" s="8"/>
      <c r="P96" s="7"/>
      <c r="Q96" s="7"/>
      <c r="R96" s="8"/>
      <c r="S96" s="7"/>
      <c r="T96" s="9"/>
      <c r="U96" s="7"/>
      <c r="V96" s="8"/>
      <c r="W96" s="7"/>
      <c r="X96" s="7"/>
      <c r="Y96" s="8"/>
      <c r="Z96" s="7"/>
      <c r="AA96" s="8"/>
    </row>
    <row r="97" spans="2:27" ht="14.25" thickTop="1" thickBot="1">
      <c r="B97" s="10"/>
      <c r="D97" s="66"/>
      <c r="E97" s="51" t="s">
        <v>597</v>
      </c>
      <c r="F97" s="7"/>
      <c r="G97" s="8"/>
      <c r="H97" s="7"/>
      <c r="I97" s="6"/>
      <c r="J97" s="7"/>
      <c r="K97" s="8"/>
      <c r="L97" s="7"/>
      <c r="M97" s="8"/>
      <c r="N97" s="7"/>
      <c r="O97" s="8"/>
      <c r="P97" s="7"/>
      <c r="Q97" s="7"/>
      <c r="R97" s="8"/>
      <c r="S97" s="7"/>
      <c r="T97" s="9"/>
      <c r="U97" s="7"/>
      <c r="V97" s="8"/>
      <c r="W97" s="7"/>
      <c r="X97" s="7"/>
      <c r="Y97" s="8"/>
      <c r="Z97" s="7"/>
      <c r="AA97" s="8"/>
    </row>
    <row r="98" spans="2:27" ht="14.25" thickTop="1" thickBot="1">
      <c r="B98" s="10"/>
      <c r="D98" s="66"/>
      <c r="E98" s="51" t="s">
        <v>948</v>
      </c>
      <c r="F98" s="7"/>
      <c r="G98" s="8"/>
      <c r="H98" s="7"/>
      <c r="I98" s="6"/>
      <c r="J98" s="7"/>
      <c r="K98" s="8"/>
      <c r="L98" s="7"/>
      <c r="M98" s="8"/>
      <c r="N98" s="7"/>
      <c r="O98" s="8"/>
      <c r="P98" s="7"/>
      <c r="Q98" s="7"/>
      <c r="R98" s="8"/>
      <c r="S98" s="7"/>
      <c r="T98" s="9"/>
      <c r="U98" s="7"/>
      <c r="V98" s="8"/>
      <c r="W98" s="7"/>
      <c r="X98" s="7"/>
      <c r="Y98" s="8"/>
      <c r="Z98" s="7"/>
      <c r="AA98" s="8"/>
    </row>
    <row r="99" spans="2:27" ht="14.25" thickTop="1" thickBot="1">
      <c r="B99" s="10"/>
      <c r="D99" s="66"/>
      <c r="E99" s="51" t="s">
        <v>616</v>
      </c>
      <c r="F99" s="7"/>
      <c r="G99" s="8"/>
      <c r="H99" s="7"/>
      <c r="I99" s="6"/>
      <c r="J99" s="7"/>
      <c r="K99" s="8"/>
      <c r="L99" s="7"/>
      <c r="M99" s="8"/>
      <c r="N99" s="7"/>
      <c r="O99" s="8"/>
      <c r="P99" s="7"/>
      <c r="Q99" s="7"/>
      <c r="R99" s="8"/>
      <c r="S99" s="7"/>
      <c r="T99" s="9"/>
      <c r="U99" s="7"/>
      <c r="V99" s="8"/>
      <c r="W99" s="7"/>
      <c r="X99" s="7"/>
      <c r="Y99" s="8"/>
      <c r="Z99" s="7"/>
      <c r="AA99" s="8"/>
    </row>
    <row r="100" spans="2:27" ht="14.25" thickTop="1" thickBot="1">
      <c r="B100" s="10"/>
      <c r="D100" s="66"/>
      <c r="E100" s="51" t="s">
        <v>952</v>
      </c>
      <c r="F100" s="7"/>
      <c r="G100" s="8"/>
      <c r="H100" s="7"/>
      <c r="I100" s="6"/>
      <c r="J100" s="7"/>
      <c r="K100" s="8"/>
      <c r="L100" s="7"/>
      <c r="M100" s="8"/>
      <c r="N100" s="7"/>
      <c r="O100" s="8"/>
      <c r="P100" s="7"/>
      <c r="Q100" s="7"/>
      <c r="R100" s="8"/>
      <c r="S100" s="7"/>
      <c r="T100" s="9"/>
      <c r="U100" s="7"/>
      <c r="V100" s="8"/>
      <c r="W100" s="7"/>
      <c r="X100" s="7"/>
      <c r="Y100" s="8"/>
      <c r="Z100" s="7"/>
      <c r="AA100" s="8"/>
    </row>
    <row r="101" spans="2:27" ht="14.25" thickTop="1" thickBot="1">
      <c r="B101" s="10"/>
      <c r="D101" s="66"/>
      <c r="E101" s="51" t="s">
        <v>930</v>
      </c>
      <c r="F101" s="7"/>
      <c r="G101" s="8"/>
      <c r="H101" s="7"/>
      <c r="I101" s="6"/>
      <c r="J101" s="7"/>
      <c r="K101" s="8"/>
      <c r="L101" s="7"/>
      <c r="M101" s="8"/>
      <c r="N101" s="7"/>
      <c r="O101" s="8"/>
      <c r="P101" s="7"/>
      <c r="Q101" s="7"/>
      <c r="R101" s="8"/>
      <c r="S101" s="7"/>
      <c r="T101" s="9"/>
      <c r="U101" s="7"/>
      <c r="V101" s="8"/>
      <c r="W101" s="7"/>
      <c r="X101" s="7"/>
      <c r="Y101" s="8"/>
      <c r="Z101" s="7"/>
      <c r="AA101" s="8"/>
    </row>
    <row r="102" spans="2:27" ht="14.25" thickTop="1" thickBot="1">
      <c r="B102" s="10"/>
      <c r="D102" s="66"/>
      <c r="E102" s="51" t="s">
        <v>794</v>
      </c>
      <c r="F102" s="7"/>
      <c r="G102" s="8"/>
      <c r="H102" s="7"/>
      <c r="I102" s="6"/>
      <c r="J102" s="7"/>
      <c r="K102" s="8"/>
      <c r="L102" s="7"/>
      <c r="M102" s="8"/>
      <c r="N102" s="7"/>
      <c r="O102" s="8"/>
      <c r="P102" s="7"/>
      <c r="Q102" s="7"/>
      <c r="R102" s="8"/>
      <c r="S102" s="7"/>
      <c r="T102" s="9"/>
      <c r="U102" s="7"/>
      <c r="V102" s="8"/>
      <c r="W102" s="7"/>
      <c r="X102" s="7"/>
      <c r="Y102" s="8"/>
      <c r="Z102" s="7"/>
      <c r="AA102" s="8"/>
    </row>
    <row r="103" spans="2:27" ht="14.25" thickTop="1" thickBot="1">
      <c r="B103" s="10"/>
      <c r="D103" s="66"/>
      <c r="E103" s="51" t="s">
        <v>575</v>
      </c>
      <c r="F103" s="7"/>
      <c r="G103" s="8"/>
      <c r="H103" s="7"/>
      <c r="I103" s="6"/>
      <c r="J103" s="7"/>
      <c r="K103" s="8"/>
      <c r="L103" s="7"/>
      <c r="M103" s="8"/>
      <c r="N103" s="7"/>
      <c r="O103" s="8"/>
      <c r="P103" s="7"/>
      <c r="Q103" s="7"/>
      <c r="R103" s="8"/>
      <c r="S103" s="7"/>
      <c r="T103" s="9"/>
      <c r="U103" s="7"/>
      <c r="V103" s="8"/>
      <c r="W103" s="7"/>
      <c r="X103" s="7"/>
      <c r="Y103" s="8"/>
      <c r="Z103" s="7"/>
      <c r="AA103" s="8"/>
    </row>
    <row r="104" spans="2:27" ht="14.25" thickTop="1" thickBot="1">
      <c r="B104" s="10"/>
      <c r="D104" s="66"/>
      <c r="E104" s="51" t="s">
        <v>571</v>
      </c>
      <c r="F104" s="7"/>
      <c r="G104" s="8"/>
      <c r="H104" s="7"/>
      <c r="I104" s="6"/>
      <c r="J104" s="7"/>
      <c r="K104" s="8"/>
      <c r="L104" s="7"/>
      <c r="M104" s="8"/>
      <c r="N104" s="7"/>
      <c r="O104" s="8"/>
      <c r="P104" s="7"/>
      <c r="Q104" s="7"/>
      <c r="R104" s="8"/>
      <c r="S104" s="7"/>
      <c r="T104" s="9"/>
      <c r="U104" s="7"/>
      <c r="V104" s="8"/>
      <c r="W104" s="7"/>
      <c r="X104" s="7"/>
      <c r="Y104" s="8"/>
      <c r="Z104" s="7"/>
      <c r="AA104" s="8"/>
    </row>
    <row r="105" spans="2:27" ht="14.25" thickTop="1" thickBot="1">
      <c r="B105" s="10"/>
      <c r="D105" s="66"/>
      <c r="E105" s="51" t="s">
        <v>934</v>
      </c>
      <c r="F105" s="7"/>
      <c r="G105" s="8"/>
      <c r="H105" s="7"/>
      <c r="I105" s="6"/>
      <c r="J105" s="7"/>
      <c r="K105" s="8"/>
      <c r="L105" s="7"/>
      <c r="M105" s="8"/>
      <c r="N105" s="7"/>
      <c r="O105" s="8"/>
      <c r="P105" s="7"/>
      <c r="Q105" s="7"/>
      <c r="R105" s="8"/>
      <c r="S105" s="7"/>
      <c r="T105" s="9"/>
      <c r="U105" s="7"/>
      <c r="V105" s="8"/>
      <c r="W105" s="7"/>
      <c r="X105" s="7"/>
      <c r="Y105" s="8"/>
      <c r="Z105" s="7"/>
      <c r="AA105" s="8"/>
    </row>
    <row r="106" spans="2:27" ht="14.25" thickTop="1" thickBot="1">
      <c r="B106" s="10"/>
      <c r="D106" s="66"/>
      <c r="E106" s="51" t="s">
        <v>308</v>
      </c>
      <c r="F106" s="7"/>
      <c r="G106" s="8"/>
      <c r="H106" s="7"/>
      <c r="I106" s="6"/>
      <c r="J106" s="7"/>
      <c r="K106" s="8"/>
      <c r="L106" s="7"/>
      <c r="M106" s="8"/>
      <c r="N106" s="7"/>
      <c r="O106" s="8"/>
      <c r="P106" s="7"/>
      <c r="Q106" s="7"/>
      <c r="R106" s="8"/>
      <c r="S106" s="7"/>
      <c r="T106" s="9"/>
      <c r="U106" s="7"/>
      <c r="V106" s="8"/>
      <c r="W106" s="7"/>
      <c r="X106" s="7"/>
      <c r="Y106" s="8"/>
      <c r="Z106" s="7"/>
      <c r="AA106" s="8"/>
    </row>
    <row r="107" spans="2:27" ht="14.25" thickTop="1" thickBot="1">
      <c r="B107" s="10"/>
      <c r="D107" s="66"/>
      <c r="E107" s="51" t="s">
        <v>1282</v>
      </c>
      <c r="F107" s="7"/>
      <c r="G107" s="8"/>
      <c r="H107" s="7"/>
      <c r="I107" s="6"/>
      <c r="J107" s="7"/>
      <c r="K107" s="8"/>
      <c r="L107" s="7"/>
      <c r="M107" s="8"/>
      <c r="N107" s="7"/>
      <c r="O107" s="8"/>
      <c r="P107" s="7"/>
      <c r="Q107" s="7"/>
      <c r="R107" s="8"/>
      <c r="S107" s="7"/>
      <c r="T107" s="9"/>
      <c r="U107" s="7"/>
      <c r="V107" s="8"/>
      <c r="W107" s="7"/>
      <c r="X107" s="7"/>
      <c r="Y107" s="8"/>
      <c r="Z107" s="7"/>
      <c r="AA107" s="8"/>
    </row>
    <row r="108" spans="2:27" ht="14.25" thickTop="1" thickBot="1">
      <c r="B108" s="10"/>
      <c r="D108" s="66"/>
      <c r="E108" s="51" t="s">
        <v>933</v>
      </c>
      <c r="F108" s="7"/>
      <c r="G108" s="8"/>
      <c r="H108" s="7"/>
      <c r="I108" s="6"/>
      <c r="J108" s="7"/>
      <c r="K108" s="8"/>
      <c r="L108" s="7"/>
      <c r="M108" s="8"/>
      <c r="N108" s="7"/>
      <c r="O108" s="8"/>
      <c r="P108" s="7"/>
      <c r="Q108" s="7"/>
      <c r="R108" s="8"/>
      <c r="S108" s="7"/>
      <c r="T108" s="9"/>
      <c r="U108" s="7"/>
      <c r="V108" s="8"/>
      <c r="W108" s="7"/>
      <c r="X108" s="7"/>
      <c r="Y108" s="8"/>
      <c r="Z108" s="7"/>
      <c r="AA108" s="8"/>
    </row>
    <row r="109" spans="2:27" ht="14.25" thickTop="1" thickBot="1">
      <c r="B109" s="10"/>
      <c r="D109" s="66"/>
      <c r="E109" s="51" t="s">
        <v>311</v>
      </c>
      <c r="F109" s="7"/>
      <c r="G109" s="8"/>
      <c r="H109" s="7"/>
      <c r="I109" s="6"/>
      <c r="J109" s="7"/>
      <c r="K109" s="8"/>
      <c r="L109" s="7"/>
      <c r="M109" s="8"/>
      <c r="N109" s="7"/>
      <c r="O109" s="8"/>
      <c r="P109" s="7"/>
      <c r="Q109" s="7"/>
      <c r="R109" s="8"/>
      <c r="S109" s="7"/>
      <c r="T109" s="9"/>
      <c r="U109" s="7"/>
      <c r="V109" s="8"/>
      <c r="W109" s="7"/>
      <c r="X109" s="7"/>
      <c r="Y109" s="8"/>
      <c r="Z109" s="7"/>
      <c r="AA109" s="8"/>
    </row>
    <row r="110" spans="2:27" ht="14.25" thickTop="1" thickBot="1">
      <c r="B110" s="10"/>
      <c r="D110" s="66"/>
      <c r="E110" s="51" t="s">
        <v>1089</v>
      </c>
      <c r="F110" s="7"/>
      <c r="G110" s="8"/>
      <c r="H110" s="7"/>
      <c r="I110" s="6"/>
      <c r="J110" s="7"/>
      <c r="K110" s="8"/>
      <c r="L110" s="7"/>
      <c r="M110" s="8"/>
      <c r="N110" s="7"/>
      <c r="O110" s="8"/>
      <c r="P110" s="7"/>
      <c r="Q110" s="7"/>
      <c r="R110" s="8"/>
      <c r="S110" s="7"/>
      <c r="T110" s="9"/>
      <c r="U110" s="7"/>
      <c r="V110" s="8"/>
      <c r="W110" s="7"/>
      <c r="X110" s="7"/>
      <c r="Y110" s="8"/>
      <c r="Z110" s="7"/>
      <c r="AA110" s="8"/>
    </row>
    <row r="111" spans="2:27" ht="14.25" thickTop="1" thickBot="1">
      <c r="B111" s="10"/>
      <c r="D111" s="66"/>
      <c r="E111" s="51" t="s">
        <v>954</v>
      </c>
      <c r="F111" s="7"/>
      <c r="G111" s="8"/>
      <c r="H111" s="7"/>
      <c r="I111" s="6"/>
      <c r="J111" s="7"/>
      <c r="K111" s="8"/>
      <c r="L111" s="7"/>
      <c r="M111" s="8"/>
      <c r="N111" s="7"/>
      <c r="O111" s="8"/>
      <c r="P111" s="7"/>
      <c r="Q111" s="7"/>
      <c r="R111" s="8"/>
      <c r="S111" s="7"/>
      <c r="T111" s="9"/>
      <c r="U111" s="7"/>
      <c r="V111" s="8"/>
      <c r="W111" s="7"/>
      <c r="X111" s="7"/>
      <c r="Y111" s="8"/>
      <c r="Z111" s="7"/>
      <c r="AA111" s="8"/>
    </row>
    <row r="112" spans="2:27" ht="14.25" thickTop="1" thickBot="1">
      <c r="B112" s="10"/>
      <c r="D112" s="66"/>
      <c r="E112" s="51" t="s">
        <v>670</v>
      </c>
      <c r="F112" s="7"/>
      <c r="G112" s="8"/>
      <c r="H112" s="7"/>
      <c r="I112" s="6"/>
      <c r="J112" s="7"/>
      <c r="K112" s="8"/>
      <c r="L112" s="7"/>
      <c r="M112" s="8"/>
      <c r="N112" s="7"/>
      <c r="O112" s="8"/>
      <c r="P112" s="7"/>
      <c r="Q112" s="7"/>
      <c r="R112" s="8"/>
      <c r="S112" s="7"/>
      <c r="T112" s="9"/>
      <c r="U112" s="7"/>
      <c r="V112" s="8"/>
      <c r="W112" s="7"/>
      <c r="X112" s="7"/>
      <c r="Y112" s="8"/>
      <c r="Z112" s="7"/>
      <c r="AA112" s="8"/>
    </row>
    <row r="113" spans="2:27" ht="14.25" thickTop="1" thickBot="1">
      <c r="B113" s="10"/>
      <c r="D113" s="66"/>
      <c r="E113" s="51" t="s">
        <v>567</v>
      </c>
      <c r="F113" s="7"/>
      <c r="G113" s="8"/>
      <c r="H113" s="7"/>
      <c r="I113" s="6"/>
      <c r="J113" s="7"/>
      <c r="K113" s="8"/>
      <c r="L113" s="7"/>
      <c r="M113" s="8"/>
      <c r="N113" s="7"/>
      <c r="O113" s="8"/>
      <c r="P113" s="7"/>
      <c r="Q113" s="7"/>
      <c r="R113" s="8"/>
      <c r="S113" s="7"/>
      <c r="T113" s="9"/>
      <c r="U113" s="7"/>
      <c r="V113" s="8"/>
      <c r="W113" s="7"/>
      <c r="X113" s="7"/>
      <c r="Y113" s="8"/>
      <c r="Z113" s="7"/>
      <c r="AA113" s="8"/>
    </row>
    <row r="114" spans="2:27" ht="14.25" thickTop="1" thickBot="1">
      <c r="B114" s="10"/>
      <c r="D114" s="66"/>
      <c r="E114" s="51" t="s">
        <v>317</v>
      </c>
      <c r="F114" s="7"/>
      <c r="G114" s="8"/>
      <c r="H114" s="7"/>
      <c r="I114" s="6"/>
      <c r="J114" s="7"/>
      <c r="K114" s="8"/>
      <c r="L114" s="7"/>
      <c r="M114" s="8"/>
      <c r="N114" s="7"/>
      <c r="O114" s="8"/>
      <c r="P114" s="7"/>
      <c r="Q114" s="7"/>
      <c r="R114" s="8"/>
      <c r="S114" s="7"/>
      <c r="T114" s="9"/>
      <c r="U114" s="7"/>
      <c r="V114" s="8"/>
      <c r="W114" s="7"/>
      <c r="X114" s="7"/>
      <c r="Y114" s="8"/>
      <c r="Z114" s="7"/>
      <c r="AA114" s="8"/>
    </row>
    <row r="115" spans="2:27" ht="14.25" thickTop="1" thickBot="1">
      <c r="B115" s="10"/>
      <c r="D115" s="66"/>
      <c r="E115" s="51" t="s">
        <v>319</v>
      </c>
      <c r="F115" s="7"/>
      <c r="G115" s="8"/>
      <c r="H115" s="7"/>
      <c r="I115" s="6"/>
      <c r="J115" s="7"/>
      <c r="K115" s="8"/>
      <c r="L115" s="7"/>
      <c r="M115" s="8"/>
      <c r="N115" s="7"/>
      <c r="O115" s="8"/>
      <c r="P115" s="7"/>
      <c r="Q115" s="7"/>
      <c r="R115" s="8"/>
      <c r="S115" s="7"/>
      <c r="T115" s="9"/>
      <c r="U115" s="7"/>
      <c r="V115" s="8"/>
      <c r="W115" s="7"/>
      <c r="X115" s="7"/>
      <c r="Y115" s="8"/>
      <c r="Z115" s="7"/>
      <c r="AA115" s="8"/>
    </row>
    <row r="116" spans="2:27" ht="14.25" thickTop="1" thickBot="1">
      <c r="B116" s="10"/>
      <c r="D116" s="66"/>
      <c r="E116" s="51" t="s">
        <v>560</v>
      </c>
      <c r="F116" s="7"/>
      <c r="G116" s="8"/>
      <c r="H116" s="7"/>
      <c r="I116" s="6"/>
      <c r="J116" s="7"/>
      <c r="K116" s="8"/>
      <c r="L116" s="7"/>
      <c r="M116" s="8"/>
      <c r="N116" s="7"/>
      <c r="O116" s="8"/>
      <c r="P116" s="7"/>
      <c r="Q116" s="7"/>
      <c r="R116" s="8"/>
      <c r="S116" s="7"/>
      <c r="T116" s="9"/>
      <c r="U116" s="7"/>
      <c r="V116" s="8"/>
      <c r="W116" s="7"/>
      <c r="X116" s="7"/>
      <c r="Y116" s="8"/>
      <c r="Z116" s="7"/>
      <c r="AA116" s="8"/>
    </row>
    <row r="117" spans="2:27" ht="14.25" thickTop="1" thickBot="1">
      <c r="B117" s="10"/>
      <c r="D117" s="66"/>
      <c r="E117" s="51" t="s">
        <v>681</v>
      </c>
      <c r="F117" s="7"/>
      <c r="G117" s="8"/>
      <c r="H117" s="7"/>
      <c r="I117" s="6"/>
      <c r="J117" s="7"/>
      <c r="K117" s="8"/>
      <c r="L117" s="7"/>
      <c r="M117" s="8"/>
      <c r="N117" s="7"/>
      <c r="O117" s="8"/>
      <c r="P117" s="7"/>
      <c r="Q117" s="7"/>
      <c r="R117" s="8"/>
      <c r="S117" s="7"/>
      <c r="T117" s="9"/>
      <c r="U117" s="7"/>
      <c r="V117" s="8"/>
      <c r="W117" s="7"/>
      <c r="X117" s="7"/>
      <c r="Y117" s="8"/>
      <c r="Z117" s="7"/>
      <c r="AA117" s="8"/>
    </row>
    <row r="118" spans="2:27" ht="14.25" thickTop="1" thickBot="1">
      <c r="B118" s="10"/>
      <c r="D118" s="66"/>
      <c r="E118" s="51" t="s">
        <v>928</v>
      </c>
      <c r="F118" s="7"/>
      <c r="G118" s="8"/>
      <c r="H118" s="7"/>
      <c r="I118" s="6"/>
      <c r="J118" s="7"/>
      <c r="K118" s="8"/>
      <c r="L118" s="7"/>
      <c r="M118" s="8"/>
      <c r="N118" s="7"/>
      <c r="O118" s="8"/>
      <c r="P118" s="7"/>
      <c r="Q118" s="7"/>
      <c r="R118" s="8"/>
      <c r="S118" s="7"/>
      <c r="T118" s="9"/>
      <c r="U118" s="7"/>
      <c r="V118" s="8"/>
      <c r="W118" s="7"/>
      <c r="X118" s="7"/>
      <c r="Y118" s="8"/>
      <c r="Z118" s="7"/>
      <c r="AA118" s="8"/>
    </row>
    <row r="119" spans="2:27" ht="14.25" thickTop="1" thickBot="1">
      <c r="B119" s="10"/>
      <c r="D119" s="66"/>
      <c r="E119" s="51" t="s">
        <v>631</v>
      </c>
      <c r="F119" s="7"/>
      <c r="G119" s="8"/>
      <c r="H119" s="7"/>
      <c r="I119" s="6"/>
      <c r="J119" s="7"/>
      <c r="K119" s="8"/>
      <c r="L119" s="7"/>
      <c r="M119" s="8"/>
      <c r="N119" s="7"/>
      <c r="O119" s="8"/>
      <c r="P119" s="7"/>
      <c r="Q119" s="7"/>
      <c r="R119" s="8"/>
      <c r="S119" s="7"/>
      <c r="T119" s="9"/>
      <c r="U119" s="7"/>
      <c r="V119" s="8"/>
      <c r="W119" s="7"/>
      <c r="X119" s="7"/>
      <c r="Y119" s="8"/>
      <c r="Z119" s="7"/>
      <c r="AA119" s="8"/>
    </row>
    <row r="120" spans="2:27" ht="14.25" thickTop="1" thickBot="1">
      <c r="B120" s="10"/>
      <c r="D120" s="66"/>
      <c r="E120" s="51" t="s">
        <v>627</v>
      </c>
      <c r="F120" s="7"/>
      <c r="G120" s="8"/>
      <c r="H120" s="7"/>
      <c r="I120" s="6"/>
      <c r="J120" s="7"/>
      <c r="K120" s="8"/>
      <c r="L120" s="7"/>
      <c r="M120" s="8"/>
      <c r="N120" s="7"/>
      <c r="O120" s="8"/>
      <c r="P120" s="7"/>
      <c r="Q120" s="7"/>
      <c r="R120" s="8"/>
      <c r="S120" s="7"/>
      <c r="T120" s="9"/>
      <c r="U120" s="7"/>
      <c r="V120" s="8"/>
      <c r="W120" s="7"/>
      <c r="X120" s="7"/>
      <c r="Y120" s="8"/>
      <c r="Z120" s="7"/>
      <c r="AA120" s="8"/>
    </row>
    <row r="121" spans="2:27" ht="14.25" thickTop="1" thickBot="1">
      <c r="B121" s="10"/>
      <c r="D121" s="66"/>
      <c r="E121" s="51" t="s">
        <v>623</v>
      </c>
      <c r="F121" s="7"/>
      <c r="G121" s="8"/>
      <c r="H121" s="7"/>
      <c r="I121" s="6"/>
      <c r="J121" s="7"/>
      <c r="K121" s="8"/>
      <c r="L121" s="7"/>
      <c r="M121" s="8"/>
      <c r="N121" s="7"/>
      <c r="O121" s="8"/>
      <c r="P121" s="7"/>
      <c r="Q121" s="7"/>
      <c r="R121" s="8"/>
      <c r="S121" s="7"/>
      <c r="T121" s="9"/>
      <c r="U121" s="7"/>
      <c r="V121" s="8"/>
      <c r="W121" s="7"/>
      <c r="X121" s="7"/>
      <c r="Y121" s="8"/>
      <c r="Z121" s="7"/>
      <c r="AA121" s="8"/>
    </row>
    <row r="122" spans="2:27" ht="14.25" thickTop="1" thickBot="1">
      <c r="B122" s="10"/>
      <c r="D122" s="66"/>
      <c r="E122" s="51" t="s">
        <v>605</v>
      </c>
      <c r="F122" s="7"/>
      <c r="G122" s="8"/>
      <c r="H122" s="7"/>
      <c r="I122" s="6"/>
      <c r="J122" s="7"/>
      <c r="K122" s="8"/>
      <c r="L122" s="7"/>
      <c r="M122" s="8"/>
      <c r="N122" s="7"/>
      <c r="O122" s="8"/>
      <c r="P122" s="7"/>
      <c r="Q122" s="7"/>
      <c r="R122" s="8"/>
      <c r="S122" s="7"/>
      <c r="T122" s="9"/>
      <c r="U122" s="7"/>
      <c r="V122" s="8"/>
      <c r="W122" s="7"/>
      <c r="X122" s="7"/>
      <c r="Y122" s="8"/>
      <c r="Z122" s="7"/>
      <c r="AA122" s="8"/>
    </row>
    <row r="123" spans="2:27" ht="14.25" thickTop="1" thickBot="1">
      <c r="B123" s="10"/>
      <c r="D123" s="66"/>
      <c r="E123" s="51" t="s">
        <v>932</v>
      </c>
      <c r="F123" s="7"/>
      <c r="G123" s="8"/>
      <c r="H123" s="7"/>
      <c r="I123" s="6"/>
      <c r="J123" s="7"/>
      <c r="K123" s="8"/>
      <c r="L123" s="7"/>
      <c r="M123" s="8"/>
      <c r="N123" s="7"/>
      <c r="O123" s="8"/>
      <c r="P123" s="7"/>
      <c r="Q123" s="7"/>
      <c r="R123" s="8"/>
      <c r="S123" s="7"/>
      <c r="T123" s="9"/>
      <c r="U123" s="7"/>
      <c r="V123" s="8"/>
      <c r="W123" s="7"/>
      <c r="X123" s="7"/>
      <c r="Y123" s="8"/>
      <c r="Z123" s="7"/>
      <c r="AA123" s="8"/>
    </row>
    <row r="124" spans="2:27" ht="14.25" thickTop="1" thickBot="1">
      <c r="B124" s="10"/>
      <c r="D124" s="66"/>
      <c r="E124" s="51" t="s">
        <v>676</v>
      </c>
      <c r="F124" s="7"/>
      <c r="G124" s="8"/>
      <c r="H124" s="7"/>
      <c r="I124" s="6"/>
      <c r="J124" s="7"/>
      <c r="K124" s="8"/>
      <c r="L124" s="7"/>
      <c r="M124" s="8"/>
      <c r="N124" s="7"/>
      <c r="O124" s="8"/>
      <c r="P124" s="7"/>
      <c r="Q124" s="7"/>
      <c r="R124" s="8"/>
      <c r="S124" s="7"/>
      <c r="T124" s="9"/>
      <c r="U124" s="7"/>
      <c r="V124" s="8"/>
      <c r="W124" s="7"/>
      <c r="X124" s="7"/>
      <c r="Y124" s="8"/>
      <c r="Z124" s="7"/>
      <c r="AA124" s="8"/>
    </row>
    <row r="125" spans="2:27" ht="14.25" thickTop="1" thickBot="1">
      <c r="B125" s="10"/>
      <c r="D125" s="66"/>
      <c r="E125" s="51" t="s">
        <v>682</v>
      </c>
      <c r="F125" s="7"/>
      <c r="G125" s="8"/>
      <c r="H125" s="7"/>
      <c r="I125" s="6"/>
      <c r="J125" s="7"/>
      <c r="K125" s="8"/>
      <c r="L125" s="7"/>
      <c r="M125" s="8"/>
      <c r="N125" s="7"/>
      <c r="O125" s="8"/>
      <c r="P125" s="7"/>
      <c r="Q125" s="7"/>
      <c r="R125" s="8"/>
      <c r="S125" s="7"/>
      <c r="T125" s="9"/>
      <c r="U125" s="7"/>
      <c r="V125" s="8"/>
      <c r="W125" s="7"/>
      <c r="X125" s="7"/>
      <c r="Y125" s="8"/>
      <c r="Z125" s="7"/>
      <c r="AA125" s="8"/>
    </row>
    <row r="126" spans="2:27" ht="14.25" thickTop="1" thickBot="1">
      <c r="B126" s="10"/>
      <c r="D126" s="66"/>
      <c r="E126" s="51" t="s">
        <v>494</v>
      </c>
      <c r="F126" s="7"/>
      <c r="G126" s="8"/>
      <c r="H126" s="7"/>
      <c r="I126" s="6"/>
      <c r="J126" s="7"/>
      <c r="K126" s="8"/>
      <c r="L126" s="7"/>
      <c r="M126" s="8"/>
      <c r="N126" s="7"/>
      <c r="O126" s="8"/>
      <c r="P126" s="7"/>
      <c r="Q126" s="7"/>
      <c r="R126" s="8"/>
      <c r="S126" s="7"/>
      <c r="T126" s="9"/>
      <c r="U126" s="7"/>
      <c r="V126" s="8"/>
      <c r="W126" s="7"/>
      <c r="X126" s="7"/>
      <c r="Y126" s="8"/>
      <c r="Z126" s="7"/>
      <c r="AA126" s="8"/>
    </row>
    <row r="127" spans="2:27" ht="14.25" thickTop="1" thickBot="1">
      <c r="B127" s="10"/>
      <c r="D127" s="66"/>
      <c r="E127" s="51" t="s">
        <v>518</v>
      </c>
      <c r="F127" s="7"/>
      <c r="G127" s="8"/>
      <c r="H127" s="7"/>
      <c r="I127" s="6"/>
      <c r="J127" s="7"/>
      <c r="K127" s="8"/>
      <c r="L127" s="7"/>
      <c r="M127" s="8"/>
      <c r="N127" s="7"/>
      <c r="O127" s="8"/>
      <c r="P127" s="7"/>
      <c r="Q127" s="7"/>
      <c r="R127" s="8"/>
      <c r="S127" s="7"/>
      <c r="T127" s="9"/>
      <c r="U127" s="7"/>
      <c r="V127" s="8"/>
      <c r="W127" s="7"/>
      <c r="X127" s="7"/>
      <c r="Y127" s="8"/>
      <c r="Z127" s="7"/>
      <c r="AA127" s="8"/>
    </row>
    <row r="128" spans="2:27" ht="14.25" thickTop="1" thickBot="1">
      <c r="B128" s="10"/>
      <c r="D128" s="66"/>
      <c r="E128" s="51" t="s">
        <v>678</v>
      </c>
      <c r="F128" s="7"/>
      <c r="G128" s="8"/>
      <c r="H128" s="7"/>
      <c r="I128" s="6"/>
      <c r="J128" s="7"/>
      <c r="K128" s="8"/>
      <c r="L128" s="7"/>
      <c r="M128" s="8"/>
      <c r="N128" s="7"/>
      <c r="O128" s="8"/>
      <c r="P128" s="7"/>
      <c r="Q128" s="7"/>
      <c r="R128" s="8"/>
      <c r="S128" s="7"/>
      <c r="T128" s="9"/>
      <c r="U128" s="7"/>
      <c r="V128" s="8"/>
      <c r="W128" s="7"/>
      <c r="X128" s="7"/>
      <c r="Y128" s="8"/>
      <c r="Z128" s="7"/>
      <c r="AA128" s="8"/>
    </row>
    <row r="129" spans="2:27" ht="14.25" thickTop="1" thickBot="1">
      <c r="B129" s="10"/>
      <c r="D129" s="66"/>
      <c r="E129" s="51" t="s">
        <v>566</v>
      </c>
      <c r="F129" s="7"/>
      <c r="G129" s="8"/>
      <c r="H129" s="7"/>
      <c r="I129" s="6"/>
      <c r="J129" s="7"/>
      <c r="K129" s="8"/>
      <c r="L129" s="7"/>
      <c r="M129" s="8"/>
      <c r="N129" s="7"/>
      <c r="O129" s="8"/>
      <c r="P129" s="7"/>
      <c r="Q129" s="7"/>
      <c r="R129" s="8"/>
      <c r="S129" s="7"/>
      <c r="T129" s="9"/>
      <c r="U129" s="7"/>
      <c r="V129" s="8"/>
      <c r="W129" s="7"/>
      <c r="X129" s="7"/>
      <c r="Y129" s="8"/>
      <c r="Z129" s="7"/>
      <c r="AA129" s="8"/>
    </row>
    <row r="130" spans="2:27" ht="14.25" thickTop="1" thickBot="1">
      <c r="B130" s="10"/>
      <c r="D130" s="66"/>
      <c r="E130" s="51" t="s">
        <v>677</v>
      </c>
      <c r="F130" s="7"/>
      <c r="G130" s="8"/>
      <c r="H130" s="7"/>
      <c r="I130" s="6"/>
      <c r="J130" s="7"/>
      <c r="K130" s="8"/>
      <c r="L130" s="7"/>
      <c r="M130" s="8"/>
      <c r="N130" s="7"/>
      <c r="O130" s="8"/>
      <c r="P130" s="7"/>
      <c r="Q130" s="7"/>
      <c r="R130" s="8"/>
      <c r="S130" s="7"/>
      <c r="T130" s="9"/>
      <c r="U130" s="7"/>
      <c r="V130" s="8"/>
      <c r="W130" s="7"/>
      <c r="X130" s="7"/>
      <c r="Y130" s="8"/>
      <c r="Z130" s="7"/>
      <c r="AA130" s="8"/>
    </row>
    <row r="131" spans="2:27" ht="14.25" thickTop="1" thickBot="1">
      <c r="B131" s="10"/>
      <c r="D131" s="66"/>
      <c r="E131" s="51" t="s">
        <v>325</v>
      </c>
      <c r="F131" s="7"/>
      <c r="G131" s="8"/>
      <c r="H131" s="7"/>
      <c r="I131" s="6"/>
      <c r="J131" s="7"/>
      <c r="K131" s="8"/>
      <c r="L131" s="7"/>
      <c r="M131" s="8"/>
      <c r="N131" s="7"/>
      <c r="O131" s="8"/>
      <c r="P131" s="7"/>
      <c r="Q131" s="7"/>
      <c r="R131" s="8"/>
      <c r="S131" s="7"/>
      <c r="T131" s="9"/>
      <c r="U131" s="7"/>
      <c r="V131" s="8"/>
      <c r="W131" s="7"/>
      <c r="X131" s="7"/>
      <c r="Y131" s="8"/>
      <c r="Z131" s="7"/>
      <c r="AA131" s="8"/>
    </row>
    <row r="132" spans="2:27" ht="14.25" thickTop="1" thickBot="1">
      <c r="B132" s="10"/>
      <c r="D132" s="66"/>
      <c r="E132" s="51" t="s">
        <v>599</v>
      </c>
      <c r="F132" s="7"/>
      <c r="G132" s="8"/>
      <c r="H132" s="7"/>
      <c r="I132" s="6"/>
      <c r="J132" s="7"/>
      <c r="K132" s="8"/>
      <c r="L132" s="7"/>
      <c r="M132" s="8"/>
      <c r="N132" s="7"/>
      <c r="O132" s="8"/>
      <c r="P132" s="7"/>
      <c r="Q132" s="7"/>
      <c r="R132" s="8"/>
      <c r="S132" s="7"/>
      <c r="T132" s="9"/>
      <c r="U132" s="7"/>
      <c r="V132" s="8"/>
      <c r="W132" s="7"/>
      <c r="X132" s="7"/>
      <c r="Y132" s="8"/>
      <c r="Z132" s="7"/>
      <c r="AA132" s="8"/>
    </row>
    <row r="133" spans="2:27" ht="14.25" thickTop="1" thickBot="1">
      <c r="B133" s="10"/>
      <c r="D133" s="66"/>
      <c r="E133" s="51" t="s">
        <v>936</v>
      </c>
      <c r="F133" s="7"/>
      <c r="G133" s="8"/>
      <c r="H133" s="7"/>
      <c r="I133" s="6"/>
      <c r="J133" s="7"/>
      <c r="K133" s="8"/>
      <c r="L133" s="7"/>
      <c r="M133" s="8"/>
      <c r="N133" s="7"/>
      <c r="O133" s="8"/>
      <c r="P133" s="7"/>
      <c r="Q133" s="7"/>
      <c r="R133" s="8"/>
      <c r="S133" s="7"/>
      <c r="T133" s="9"/>
      <c r="U133" s="7"/>
      <c r="V133" s="8"/>
      <c r="W133" s="7"/>
      <c r="X133" s="7"/>
      <c r="Y133" s="8"/>
      <c r="Z133" s="7"/>
      <c r="AA133" s="8"/>
    </row>
    <row r="134" spans="2:27" ht="14.25" thickTop="1" thickBot="1">
      <c r="B134" s="10"/>
      <c r="D134" s="66"/>
      <c r="E134" s="51" t="s">
        <v>1115</v>
      </c>
      <c r="F134" s="7"/>
      <c r="G134" s="8"/>
      <c r="H134" s="7"/>
      <c r="I134" s="6"/>
      <c r="J134" s="7"/>
      <c r="K134" s="8"/>
      <c r="L134" s="7"/>
      <c r="M134" s="8"/>
      <c r="N134" s="7"/>
      <c r="O134" s="8"/>
      <c r="P134" s="7"/>
      <c r="Q134" s="7"/>
      <c r="R134" s="8"/>
      <c r="S134" s="7"/>
      <c r="T134" s="9"/>
      <c r="U134" s="7"/>
      <c r="V134" s="8"/>
      <c r="W134" s="7"/>
      <c r="X134" s="7"/>
      <c r="Y134" s="8"/>
      <c r="Z134" s="7"/>
      <c r="AA134" s="8"/>
    </row>
    <row r="135" spans="2:27" ht="14.25" thickTop="1" thickBot="1">
      <c r="B135" s="10"/>
      <c r="D135" s="66"/>
      <c r="E135" s="51" t="s">
        <v>1117</v>
      </c>
      <c r="F135" s="7"/>
      <c r="G135" s="8"/>
      <c r="H135" s="7"/>
      <c r="I135" s="6"/>
      <c r="J135" s="7"/>
      <c r="K135" s="8"/>
      <c r="L135" s="7"/>
      <c r="M135" s="8"/>
      <c r="N135" s="7"/>
      <c r="O135" s="8"/>
      <c r="P135" s="7"/>
      <c r="Q135" s="7"/>
      <c r="R135" s="8"/>
      <c r="S135" s="7"/>
      <c r="T135" s="9"/>
      <c r="U135" s="7"/>
      <c r="V135" s="8"/>
      <c r="W135" s="7"/>
      <c r="X135" s="7"/>
      <c r="Y135" s="8"/>
      <c r="Z135" s="7"/>
      <c r="AA135" s="8"/>
    </row>
    <row r="136" spans="2:27" ht="14.25" thickTop="1" thickBot="1">
      <c r="B136" s="10"/>
      <c r="D136" s="66"/>
      <c r="E136" s="51" t="s">
        <v>1116</v>
      </c>
      <c r="F136" s="7"/>
      <c r="G136" s="8"/>
      <c r="H136" s="7"/>
      <c r="I136" s="6"/>
      <c r="J136" s="7"/>
      <c r="K136" s="8"/>
      <c r="L136" s="7"/>
      <c r="M136" s="8"/>
      <c r="N136" s="7"/>
      <c r="O136" s="8"/>
      <c r="P136" s="7"/>
      <c r="Q136" s="7"/>
      <c r="R136" s="8"/>
      <c r="S136" s="7"/>
      <c r="T136" s="9"/>
      <c r="U136" s="7"/>
      <c r="V136" s="8"/>
      <c r="W136" s="7"/>
      <c r="X136" s="7"/>
      <c r="Y136" s="8"/>
      <c r="Z136" s="7"/>
      <c r="AA136" s="8"/>
    </row>
    <row r="137" spans="2:27" ht="14.25" thickTop="1" thickBot="1">
      <c r="B137" s="10"/>
      <c r="D137" s="66"/>
      <c r="E137" s="51" t="s">
        <v>1283</v>
      </c>
      <c r="F137" s="7"/>
      <c r="G137" s="8"/>
      <c r="H137" s="7"/>
      <c r="I137" s="6"/>
      <c r="J137" s="7"/>
      <c r="K137" s="8"/>
      <c r="L137" s="7"/>
      <c r="M137" s="8"/>
      <c r="N137" s="7"/>
      <c r="O137" s="8"/>
      <c r="P137" s="7"/>
      <c r="Q137" s="7"/>
      <c r="R137" s="8"/>
      <c r="S137" s="7"/>
      <c r="T137" s="9"/>
      <c r="U137" s="7"/>
      <c r="V137" s="8"/>
      <c r="W137" s="7"/>
      <c r="X137" s="7"/>
      <c r="Y137" s="8"/>
      <c r="Z137" s="7"/>
      <c r="AA137" s="8"/>
    </row>
    <row r="138" spans="2:27" ht="14.25" thickTop="1" thickBot="1">
      <c r="B138" s="10"/>
      <c r="D138" s="66"/>
      <c r="E138" s="51" t="s">
        <v>333</v>
      </c>
      <c r="F138" s="7"/>
      <c r="G138" s="8"/>
      <c r="H138" s="7"/>
      <c r="I138" s="6"/>
      <c r="J138" s="7"/>
      <c r="K138" s="8"/>
      <c r="L138" s="7"/>
      <c r="M138" s="8"/>
      <c r="N138" s="7"/>
      <c r="O138" s="8"/>
      <c r="P138" s="7"/>
      <c r="Q138" s="7"/>
      <c r="R138" s="8"/>
      <c r="S138" s="7"/>
      <c r="T138" s="9"/>
      <c r="U138" s="7"/>
      <c r="V138" s="8"/>
      <c r="W138" s="7"/>
      <c r="X138" s="7"/>
      <c r="Y138" s="8"/>
      <c r="Z138" s="7"/>
      <c r="AA138" s="8"/>
    </row>
    <row r="139" spans="2:27" ht="14.25" thickTop="1" thickBot="1">
      <c r="B139" s="10"/>
      <c r="D139" s="66"/>
      <c r="E139" s="51" t="s">
        <v>334</v>
      </c>
      <c r="F139" s="7"/>
      <c r="G139" s="8"/>
      <c r="H139" s="7"/>
      <c r="I139" s="6"/>
      <c r="J139" s="7"/>
      <c r="K139" s="8"/>
      <c r="L139" s="7"/>
      <c r="M139" s="8"/>
      <c r="N139" s="7"/>
      <c r="O139" s="8"/>
      <c r="P139" s="7"/>
      <c r="Q139" s="7"/>
      <c r="R139" s="8"/>
      <c r="S139" s="7"/>
      <c r="T139" s="9"/>
      <c r="U139" s="7"/>
      <c r="V139" s="8"/>
      <c r="W139" s="7"/>
      <c r="X139" s="7"/>
      <c r="Y139" s="8"/>
      <c r="Z139" s="7"/>
      <c r="AA139" s="8"/>
    </row>
    <row r="140" spans="2:27" ht="14.25" thickTop="1" thickBot="1">
      <c r="B140" s="10"/>
      <c r="D140" s="66"/>
      <c r="E140" s="51" t="s">
        <v>519</v>
      </c>
      <c r="F140" s="7"/>
      <c r="G140" s="8"/>
      <c r="H140" s="7"/>
      <c r="I140" s="6"/>
      <c r="J140" s="7"/>
      <c r="K140" s="8"/>
      <c r="L140" s="7"/>
      <c r="M140" s="8"/>
      <c r="N140" s="7"/>
      <c r="O140" s="8"/>
      <c r="P140" s="7"/>
      <c r="Q140" s="7"/>
      <c r="R140" s="8"/>
      <c r="S140" s="7"/>
      <c r="T140" s="9"/>
      <c r="U140" s="7"/>
      <c r="V140" s="8"/>
      <c r="W140" s="7"/>
      <c r="X140" s="7"/>
      <c r="Y140" s="8"/>
      <c r="Z140" s="7"/>
      <c r="AA140" s="8"/>
    </row>
    <row r="141" spans="2:27" ht="14.25" thickTop="1" thickBot="1">
      <c r="B141" s="10"/>
      <c r="D141" s="66"/>
      <c r="E141" s="51" t="s">
        <v>596</v>
      </c>
      <c r="F141" s="7"/>
      <c r="G141" s="8"/>
      <c r="H141" s="7"/>
      <c r="I141" s="6"/>
      <c r="J141" s="7"/>
      <c r="K141" s="8"/>
      <c r="L141" s="7"/>
      <c r="M141" s="8"/>
      <c r="N141" s="7"/>
      <c r="O141" s="8"/>
      <c r="P141" s="7"/>
      <c r="Q141" s="7"/>
      <c r="R141" s="8"/>
      <c r="S141" s="7"/>
      <c r="T141" s="9"/>
      <c r="U141" s="7"/>
      <c r="V141" s="8"/>
      <c r="W141" s="7"/>
      <c r="X141" s="7"/>
      <c r="Y141" s="8"/>
      <c r="Z141" s="7"/>
      <c r="AA141" s="8"/>
    </row>
    <row r="142" spans="2:27" ht="14.25" thickTop="1" thickBot="1">
      <c r="B142" s="10"/>
      <c r="D142" s="66"/>
      <c r="E142" s="51" t="s">
        <v>337</v>
      </c>
      <c r="F142" s="7"/>
      <c r="G142" s="8"/>
      <c r="H142" s="7"/>
      <c r="I142" s="6"/>
      <c r="J142" s="7"/>
      <c r="K142" s="8"/>
      <c r="L142" s="7"/>
      <c r="M142" s="8"/>
      <c r="N142" s="7"/>
      <c r="O142" s="8"/>
      <c r="P142" s="7"/>
      <c r="Q142" s="7"/>
      <c r="R142" s="8"/>
      <c r="S142" s="7"/>
      <c r="T142" s="9"/>
      <c r="U142" s="7"/>
      <c r="V142" s="8"/>
      <c r="W142" s="7"/>
      <c r="X142" s="7"/>
      <c r="Y142" s="8"/>
      <c r="Z142" s="7"/>
      <c r="AA142" s="8"/>
    </row>
    <row r="143" spans="2:27" ht="14.25" thickTop="1" thickBot="1">
      <c r="B143" s="10"/>
      <c r="D143" s="66"/>
      <c r="E143" s="51" t="s">
        <v>601</v>
      </c>
      <c r="F143" s="7"/>
      <c r="G143" s="8"/>
      <c r="H143" s="7"/>
      <c r="I143" s="6"/>
      <c r="J143" s="7"/>
      <c r="K143" s="8"/>
      <c r="L143" s="7"/>
      <c r="M143" s="8"/>
      <c r="N143" s="7"/>
      <c r="O143" s="8"/>
      <c r="P143" s="7"/>
      <c r="Q143" s="7"/>
      <c r="R143" s="8"/>
      <c r="S143" s="7"/>
      <c r="T143" s="9"/>
      <c r="U143" s="7"/>
      <c r="V143" s="8"/>
      <c r="W143" s="7"/>
      <c r="X143" s="7"/>
      <c r="Y143" s="8"/>
      <c r="Z143" s="7"/>
      <c r="AA143" s="8"/>
    </row>
    <row r="144" spans="2:27" ht="14.25" thickTop="1" thickBot="1">
      <c r="B144" s="10"/>
      <c r="D144" s="66"/>
      <c r="E144" s="51" t="s">
        <v>296</v>
      </c>
      <c r="F144" s="7"/>
      <c r="G144" s="8"/>
      <c r="H144" s="7"/>
      <c r="I144" s="6"/>
      <c r="J144" s="7"/>
      <c r="K144" s="8"/>
      <c r="L144" s="7"/>
      <c r="M144" s="8"/>
      <c r="N144" s="7"/>
      <c r="O144" s="8"/>
      <c r="P144" s="7"/>
      <c r="Q144" s="7"/>
      <c r="R144" s="8"/>
      <c r="S144" s="7"/>
      <c r="T144" s="9"/>
      <c r="U144" s="7"/>
      <c r="V144" s="8"/>
      <c r="W144" s="7"/>
      <c r="X144" s="7"/>
      <c r="Y144" s="8"/>
      <c r="Z144" s="7"/>
      <c r="AA144" s="8"/>
    </row>
    <row r="145" spans="2:27" ht="14.25" thickTop="1" thickBot="1">
      <c r="B145" s="10"/>
      <c r="D145" s="66"/>
      <c r="E145" s="51" t="s">
        <v>342</v>
      </c>
      <c r="F145" s="7"/>
      <c r="G145" s="8"/>
      <c r="H145" s="7"/>
      <c r="I145" s="6"/>
      <c r="J145" s="7"/>
      <c r="K145" s="8"/>
      <c r="L145" s="7"/>
      <c r="M145" s="8"/>
      <c r="N145" s="7"/>
      <c r="O145" s="8"/>
      <c r="P145" s="7"/>
      <c r="Q145" s="7"/>
      <c r="R145" s="8"/>
      <c r="S145" s="7"/>
      <c r="T145" s="9"/>
      <c r="U145" s="7"/>
      <c r="V145" s="8"/>
      <c r="W145" s="7"/>
      <c r="X145" s="7"/>
      <c r="Y145" s="8"/>
      <c r="Z145" s="7"/>
      <c r="AA145" s="8"/>
    </row>
    <row r="146" spans="2:27" ht="14.25" thickTop="1" thickBot="1">
      <c r="B146" s="10"/>
      <c r="D146" s="66"/>
      <c r="E146" s="51" t="s">
        <v>344</v>
      </c>
      <c r="F146" s="7"/>
      <c r="G146" s="8"/>
      <c r="H146" s="7"/>
      <c r="I146" s="6"/>
      <c r="J146" s="7"/>
      <c r="K146" s="8"/>
      <c r="L146" s="7"/>
      <c r="M146" s="8"/>
      <c r="N146" s="7"/>
      <c r="O146" s="8"/>
      <c r="P146" s="7"/>
      <c r="Q146" s="7"/>
      <c r="R146" s="8"/>
      <c r="S146" s="7"/>
      <c r="T146" s="9"/>
      <c r="U146" s="7"/>
      <c r="V146" s="8"/>
      <c r="W146" s="7"/>
      <c r="X146" s="7"/>
      <c r="Y146" s="8"/>
      <c r="Z146" s="7"/>
      <c r="AA146" s="8"/>
    </row>
    <row r="147" spans="2:27" ht="14.25" thickTop="1" thickBot="1">
      <c r="B147" s="10"/>
      <c r="D147" s="66"/>
      <c r="E147" s="51" t="s">
        <v>673</v>
      </c>
      <c r="F147" s="7"/>
      <c r="G147" s="8"/>
      <c r="H147" s="7"/>
      <c r="I147" s="6"/>
      <c r="J147" s="7"/>
      <c r="K147" s="8"/>
      <c r="L147" s="7"/>
      <c r="M147" s="8"/>
      <c r="N147" s="7"/>
      <c r="O147" s="8"/>
      <c r="P147" s="7"/>
      <c r="Q147" s="7"/>
      <c r="R147" s="8"/>
      <c r="S147" s="7"/>
      <c r="T147" s="9"/>
      <c r="U147" s="7"/>
      <c r="V147" s="8"/>
      <c r="W147" s="7"/>
      <c r="X147" s="7"/>
      <c r="Y147" s="8"/>
      <c r="Z147" s="7"/>
      <c r="AA147" s="8"/>
    </row>
    <row r="148" spans="2:27" ht="14.25" thickTop="1" thickBot="1">
      <c r="B148" s="10"/>
      <c r="D148" s="66"/>
      <c r="E148" s="51" t="s">
        <v>564</v>
      </c>
      <c r="F148" s="7"/>
      <c r="G148" s="8"/>
      <c r="H148" s="7"/>
      <c r="I148" s="6"/>
      <c r="J148" s="7"/>
      <c r="K148" s="8"/>
      <c r="L148" s="7"/>
      <c r="M148" s="8"/>
      <c r="N148" s="7"/>
      <c r="O148" s="8"/>
      <c r="P148" s="7"/>
      <c r="Q148" s="7"/>
      <c r="R148" s="8"/>
      <c r="S148" s="7"/>
      <c r="T148" s="9"/>
      <c r="U148" s="7"/>
      <c r="V148" s="8"/>
      <c r="W148" s="7"/>
      <c r="X148" s="7"/>
      <c r="Y148" s="8"/>
      <c r="Z148" s="7"/>
      <c r="AA148" s="8"/>
    </row>
    <row r="149" spans="2:27" ht="14.25" thickTop="1" thickBot="1">
      <c r="B149" s="10"/>
      <c r="D149" s="66"/>
      <c r="E149" s="51" t="s">
        <v>346</v>
      </c>
      <c r="F149" s="7"/>
      <c r="G149" s="8"/>
      <c r="H149" s="7"/>
      <c r="I149" s="6"/>
      <c r="J149" s="7"/>
      <c r="K149" s="8"/>
      <c r="L149" s="7"/>
      <c r="M149" s="8"/>
      <c r="N149" s="7"/>
      <c r="O149" s="8"/>
      <c r="P149" s="7"/>
      <c r="Q149" s="7"/>
      <c r="R149" s="8"/>
      <c r="S149" s="7"/>
      <c r="T149" s="9"/>
      <c r="U149" s="7"/>
      <c r="V149" s="8"/>
      <c r="W149" s="7"/>
      <c r="X149" s="7"/>
      <c r="Y149" s="8"/>
      <c r="Z149" s="7"/>
      <c r="AA149" s="8"/>
    </row>
    <row r="150" spans="2:27" ht="14.25" thickTop="1" thickBot="1">
      <c r="B150" s="10"/>
      <c r="D150" s="66"/>
      <c r="E150" s="51" t="s">
        <v>592</v>
      </c>
      <c r="F150" s="7"/>
      <c r="G150" s="8"/>
      <c r="H150" s="7"/>
      <c r="I150" s="6"/>
      <c r="J150" s="7"/>
      <c r="K150" s="8"/>
      <c r="L150" s="7"/>
      <c r="M150" s="8"/>
      <c r="N150" s="7"/>
      <c r="O150" s="8"/>
      <c r="P150" s="7"/>
      <c r="Q150" s="7"/>
      <c r="R150" s="8"/>
      <c r="S150" s="7"/>
      <c r="T150" s="9"/>
      <c r="U150" s="7"/>
      <c r="V150" s="8"/>
      <c r="W150" s="7"/>
      <c r="X150" s="7"/>
      <c r="Y150" s="8"/>
      <c r="Z150" s="7"/>
      <c r="AA150" s="8"/>
    </row>
    <row r="151" spans="2:27" ht="14.25" thickTop="1" thickBot="1">
      <c r="B151" s="10"/>
      <c r="D151" s="66"/>
      <c r="E151" s="51" t="s">
        <v>939</v>
      </c>
      <c r="F151" s="7"/>
      <c r="G151" s="8"/>
      <c r="H151" s="7"/>
      <c r="I151" s="6"/>
      <c r="J151" s="7"/>
      <c r="K151" s="8"/>
      <c r="L151" s="7"/>
      <c r="M151" s="8"/>
      <c r="N151" s="7"/>
      <c r="O151" s="8"/>
      <c r="P151" s="7"/>
      <c r="Q151" s="7"/>
      <c r="R151" s="8"/>
      <c r="S151" s="7"/>
      <c r="T151" s="9"/>
      <c r="U151" s="7"/>
      <c r="V151" s="8"/>
      <c r="W151" s="7"/>
      <c r="X151" s="7"/>
      <c r="Y151" s="8"/>
      <c r="Z151" s="7"/>
      <c r="AA151" s="8"/>
    </row>
    <row r="152" spans="2:27" ht="14.25" thickTop="1" thickBot="1">
      <c r="B152" s="10"/>
      <c r="D152" s="66"/>
      <c r="E152" s="51" t="s">
        <v>955</v>
      </c>
      <c r="F152" s="7"/>
      <c r="G152" s="8"/>
      <c r="H152" s="7"/>
      <c r="I152" s="6"/>
      <c r="J152" s="7"/>
      <c r="K152" s="8"/>
      <c r="L152" s="7"/>
      <c r="M152" s="8"/>
      <c r="N152" s="7"/>
      <c r="O152" s="8"/>
      <c r="P152" s="7"/>
      <c r="Q152" s="7"/>
      <c r="R152" s="8"/>
      <c r="S152" s="7"/>
      <c r="T152" s="9"/>
      <c r="U152" s="7"/>
      <c r="V152" s="8"/>
      <c r="W152" s="7"/>
      <c r="X152" s="7"/>
      <c r="Y152" s="8"/>
      <c r="Z152" s="7"/>
      <c r="AA152" s="8"/>
    </row>
    <row r="153" spans="2:27" ht="14.25" thickTop="1" thickBot="1">
      <c r="B153" s="10"/>
      <c r="D153" s="66"/>
      <c r="E153" s="51" t="s">
        <v>956</v>
      </c>
      <c r="F153" s="7"/>
      <c r="G153" s="8"/>
      <c r="H153" s="7"/>
      <c r="I153" s="6"/>
      <c r="J153" s="7"/>
      <c r="K153" s="8"/>
      <c r="L153" s="7"/>
      <c r="M153" s="8"/>
      <c r="N153" s="7"/>
      <c r="O153" s="8"/>
      <c r="P153" s="7"/>
      <c r="Q153" s="7"/>
      <c r="R153" s="8"/>
      <c r="S153" s="7"/>
      <c r="T153" s="9"/>
      <c r="U153" s="7"/>
      <c r="V153" s="8"/>
      <c r="W153" s="7"/>
      <c r="X153" s="7"/>
      <c r="Y153" s="8"/>
      <c r="Z153" s="7"/>
      <c r="AA153" s="8"/>
    </row>
    <row r="154" spans="2:27" ht="14.25" thickTop="1" thickBot="1">
      <c r="B154" s="10"/>
      <c r="D154" s="66"/>
      <c r="E154" s="51" t="s">
        <v>957</v>
      </c>
      <c r="F154" s="7"/>
      <c r="G154" s="8"/>
      <c r="H154" s="7"/>
      <c r="I154" s="6"/>
      <c r="J154" s="7"/>
      <c r="K154" s="8"/>
      <c r="L154" s="7"/>
      <c r="M154" s="8"/>
      <c r="N154" s="7"/>
      <c r="O154" s="8"/>
      <c r="P154" s="7"/>
      <c r="Q154" s="7"/>
      <c r="R154" s="8"/>
      <c r="S154" s="7"/>
      <c r="T154" s="9"/>
      <c r="U154" s="7"/>
      <c r="V154" s="8"/>
      <c r="W154" s="7"/>
      <c r="X154" s="7"/>
      <c r="Y154" s="8"/>
      <c r="Z154" s="7"/>
      <c r="AA154" s="8"/>
    </row>
    <row r="155" spans="2:27" ht="14.25" thickTop="1" thickBot="1">
      <c r="B155" s="10"/>
      <c r="D155" s="66"/>
      <c r="E155" s="51" t="s">
        <v>347</v>
      </c>
      <c r="F155" s="7"/>
      <c r="G155" s="8"/>
      <c r="H155" s="7"/>
      <c r="I155" s="6"/>
      <c r="J155" s="7"/>
      <c r="K155" s="8"/>
      <c r="L155" s="7"/>
      <c r="M155" s="8"/>
      <c r="N155" s="7"/>
      <c r="O155" s="8"/>
      <c r="P155" s="7"/>
      <c r="Q155" s="7"/>
      <c r="R155" s="8"/>
      <c r="S155" s="7"/>
      <c r="T155" s="9"/>
      <c r="U155" s="7"/>
      <c r="V155" s="8"/>
      <c r="W155" s="7"/>
      <c r="X155" s="7"/>
      <c r="Y155" s="8"/>
      <c r="Z155" s="7"/>
      <c r="AA155" s="8"/>
    </row>
    <row r="156" spans="2:27" ht="14.25" thickTop="1" thickBot="1">
      <c r="B156" s="10"/>
      <c r="D156" s="66"/>
      <c r="E156" s="51" t="s">
        <v>349</v>
      </c>
      <c r="F156" s="7"/>
      <c r="G156" s="8"/>
      <c r="H156" s="7"/>
      <c r="I156" s="6"/>
      <c r="J156" s="7"/>
      <c r="K156" s="8"/>
      <c r="L156" s="7"/>
      <c r="M156" s="8"/>
      <c r="N156" s="7"/>
      <c r="O156" s="8"/>
      <c r="P156" s="7"/>
      <c r="Q156" s="7"/>
      <c r="R156" s="8"/>
      <c r="S156" s="7"/>
      <c r="T156" s="9"/>
      <c r="U156" s="7"/>
      <c r="V156" s="8"/>
      <c r="W156" s="7"/>
      <c r="X156" s="7"/>
      <c r="Y156" s="8"/>
      <c r="Z156" s="7"/>
      <c r="AA156" s="8"/>
    </row>
    <row r="157" spans="2:27" ht="14.25" thickTop="1" thickBot="1">
      <c r="B157" s="10"/>
      <c r="D157" s="66"/>
      <c r="E157" s="51" t="s">
        <v>353</v>
      </c>
      <c r="F157" s="7"/>
      <c r="G157" s="8"/>
      <c r="H157" s="7"/>
      <c r="I157" s="6"/>
      <c r="J157" s="7"/>
      <c r="K157" s="8"/>
      <c r="L157" s="7"/>
      <c r="M157" s="8"/>
      <c r="N157" s="7"/>
      <c r="O157" s="8"/>
      <c r="P157" s="7"/>
      <c r="Q157" s="7"/>
      <c r="R157" s="8"/>
      <c r="S157" s="7"/>
      <c r="T157" s="9"/>
      <c r="U157" s="7"/>
      <c r="V157" s="8"/>
      <c r="W157" s="7"/>
      <c r="X157" s="7"/>
      <c r="Y157" s="8"/>
      <c r="Z157" s="7"/>
      <c r="AA157" s="8"/>
    </row>
    <row r="158" spans="2:27" ht="14.25" thickTop="1" thickBot="1">
      <c r="B158" s="10"/>
      <c r="D158" s="66"/>
      <c r="E158" s="51" t="s">
        <v>1148</v>
      </c>
      <c r="F158" s="7"/>
      <c r="G158" s="8"/>
      <c r="H158" s="7"/>
      <c r="I158" s="6"/>
      <c r="J158" s="7"/>
      <c r="K158" s="8"/>
      <c r="L158" s="7"/>
      <c r="M158" s="8"/>
      <c r="N158" s="7"/>
      <c r="O158" s="8"/>
      <c r="P158" s="7"/>
      <c r="Q158" s="7"/>
      <c r="R158" s="8"/>
      <c r="S158" s="7"/>
      <c r="T158" s="9"/>
      <c r="U158" s="7"/>
      <c r="V158" s="8"/>
      <c r="W158" s="7"/>
      <c r="X158" s="7"/>
      <c r="Y158" s="8"/>
      <c r="Z158" s="7"/>
      <c r="AA158" s="8"/>
    </row>
    <row r="159" spans="2:27" ht="14.25" thickTop="1" thickBot="1">
      <c r="B159" s="10"/>
      <c r="D159" s="66"/>
      <c r="E159" s="51" t="s">
        <v>684</v>
      </c>
      <c r="F159" s="7"/>
      <c r="G159" s="8"/>
      <c r="H159" s="7"/>
      <c r="I159" s="6"/>
      <c r="J159" s="7"/>
      <c r="K159" s="8"/>
      <c r="L159" s="7"/>
      <c r="M159" s="8"/>
      <c r="N159" s="7"/>
      <c r="O159" s="8"/>
      <c r="P159" s="7"/>
      <c r="Q159" s="7"/>
      <c r="R159" s="8"/>
      <c r="S159" s="7"/>
      <c r="T159" s="9"/>
      <c r="U159" s="7"/>
      <c r="V159" s="8"/>
      <c r="W159" s="7"/>
      <c r="X159" s="7"/>
      <c r="Y159" s="8"/>
      <c r="Z159" s="7"/>
      <c r="AA159" s="8"/>
    </row>
    <row r="160" spans="2:27" ht="14.25" thickTop="1" thickBot="1">
      <c r="B160" s="10"/>
      <c r="D160" s="66"/>
      <c r="E160" s="51" t="s">
        <v>935</v>
      </c>
      <c r="F160" s="7"/>
      <c r="G160" s="8"/>
      <c r="H160" s="7"/>
      <c r="I160" s="6"/>
      <c r="J160" s="7"/>
      <c r="K160" s="8"/>
      <c r="L160" s="7"/>
      <c r="M160" s="8"/>
      <c r="N160" s="7"/>
      <c r="O160" s="8"/>
      <c r="P160" s="7"/>
      <c r="Q160" s="7"/>
      <c r="R160" s="8"/>
      <c r="S160" s="7"/>
      <c r="T160" s="9"/>
      <c r="U160" s="7"/>
      <c r="V160" s="8"/>
      <c r="W160" s="7"/>
      <c r="X160" s="7"/>
      <c r="Y160" s="8"/>
      <c r="Z160" s="7"/>
      <c r="AA160" s="8"/>
    </row>
    <row r="161" spans="2:27" ht="14.25" thickTop="1" thickBot="1">
      <c r="B161" s="10"/>
      <c r="D161" s="66"/>
      <c r="E161" s="51" t="s">
        <v>940</v>
      </c>
      <c r="F161" s="7"/>
      <c r="G161" s="8"/>
      <c r="H161" s="7"/>
      <c r="I161" s="6"/>
      <c r="J161" s="7"/>
      <c r="K161" s="8"/>
      <c r="L161" s="7"/>
      <c r="M161" s="8"/>
      <c r="N161" s="7"/>
      <c r="O161" s="8"/>
      <c r="P161" s="7"/>
      <c r="Q161" s="7"/>
      <c r="R161" s="8"/>
      <c r="S161" s="7"/>
      <c r="T161" s="9"/>
      <c r="U161" s="7"/>
      <c r="V161" s="8"/>
      <c r="W161" s="7"/>
      <c r="X161" s="7"/>
      <c r="Y161" s="8"/>
      <c r="Z161" s="7"/>
      <c r="AA161" s="8"/>
    </row>
    <row r="162" spans="2:27" ht="14.25" thickTop="1" thickBot="1">
      <c r="D162" s="66"/>
      <c r="E162" s="51" t="s">
        <v>354</v>
      </c>
      <c r="F162" s="7"/>
      <c r="G162" s="8"/>
      <c r="H162" s="7"/>
      <c r="I162" s="6"/>
      <c r="J162" s="7"/>
      <c r="K162" s="8"/>
      <c r="L162" s="7"/>
      <c r="M162" s="8"/>
      <c r="N162" s="7"/>
      <c r="O162" s="8"/>
      <c r="P162" s="7"/>
      <c r="Q162" s="7"/>
      <c r="R162" s="8"/>
      <c r="S162" s="7"/>
      <c r="T162" s="9"/>
      <c r="U162" s="7"/>
      <c r="V162" s="8"/>
      <c r="W162" s="7"/>
      <c r="X162" s="7"/>
      <c r="Y162" s="8"/>
      <c r="Z162" s="7"/>
      <c r="AA162" s="8"/>
    </row>
    <row r="163" spans="2:27" ht="14.25" thickTop="1" thickBot="1">
      <c r="D163" s="66"/>
      <c r="E163" s="51" t="s">
        <v>355</v>
      </c>
      <c r="F163" s="7"/>
      <c r="G163" s="8"/>
      <c r="H163" s="7"/>
      <c r="I163" s="6"/>
      <c r="J163" s="7"/>
      <c r="K163" s="8"/>
      <c r="L163" s="7"/>
      <c r="M163" s="8"/>
      <c r="N163" s="7"/>
      <c r="O163" s="8"/>
      <c r="P163" s="7"/>
      <c r="Q163" s="7"/>
      <c r="R163" s="8"/>
      <c r="S163" s="7"/>
      <c r="T163" s="9"/>
      <c r="U163" s="7"/>
      <c r="V163" s="8"/>
      <c r="W163" s="7"/>
      <c r="X163" s="7"/>
      <c r="Y163" s="8"/>
      <c r="Z163" s="7"/>
      <c r="AA163" s="8"/>
    </row>
    <row r="164" spans="2:27" ht="14.25" thickTop="1" thickBot="1">
      <c r="D164" s="66"/>
      <c r="E164" s="51" t="s">
        <v>565</v>
      </c>
      <c r="F164" s="7"/>
      <c r="G164" s="8"/>
      <c r="H164" s="7"/>
      <c r="I164" s="6"/>
      <c r="J164" s="7"/>
      <c r="K164" s="8"/>
      <c r="L164" s="7"/>
      <c r="M164" s="8"/>
      <c r="N164" s="7"/>
      <c r="O164" s="8"/>
      <c r="P164" s="7"/>
      <c r="Q164" s="7"/>
      <c r="R164" s="8"/>
      <c r="S164" s="7"/>
      <c r="T164" s="9"/>
      <c r="U164" s="7"/>
      <c r="V164" s="8"/>
      <c r="W164" s="7"/>
      <c r="X164" s="7"/>
      <c r="Y164" s="8"/>
      <c r="Z164" s="7"/>
      <c r="AA164" s="8"/>
    </row>
    <row r="165" spans="2:27" ht="14.25" thickTop="1" thickBot="1">
      <c r="D165" s="66"/>
      <c r="E165" s="51" t="s">
        <v>923</v>
      </c>
      <c r="F165" s="7"/>
      <c r="G165" s="8"/>
      <c r="H165" s="7"/>
      <c r="I165" s="6"/>
      <c r="J165" s="7"/>
      <c r="K165" s="8"/>
      <c r="L165" s="7"/>
      <c r="M165" s="8"/>
      <c r="N165" s="7"/>
      <c r="O165" s="8"/>
      <c r="P165" s="7"/>
      <c r="Q165" s="7"/>
      <c r="R165" s="8"/>
      <c r="S165" s="7"/>
      <c r="T165" s="9"/>
      <c r="U165" s="7"/>
      <c r="V165" s="8"/>
      <c r="W165" s="7"/>
      <c r="X165" s="7"/>
      <c r="Y165" s="8"/>
      <c r="Z165" s="7"/>
      <c r="AA165" s="8"/>
    </row>
    <row r="166" spans="2:27" ht="14.25" thickTop="1" thickBot="1">
      <c r="D166" s="66"/>
      <c r="E166" s="51" t="s">
        <v>910</v>
      </c>
      <c r="F166" s="7"/>
      <c r="G166" s="8"/>
      <c r="H166" s="7"/>
      <c r="I166" s="6"/>
      <c r="J166" s="7"/>
      <c r="K166" s="8"/>
      <c r="L166" s="7"/>
      <c r="M166" s="8"/>
      <c r="N166" s="7"/>
      <c r="O166" s="8"/>
      <c r="P166" s="7"/>
      <c r="Q166" s="7"/>
      <c r="R166" s="8"/>
      <c r="S166" s="7"/>
      <c r="T166" s="9"/>
      <c r="U166" s="7"/>
      <c r="V166" s="8"/>
      <c r="W166" s="7"/>
      <c r="X166" s="7"/>
      <c r="Y166" s="8"/>
      <c r="Z166" s="7"/>
      <c r="AA166" s="8"/>
    </row>
    <row r="167" spans="2:27" ht="14.25" thickTop="1" thickBot="1">
      <c r="D167" s="66"/>
      <c r="E167" s="51" t="s">
        <v>814</v>
      </c>
      <c r="F167" s="7"/>
      <c r="G167" s="8"/>
      <c r="H167" s="7"/>
      <c r="I167" s="6"/>
      <c r="J167" s="7"/>
      <c r="K167" s="8"/>
      <c r="L167" s="7"/>
      <c r="M167" s="8"/>
      <c r="N167" s="7"/>
      <c r="O167" s="8"/>
      <c r="P167" s="7"/>
      <c r="Q167" s="7"/>
      <c r="R167" s="8"/>
      <c r="S167" s="7"/>
      <c r="T167" s="9"/>
      <c r="U167" s="7"/>
      <c r="V167" s="8"/>
      <c r="W167" s="7"/>
      <c r="X167" s="7"/>
      <c r="Y167" s="8"/>
      <c r="Z167" s="7"/>
      <c r="AA167" s="8"/>
    </row>
    <row r="168" spans="2:27" ht="14.25" thickTop="1" thickBot="1">
      <c r="D168" s="66"/>
      <c r="E168" s="51" t="s">
        <v>815</v>
      </c>
      <c r="F168" s="7"/>
      <c r="G168" s="8"/>
      <c r="H168" s="7"/>
      <c r="I168" s="6"/>
      <c r="J168" s="7"/>
      <c r="K168" s="8"/>
      <c r="L168" s="7"/>
      <c r="M168" s="8"/>
      <c r="N168" s="7"/>
      <c r="O168" s="8"/>
      <c r="P168" s="7"/>
      <c r="Q168" s="7"/>
      <c r="R168" s="8"/>
      <c r="S168" s="7"/>
      <c r="T168" s="9"/>
      <c r="U168" s="7"/>
      <c r="V168" s="8"/>
      <c r="W168" s="7"/>
      <c r="X168" s="7"/>
      <c r="Y168" s="8"/>
      <c r="Z168" s="7"/>
      <c r="AA168" s="8"/>
    </row>
    <row r="169" spans="2:27" ht="14.25" thickTop="1" thickBot="1">
      <c r="D169" s="66"/>
      <c r="E169" s="51" t="s">
        <v>817</v>
      </c>
      <c r="F169" s="7"/>
      <c r="G169" s="8"/>
      <c r="H169" s="7"/>
      <c r="I169" s="6"/>
      <c r="J169" s="7"/>
      <c r="K169" s="8"/>
      <c r="L169" s="7"/>
      <c r="M169" s="8"/>
      <c r="N169" s="7"/>
      <c r="O169" s="8"/>
      <c r="P169" s="7"/>
      <c r="Q169" s="7"/>
      <c r="R169" s="8"/>
      <c r="S169" s="7"/>
      <c r="T169" s="9"/>
      <c r="U169" s="7"/>
      <c r="V169" s="8"/>
      <c r="W169" s="7"/>
      <c r="X169" s="7"/>
      <c r="Y169" s="8"/>
      <c r="Z169" s="7"/>
      <c r="AA169" s="8"/>
    </row>
    <row r="170" spans="2:27" ht="14.25" thickTop="1" thickBot="1">
      <c r="D170" s="66"/>
      <c r="E170" s="51" t="s">
        <v>832</v>
      </c>
      <c r="F170" s="7"/>
      <c r="G170" s="8"/>
      <c r="H170" s="7"/>
      <c r="I170" s="6"/>
      <c r="J170" s="7"/>
      <c r="K170" s="8"/>
      <c r="L170" s="7"/>
      <c r="M170" s="8"/>
      <c r="N170" s="7"/>
      <c r="O170" s="8"/>
      <c r="P170" s="7"/>
      <c r="Q170" s="7"/>
      <c r="R170" s="8"/>
      <c r="S170" s="7"/>
      <c r="T170" s="9"/>
      <c r="U170" s="7"/>
      <c r="V170" s="8"/>
      <c r="W170" s="7"/>
      <c r="X170" s="7"/>
      <c r="Y170" s="8"/>
      <c r="Z170" s="7"/>
      <c r="AA170" s="8"/>
    </row>
    <row r="171" spans="2:27" ht="14.25" thickTop="1" thickBot="1">
      <c r="D171" s="66"/>
      <c r="E171" s="51" t="s">
        <v>830</v>
      </c>
      <c r="F171" s="7"/>
      <c r="G171" s="8"/>
      <c r="H171" s="7"/>
      <c r="I171" s="6"/>
      <c r="J171" s="7"/>
      <c r="K171" s="8"/>
      <c r="L171" s="7"/>
      <c r="M171" s="8"/>
      <c r="N171" s="7"/>
      <c r="O171" s="8"/>
      <c r="P171" s="7"/>
      <c r="Q171" s="7"/>
      <c r="R171" s="8"/>
      <c r="S171" s="7"/>
      <c r="T171" s="9"/>
      <c r="U171" s="7"/>
      <c r="V171" s="8"/>
      <c r="W171" s="7"/>
      <c r="X171" s="7"/>
      <c r="Y171" s="8"/>
      <c r="Z171" s="7"/>
      <c r="AA171" s="8"/>
    </row>
    <row r="172" spans="2:27" ht="14.25" thickTop="1" thickBot="1">
      <c r="D172" s="66"/>
      <c r="E172" s="51" t="s">
        <v>403</v>
      </c>
      <c r="F172" s="7"/>
      <c r="G172" s="8"/>
      <c r="H172" s="7"/>
      <c r="I172" s="6"/>
      <c r="J172" s="7"/>
      <c r="K172" s="8"/>
      <c r="L172" s="7"/>
      <c r="M172" s="8"/>
      <c r="N172" s="7"/>
      <c r="O172" s="8"/>
      <c r="P172" s="7"/>
      <c r="Q172" s="7"/>
      <c r="R172" s="8"/>
      <c r="S172" s="7"/>
      <c r="T172" s="9"/>
      <c r="U172" s="7"/>
      <c r="V172" s="8"/>
      <c r="W172" s="7"/>
      <c r="X172" s="7"/>
      <c r="Y172" s="8"/>
      <c r="Z172" s="7"/>
      <c r="AA172" s="8"/>
    </row>
    <row r="173" spans="2:27" ht="14.25" thickTop="1" thickBot="1">
      <c r="D173" s="66"/>
      <c r="E173" s="51" t="s">
        <v>846</v>
      </c>
      <c r="F173" s="7"/>
      <c r="G173" s="8"/>
      <c r="H173" s="7"/>
      <c r="I173" s="6"/>
      <c r="J173" s="7"/>
      <c r="K173" s="8"/>
      <c r="L173" s="7"/>
      <c r="M173" s="8"/>
      <c r="N173" s="7"/>
      <c r="O173" s="8"/>
      <c r="P173" s="7"/>
      <c r="Q173" s="7"/>
      <c r="R173" s="8"/>
      <c r="S173" s="7"/>
      <c r="T173" s="9"/>
      <c r="U173" s="7"/>
      <c r="V173" s="8"/>
      <c r="W173" s="7"/>
      <c r="X173" s="7"/>
      <c r="Y173" s="8"/>
      <c r="Z173" s="7"/>
      <c r="AA173" s="8"/>
    </row>
    <row r="174" spans="2:27" ht="14.25" thickTop="1" thickBot="1">
      <c r="D174" s="66"/>
      <c r="E174" s="51" t="s">
        <v>813</v>
      </c>
      <c r="F174" s="7"/>
      <c r="G174" s="8"/>
      <c r="H174" s="7"/>
      <c r="I174" s="6"/>
      <c r="J174" s="7"/>
      <c r="K174" s="8"/>
      <c r="L174" s="7"/>
      <c r="M174" s="8"/>
      <c r="N174" s="7"/>
      <c r="O174" s="8"/>
      <c r="P174" s="7"/>
      <c r="Q174" s="7"/>
      <c r="R174" s="8"/>
      <c r="S174" s="7"/>
      <c r="T174" s="9"/>
      <c r="U174" s="7"/>
      <c r="V174" s="8"/>
      <c r="W174" s="7"/>
      <c r="X174" s="7"/>
      <c r="Y174" s="8"/>
      <c r="Z174" s="7"/>
      <c r="AA174" s="8"/>
    </row>
    <row r="175" spans="2:27" ht="14.25" thickTop="1" thickBot="1">
      <c r="D175" s="66"/>
      <c r="E175" s="51" t="s">
        <v>816</v>
      </c>
      <c r="F175" s="7"/>
      <c r="G175" s="8"/>
      <c r="H175" s="7"/>
      <c r="I175" s="6"/>
      <c r="J175" s="7"/>
      <c r="K175" s="8"/>
      <c r="L175" s="7"/>
      <c r="M175" s="8"/>
      <c r="N175" s="7"/>
      <c r="O175" s="8"/>
      <c r="P175" s="7"/>
      <c r="Q175" s="7"/>
      <c r="R175" s="8"/>
      <c r="S175" s="7"/>
      <c r="T175" s="9"/>
      <c r="U175" s="7"/>
      <c r="V175" s="8"/>
      <c r="W175" s="7"/>
      <c r="X175" s="7"/>
      <c r="Y175" s="8"/>
      <c r="Z175" s="7"/>
      <c r="AA175" s="8"/>
    </row>
    <row r="176" spans="2:27" ht="14.25" thickTop="1" thickBot="1">
      <c r="D176" s="66"/>
      <c r="E176" s="51" t="s">
        <v>818</v>
      </c>
      <c r="F176" s="7"/>
      <c r="G176" s="8"/>
      <c r="H176" s="7"/>
      <c r="I176" s="6"/>
      <c r="J176" s="7"/>
      <c r="K176" s="8"/>
      <c r="L176" s="7"/>
      <c r="M176" s="8"/>
      <c r="N176" s="7"/>
      <c r="O176" s="8"/>
      <c r="P176" s="7"/>
      <c r="Q176" s="7"/>
      <c r="R176" s="8"/>
      <c r="S176" s="7"/>
      <c r="T176" s="9"/>
      <c r="U176" s="7"/>
      <c r="V176" s="8"/>
      <c r="W176" s="7"/>
      <c r="X176" s="7"/>
      <c r="Y176" s="8"/>
      <c r="Z176" s="7"/>
      <c r="AA176" s="8"/>
    </row>
    <row r="177" spans="4:27" ht="14.25" thickTop="1" thickBot="1">
      <c r="D177" s="66"/>
      <c r="E177" s="51" t="s">
        <v>402</v>
      </c>
      <c r="F177" s="7"/>
      <c r="G177" s="8"/>
      <c r="H177" s="7"/>
      <c r="I177" s="6"/>
      <c r="J177" s="7"/>
      <c r="K177" s="8"/>
      <c r="L177" s="7"/>
      <c r="M177" s="8"/>
      <c r="N177" s="7"/>
      <c r="O177" s="8"/>
      <c r="P177" s="7"/>
      <c r="Q177" s="7"/>
      <c r="R177" s="8"/>
      <c r="S177" s="7"/>
      <c r="T177" s="9"/>
      <c r="U177" s="7"/>
      <c r="V177" s="8"/>
      <c r="W177" s="7"/>
      <c r="X177" s="7"/>
      <c r="Y177" s="8"/>
      <c r="Z177" s="7"/>
      <c r="AA177" s="8"/>
    </row>
    <row r="178" spans="4:27" ht="14.25" thickTop="1" thickBot="1">
      <c r="D178" s="66"/>
      <c r="E178" s="51" t="s">
        <v>823</v>
      </c>
      <c r="F178" s="7"/>
      <c r="G178" s="8"/>
      <c r="H178" s="7"/>
      <c r="I178" s="6"/>
      <c r="J178" s="7"/>
      <c r="K178" s="8"/>
      <c r="L178" s="7"/>
      <c r="M178" s="8"/>
      <c r="N178" s="7"/>
      <c r="O178" s="8"/>
      <c r="P178" s="7"/>
      <c r="Q178" s="7"/>
      <c r="R178" s="8"/>
      <c r="S178" s="7"/>
      <c r="T178" s="9"/>
      <c r="U178" s="7"/>
      <c r="V178" s="8"/>
      <c r="W178" s="7"/>
      <c r="X178" s="7"/>
      <c r="Y178" s="8"/>
      <c r="Z178" s="7"/>
      <c r="AA178" s="8"/>
    </row>
    <row r="179" spans="4:27" ht="14.25" thickTop="1" thickBot="1">
      <c r="D179" s="66"/>
      <c r="E179" s="51" t="s">
        <v>836</v>
      </c>
      <c r="F179" s="7"/>
      <c r="G179" s="8"/>
      <c r="H179" s="7"/>
      <c r="I179" s="6"/>
      <c r="J179" s="7"/>
      <c r="K179" s="8"/>
      <c r="L179" s="7"/>
      <c r="M179" s="8"/>
      <c r="N179" s="7"/>
      <c r="O179" s="8"/>
      <c r="P179" s="7"/>
      <c r="Q179" s="7"/>
      <c r="R179" s="8"/>
      <c r="S179" s="7"/>
      <c r="T179" s="9"/>
      <c r="U179" s="7"/>
      <c r="V179" s="8"/>
      <c r="W179" s="7"/>
      <c r="X179" s="7"/>
      <c r="Y179" s="8"/>
      <c r="Z179" s="7"/>
      <c r="AA179" s="8"/>
    </row>
    <row r="180" spans="4:27" ht="14.25" thickTop="1" thickBot="1">
      <c r="D180" s="66"/>
      <c r="E180" s="51" t="s">
        <v>831</v>
      </c>
      <c r="F180" s="7"/>
      <c r="G180" s="8"/>
      <c r="H180" s="7"/>
      <c r="I180" s="6"/>
      <c r="J180" s="7"/>
      <c r="K180" s="8"/>
      <c r="L180" s="7"/>
      <c r="M180" s="8"/>
      <c r="N180" s="7"/>
      <c r="O180" s="8"/>
      <c r="P180" s="7"/>
      <c r="Q180" s="7"/>
      <c r="R180" s="8"/>
      <c r="S180" s="7"/>
      <c r="T180" s="9"/>
      <c r="U180" s="7"/>
      <c r="V180" s="8"/>
      <c r="W180" s="7"/>
      <c r="X180" s="7"/>
      <c r="Y180" s="8"/>
      <c r="Z180" s="7"/>
      <c r="AA180" s="8"/>
    </row>
    <row r="181" spans="4:27" ht="14.25" thickTop="1" thickBot="1">
      <c r="D181" s="66"/>
      <c r="E181" s="51" t="s">
        <v>835</v>
      </c>
      <c r="F181" s="7"/>
      <c r="G181" s="8"/>
      <c r="H181" s="7"/>
      <c r="I181" s="6"/>
      <c r="J181" s="7"/>
      <c r="K181" s="8"/>
      <c r="L181" s="7"/>
      <c r="M181" s="8"/>
      <c r="N181" s="7"/>
      <c r="O181" s="8"/>
      <c r="P181" s="7"/>
      <c r="Q181" s="7"/>
      <c r="R181" s="8"/>
      <c r="S181" s="7"/>
      <c r="T181" s="9"/>
      <c r="U181" s="7"/>
      <c r="V181" s="8"/>
      <c r="W181" s="7"/>
      <c r="X181" s="7"/>
      <c r="Y181" s="8"/>
      <c r="Z181" s="7"/>
      <c r="AA181" s="8"/>
    </row>
    <row r="182" spans="4:27" ht="14.25" thickTop="1" thickBot="1">
      <c r="D182" s="66"/>
      <c r="E182" s="51" t="s">
        <v>859</v>
      </c>
      <c r="F182" s="7"/>
      <c r="G182" s="8"/>
      <c r="H182" s="7"/>
      <c r="I182" s="6"/>
      <c r="J182" s="7"/>
      <c r="K182" s="8"/>
      <c r="L182" s="7"/>
      <c r="M182" s="8"/>
      <c r="N182" s="7"/>
      <c r="O182" s="8"/>
      <c r="P182" s="7"/>
      <c r="Q182" s="7"/>
      <c r="R182" s="8"/>
      <c r="S182" s="7"/>
      <c r="T182" s="9"/>
      <c r="U182" s="7"/>
      <c r="V182" s="8"/>
      <c r="W182" s="7"/>
      <c r="X182" s="7"/>
      <c r="Y182" s="8"/>
      <c r="Z182" s="7"/>
      <c r="AA182" s="8"/>
    </row>
    <row r="183" spans="4:27" ht="14.25" thickTop="1" thickBot="1">
      <c r="D183" s="66"/>
      <c r="E183" s="51" t="s">
        <v>412</v>
      </c>
      <c r="F183" s="7"/>
      <c r="G183" s="8"/>
      <c r="H183" s="7"/>
      <c r="I183" s="6"/>
      <c r="J183" s="7"/>
      <c r="K183" s="8"/>
      <c r="L183" s="7"/>
      <c r="M183" s="8"/>
      <c r="N183" s="7"/>
      <c r="O183" s="8"/>
      <c r="P183" s="7"/>
      <c r="Q183" s="7"/>
      <c r="R183" s="8"/>
      <c r="S183" s="7"/>
      <c r="T183" s="9"/>
      <c r="U183" s="7"/>
      <c r="V183" s="8"/>
      <c r="W183" s="7"/>
      <c r="X183" s="7"/>
      <c r="Y183" s="8"/>
      <c r="Z183" s="7"/>
      <c r="AA183" s="8"/>
    </row>
    <row r="184" spans="4:27" ht="14.25" thickTop="1" thickBot="1">
      <c r="D184" s="66"/>
      <c r="E184" s="51" t="s">
        <v>408</v>
      </c>
      <c r="F184" s="7"/>
      <c r="G184" s="8"/>
      <c r="H184" s="7"/>
      <c r="I184" s="6"/>
      <c r="J184" s="7"/>
      <c r="K184" s="8"/>
      <c r="L184" s="7"/>
      <c r="M184" s="8"/>
      <c r="N184" s="7"/>
      <c r="O184" s="8"/>
      <c r="P184" s="7"/>
      <c r="Q184" s="7"/>
      <c r="R184" s="8"/>
      <c r="S184" s="7"/>
      <c r="T184" s="9"/>
      <c r="U184" s="7"/>
      <c r="V184" s="8"/>
      <c r="W184" s="7"/>
      <c r="X184" s="7"/>
      <c r="Y184" s="8"/>
      <c r="Z184" s="7"/>
      <c r="AA184" s="8"/>
    </row>
    <row r="185" spans="4:27" ht="14.25" thickTop="1" thickBot="1">
      <c r="D185" s="66"/>
      <c r="E185" s="51" t="s">
        <v>409</v>
      </c>
      <c r="F185" s="7"/>
      <c r="G185" s="8"/>
      <c r="H185" s="7"/>
      <c r="I185" s="6"/>
      <c r="J185" s="7"/>
      <c r="K185" s="8"/>
      <c r="L185" s="7"/>
      <c r="M185" s="8"/>
      <c r="N185" s="7"/>
      <c r="O185" s="8"/>
      <c r="P185" s="7"/>
      <c r="Q185" s="7"/>
      <c r="R185" s="8"/>
      <c r="S185" s="7"/>
      <c r="T185" s="9"/>
      <c r="U185" s="7"/>
      <c r="V185" s="8"/>
      <c r="W185" s="7"/>
      <c r="X185" s="7"/>
      <c r="Y185" s="8"/>
      <c r="Z185" s="7"/>
      <c r="AA185" s="8"/>
    </row>
    <row r="186" spans="4:27" ht="14.25" thickTop="1" thickBot="1">
      <c r="D186" s="66"/>
      <c r="E186" s="51" t="s">
        <v>826</v>
      </c>
      <c r="F186" s="7"/>
      <c r="G186" s="8"/>
      <c r="H186" s="7"/>
      <c r="I186" s="6"/>
      <c r="J186" s="7"/>
      <c r="K186" s="8"/>
      <c r="L186" s="7"/>
      <c r="M186" s="8"/>
      <c r="N186" s="7"/>
      <c r="O186" s="8"/>
      <c r="P186" s="7"/>
      <c r="Q186" s="7"/>
      <c r="R186" s="8"/>
      <c r="S186" s="7"/>
      <c r="T186" s="9"/>
      <c r="U186" s="7"/>
      <c r="V186" s="8"/>
      <c r="W186" s="7"/>
      <c r="X186" s="7"/>
      <c r="Y186" s="8"/>
      <c r="Z186" s="7"/>
      <c r="AA186" s="8"/>
    </row>
    <row r="187" spans="4:27" ht="14.25" thickTop="1" thickBot="1">
      <c r="D187" s="66"/>
      <c r="E187" s="51" t="s">
        <v>410</v>
      </c>
      <c r="F187" s="7"/>
      <c r="G187" s="8"/>
      <c r="H187" s="7"/>
      <c r="I187" s="6"/>
      <c r="J187" s="7"/>
      <c r="K187" s="8"/>
      <c r="L187" s="7"/>
      <c r="M187" s="8"/>
      <c r="N187" s="7"/>
      <c r="O187" s="8"/>
      <c r="P187" s="7"/>
      <c r="Q187" s="7"/>
      <c r="R187" s="8"/>
      <c r="S187" s="7"/>
      <c r="T187" s="9"/>
      <c r="U187" s="7"/>
      <c r="V187" s="8"/>
      <c r="W187" s="7"/>
      <c r="X187" s="7"/>
      <c r="Y187" s="8"/>
      <c r="Z187" s="7"/>
      <c r="AA187" s="8"/>
    </row>
    <row r="188" spans="4:27" ht="14.25" thickTop="1" thickBot="1">
      <c r="D188" s="66"/>
      <c r="E188" s="51" t="s">
        <v>407</v>
      </c>
      <c r="F188" s="7"/>
      <c r="G188" s="8"/>
      <c r="H188" s="7"/>
      <c r="I188" s="6"/>
      <c r="J188" s="7"/>
      <c r="K188" s="8"/>
      <c r="L188" s="7"/>
      <c r="M188" s="8"/>
      <c r="N188" s="7"/>
      <c r="O188" s="8"/>
      <c r="P188" s="7"/>
      <c r="Q188" s="7"/>
      <c r="R188" s="8"/>
      <c r="S188" s="7"/>
      <c r="T188" s="9"/>
      <c r="U188" s="7"/>
      <c r="V188" s="8"/>
      <c r="W188" s="7"/>
      <c r="X188" s="7"/>
      <c r="Y188" s="8"/>
      <c r="Z188" s="7"/>
      <c r="AA188" s="8"/>
    </row>
    <row r="189" spans="4:27" ht="14.25" thickTop="1" thickBot="1">
      <c r="D189" s="66"/>
      <c r="E189" s="51" t="s">
        <v>406</v>
      </c>
      <c r="F189" s="7"/>
      <c r="G189" s="8"/>
      <c r="H189" s="7"/>
      <c r="I189" s="6"/>
      <c r="J189" s="7"/>
      <c r="K189" s="8"/>
      <c r="L189" s="7"/>
      <c r="M189" s="8"/>
      <c r="N189" s="7"/>
      <c r="O189" s="8"/>
      <c r="P189" s="7"/>
      <c r="Q189" s="7"/>
      <c r="R189" s="8"/>
      <c r="S189" s="7"/>
      <c r="T189" s="9"/>
      <c r="U189" s="7"/>
      <c r="V189" s="8"/>
      <c r="W189" s="7"/>
      <c r="X189" s="7"/>
      <c r="Y189" s="8"/>
      <c r="Z189" s="7"/>
      <c r="AA189" s="8"/>
    </row>
    <row r="190" spans="4:27" ht="14.25" thickTop="1" thickBot="1">
      <c r="D190" s="66"/>
      <c r="E190" s="51" t="s">
        <v>405</v>
      </c>
      <c r="F190" s="7"/>
      <c r="G190" s="8"/>
      <c r="H190" s="7"/>
      <c r="I190" s="6"/>
      <c r="J190" s="7"/>
      <c r="K190" s="8"/>
      <c r="L190" s="7"/>
      <c r="M190" s="8"/>
      <c r="N190" s="7"/>
      <c r="O190" s="8"/>
      <c r="P190" s="7"/>
      <c r="Q190" s="7"/>
      <c r="R190" s="8"/>
      <c r="S190" s="7"/>
      <c r="T190" s="9"/>
      <c r="U190" s="7"/>
      <c r="V190" s="8"/>
      <c r="W190" s="7"/>
      <c r="X190" s="7"/>
      <c r="Y190" s="8"/>
      <c r="Z190" s="7"/>
      <c r="AA190" s="8"/>
    </row>
    <row r="191" spans="4:27" ht="14.25" thickTop="1" thickBot="1">
      <c r="D191" s="66"/>
      <c r="E191" s="51" t="s">
        <v>899</v>
      </c>
      <c r="F191" s="7"/>
      <c r="G191" s="8"/>
      <c r="H191" s="7"/>
      <c r="I191" s="6"/>
      <c r="J191" s="7"/>
      <c r="K191" s="8"/>
      <c r="L191" s="7"/>
      <c r="M191" s="8"/>
      <c r="N191" s="7"/>
      <c r="O191" s="8"/>
      <c r="P191" s="7"/>
      <c r="Q191" s="7"/>
      <c r="R191" s="8"/>
      <c r="S191" s="7"/>
      <c r="T191" s="9"/>
      <c r="U191" s="7"/>
      <c r="V191" s="8"/>
      <c r="W191" s="7"/>
      <c r="X191" s="7"/>
      <c r="Y191" s="8"/>
      <c r="Z191" s="7"/>
      <c r="AA191" s="8"/>
    </row>
    <row r="192" spans="4:27" ht="14.25" thickTop="1" thickBot="1">
      <c r="D192" s="66"/>
      <c r="E192" s="51" t="s">
        <v>914</v>
      </c>
      <c r="F192" s="7"/>
      <c r="G192" s="8"/>
      <c r="H192" s="7"/>
      <c r="I192" s="6"/>
      <c r="J192" s="7"/>
      <c r="K192" s="8"/>
      <c r="L192" s="7"/>
      <c r="M192" s="8"/>
      <c r="N192" s="7"/>
      <c r="O192" s="8"/>
      <c r="P192" s="7"/>
      <c r="Q192" s="7"/>
      <c r="R192" s="8"/>
      <c r="S192" s="7"/>
      <c r="T192" s="9"/>
      <c r="U192" s="7"/>
      <c r="V192" s="8"/>
      <c r="W192" s="7"/>
      <c r="X192" s="7"/>
      <c r="Y192" s="8"/>
      <c r="Z192" s="7"/>
      <c r="AA192" s="8"/>
    </row>
    <row r="193" spans="4:27" ht="14.25" thickTop="1" thickBot="1">
      <c r="D193" s="66"/>
      <c r="E193" s="51" t="s">
        <v>883</v>
      </c>
      <c r="F193" s="7"/>
      <c r="G193" s="8"/>
      <c r="H193" s="7"/>
      <c r="I193" s="6"/>
      <c r="J193" s="7"/>
      <c r="K193" s="8"/>
      <c r="L193" s="7"/>
      <c r="M193" s="8"/>
      <c r="N193" s="7"/>
      <c r="O193" s="8"/>
      <c r="P193" s="7"/>
      <c r="Q193" s="7"/>
      <c r="R193" s="8"/>
      <c r="S193" s="7"/>
      <c r="T193" s="9"/>
      <c r="U193" s="7"/>
      <c r="V193" s="8"/>
      <c r="W193" s="7"/>
      <c r="X193" s="7"/>
      <c r="Y193" s="8"/>
      <c r="Z193" s="7"/>
      <c r="AA193" s="8"/>
    </row>
    <row r="194" spans="4:27" ht="14.25" thickTop="1" thickBot="1">
      <c r="D194" s="66"/>
      <c r="E194" s="51" t="s">
        <v>916</v>
      </c>
      <c r="F194" s="7"/>
      <c r="G194" s="8"/>
      <c r="H194" s="7"/>
      <c r="I194" s="6"/>
      <c r="J194" s="7"/>
      <c r="K194" s="8"/>
      <c r="L194" s="7"/>
      <c r="M194" s="8"/>
      <c r="N194" s="7"/>
      <c r="O194" s="8"/>
      <c r="P194" s="7"/>
      <c r="Q194" s="7"/>
      <c r="R194" s="8"/>
      <c r="S194" s="7"/>
      <c r="T194" s="9"/>
      <c r="U194" s="7"/>
      <c r="V194" s="8"/>
      <c r="W194" s="7"/>
      <c r="X194" s="7"/>
      <c r="Y194" s="8"/>
      <c r="Z194" s="7"/>
      <c r="AA194" s="8"/>
    </row>
    <row r="195" spans="4:27" ht="14.25" thickTop="1" thickBot="1">
      <c r="D195" s="66"/>
      <c r="E195" s="51" t="s">
        <v>517</v>
      </c>
      <c r="F195" s="7"/>
      <c r="G195" s="8"/>
      <c r="H195" s="7"/>
      <c r="I195" s="6"/>
      <c r="J195" s="7"/>
      <c r="K195" s="8"/>
      <c r="L195" s="7"/>
      <c r="M195" s="8"/>
      <c r="N195" s="7"/>
      <c r="O195" s="8"/>
      <c r="P195" s="7"/>
      <c r="Q195" s="7"/>
      <c r="R195" s="8"/>
      <c r="S195" s="7"/>
      <c r="T195" s="9"/>
      <c r="U195" s="7"/>
      <c r="V195" s="8"/>
      <c r="W195" s="7"/>
      <c r="X195" s="7"/>
      <c r="Y195" s="8"/>
      <c r="Z195" s="7"/>
      <c r="AA195" s="8"/>
    </row>
    <row r="196" spans="4:27" ht="14.25" thickTop="1" thickBot="1">
      <c r="D196" s="66"/>
      <c r="E196" s="51" t="s">
        <v>880</v>
      </c>
      <c r="F196" s="7"/>
      <c r="G196" s="8"/>
      <c r="H196" s="7"/>
      <c r="I196" s="6"/>
      <c r="J196" s="7"/>
      <c r="K196" s="8"/>
      <c r="L196" s="7"/>
      <c r="M196" s="8"/>
      <c r="N196" s="7"/>
      <c r="O196" s="8"/>
      <c r="P196" s="7"/>
      <c r="Q196" s="7"/>
      <c r="R196" s="8"/>
      <c r="S196" s="7"/>
      <c r="T196" s="9"/>
      <c r="U196" s="7"/>
      <c r="V196" s="8"/>
      <c r="W196" s="7"/>
      <c r="X196" s="7"/>
      <c r="Y196" s="8"/>
      <c r="Z196" s="7"/>
      <c r="AA196" s="8"/>
    </row>
    <row r="197" spans="4:27" ht="14.25" thickTop="1" thickBot="1">
      <c r="D197" s="66"/>
      <c r="E197" s="51" t="s">
        <v>483</v>
      </c>
      <c r="F197" s="7"/>
      <c r="G197" s="8"/>
      <c r="H197" s="7"/>
      <c r="I197" s="6"/>
      <c r="J197" s="7"/>
      <c r="K197" s="8"/>
      <c r="L197" s="7"/>
      <c r="M197" s="8"/>
      <c r="N197" s="7"/>
      <c r="O197" s="8"/>
      <c r="P197" s="7"/>
      <c r="Q197" s="7"/>
      <c r="R197" s="8"/>
      <c r="S197" s="7"/>
      <c r="T197" s="9"/>
      <c r="U197" s="7"/>
      <c r="V197" s="8"/>
      <c r="W197" s="7"/>
      <c r="X197" s="7"/>
      <c r="Y197" s="8"/>
      <c r="Z197" s="7"/>
      <c r="AA197" s="8"/>
    </row>
    <row r="198" spans="4:27" ht="14.25" thickTop="1" thickBot="1">
      <c r="D198" s="66"/>
      <c r="E198" s="51" t="s">
        <v>879</v>
      </c>
      <c r="F198" s="7"/>
      <c r="G198" s="8"/>
      <c r="H198" s="7"/>
      <c r="I198" s="6"/>
      <c r="J198" s="7"/>
      <c r="K198" s="8"/>
      <c r="L198" s="7"/>
      <c r="M198" s="8"/>
      <c r="N198" s="7"/>
      <c r="O198" s="8"/>
      <c r="P198" s="7"/>
      <c r="Q198" s="7"/>
      <c r="R198" s="8"/>
      <c r="S198" s="7"/>
      <c r="T198" s="9"/>
      <c r="U198" s="7"/>
      <c r="V198" s="8"/>
      <c r="W198" s="7"/>
      <c r="X198" s="7"/>
      <c r="Y198" s="8"/>
      <c r="Z198" s="7"/>
      <c r="AA198" s="8"/>
    </row>
    <row r="199" spans="4:27" ht="14.25" thickTop="1" thickBot="1">
      <c r="D199" s="66"/>
      <c r="E199" s="51" t="s">
        <v>917</v>
      </c>
      <c r="F199" s="7"/>
      <c r="G199" s="8"/>
      <c r="H199" s="7"/>
      <c r="I199" s="6"/>
      <c r="J199" s="7"/>
      <c r="K199" s="8"/>
      <c r="L199" s="7"/>
      <c r="M199" s="8"/>
      <c r="N199" s="7"/>
      <c r="O199" s="8"/>
      <c r="P199" s="7"/>
      <c r="Q199" s="7"/>
      <c r="R199" s="8"/>
      <c r="S199" s="7"/>
      <c r="T199" s="9"/>
      <c r="U199" s="7"/>
      <c r="V199" s="8"/>
      <c r="W199" s="7"/>
      <c r="X199" s="7"/>
      <c r="Y199" s="8"/>
      <c r="Z199" s="7"/>
      <c r="AA199" s="8"/>
    </row>
    <row r="200" spans="4:27" ht="14.25" thickTop="1" thickBot="1">
      <c r="D200" s="66"/>
      <c r="E200" s="51" t="s">
        <v>509</v>
      </c>
      <c r="F200" s="7"/>
      <c r="G200" s="8"/>
      <c r="H200" s="7"/>
      <c r="I200" s="6"/>
      <c r="J200" s="7"/>
      <c r="K200" s="8"/>
      <c r="L200" s="7"/>
      <c r="M200" s="8"/>
      <c r="N200" s="7"/>
      <c r="O200" s="8"/>
      <c r="P200" s="7"/>
      <c r="Q200" s="7"/>
      <c r="R200" s="8"/>
      <c r="S200" s="7"/>
      <c r="T200" s="9"/>
      <c r="U200" s="7"/>
      <c r="V200" s="8"/>
      <c r="W200" s="7"/>
      <c r="X200" s="7"/>
      <c r="Y200" s="8"/>
      <c r="Z200" s="7"/>
      <c r="AA200" s="8"/>
    </row>
    <row r="201" spans="4:27" ht="14.25" thickTop="1" thickBot="1">
      <c r="D201" s="66"/>
      <c r="E201" s="51" t="s">
        <v>878</v>
      </c>
      <c r="F201" s="7"/>
      <c r="G201" s="8"/>
      <c r="H201" s="7"/>
      <c r="I201" s="6"/>
      <c r="J201" s="7"/>
      <c r="K201" s="8"/>
      <c r="L201" s="7"/>
      <c r="M201" s="8"/>
      <c r="N201" s="7"/>
      <c r="O201" s="8"/>
      <c r="P201" s="7"/>
      <c r="Q201" s="7"/>
      <c r="R201" s="8"/>
      <c r="S201" s="7"/>
      <c r="T201" s="9"/>
      <c r="U201" s="7"/>
      <c r="V201" s="8"/>
      <c r="W201" s="7"/>
      <c r="X201" s="7"/>
      <c r="Y201" s="8"/>
      <c r="Z201" s="7"/>
      <c r="AA201" s="8"/>
    </row>
    <row r="202" spans="4:27" ht="14.25" thickTop="1" thickBot="1">
      <c r="D202" s="66"/>
      <c r="E202" s="51" t="s">
        <v>455</v>
      </c>
      <c r="F202" s="7"/>
      <c r="G202" s="8"/>
      <c r="H202" s="7"/>
      <c r="I202" s="6"/>
      <c r="J202" s="7"/>
      <c r="K202" s="8"/>
      <c r="L202" s="7"/>
      <c r="M202" s="8"/>
      <c r="N202" s="7"/>
      <c r="O202" s="8"/>
      <c r="P202" s="7"/>
      <c r="Q202" s="7"/>
      <c r="R202" s="8"/>
      <c r="S202" s="7"/>
      <c r="T202" s="9"/>
      <c r="U202" s="7"/>
      <c r="V202" s="8"/>
      <c r="W202" s="7"/>
      <c r="X202" s="7"/>
      <c r="Y202" s="8"/>
      <c r="Z202" s="7"/>
      <c r="AA202" s="8"/>
    </row>
    <row r="203" spans="4:27" ht="14.25" thickTop="1" thickBot="1">
      <c r="D203" s="66"/>
      <c r="E203" s="51" t="s">
        <v>458</v>
      </c>
      <c r="F203" s="7"/>
      <c r="G203" s="8"/>
      <c r="H203" s="7"/>
      <c r="I203" s="6"/>
      <c r="J203" s="7"/>
      <c r="K203" s="8"/>
      <c r="L203" s="7"/>
      <c r="M203" s="8"/>
      <c r="N203" s="7"/>
      <c r="O203" s="8"/>
      <c r="P203" s="7"/>
      <c r="Q203" s="7"/>
      <c r="R203" s="8"/>
      <c r="S203" s="7"/>
      <c r="T203" s="9"/>
      <c r="U203" s="7"/>
      <c r="V203" s="8"/>
      <c r="W203" s="7"/>
      <c r="X203" s="7"/>
      <c r="Y203" s="8"/>
      <c r="Z203" s="7"/>
      <c r="AA203" s="8"/>
    </row>
    <row r="204" spans="4:27" ht="14.25" thickTop="1" thickBot="1">
      <c r="D204" s="66"/>
      <c r="E204" s="51" t="s">
        <v>489</v>
      </c>
      <c r="F204" s="7"/>
      <c r="G204" s="8"/>
      <c r="H204" s="7"/>
      <c r="I204" s="6"/>
      <c r="J204" s="7"/>
      <c r="K204" s="8"/>
      <c r="L204" s="7"/>
      <c r="M204" s="8"/>
      <c r="N204" s="7"/>
      <c r="O204" s="8"/>
      <c r="P204" s="7"/>
      <c r="Q204" s="7"/>
      <c r="R204" s="8"/>
      <c r="S204" s="7"/>
      <c r="T204" s="9"/>
      <c r="U204" s="7"/>
      <c r="V204" s="8"/>
      <c r="W204" s="7"/>
      <c r="X204" s="7"/>
      <c r="Y204" s="8"/>
      <c r="Z204" s="7"/>
      <c r="AA204" s="8"/>
    </row>
    <row r="205" spans="4:27" ht="14.25" thickTop="1" thickBot="1">
      <c r="D205" s="66"/>
      <c r="E205" s="51" t="s">
        <v>461</v>
      </c>
      <c r="F205" s="7"/>
      <c r="G205" s="8"/>
      <c r="H205" s="7"/>
      <c r="I205" s="6"/>
      <c r="J205" s="7"/>
      <c r="K205" s="8"/>
      <c r="L205" s="7"/>
      <c r="M205" s="8"/>
      <c r="N205" s="7"/>
      <c r="O205" s="8"/>
      <c r="P205" s="7"/>
      <c r="Q205" s="7"/>
      <c r="R205" s="8"/>
      <c r="S205" s="7"/>
      <c r="T205" s="9"/>
      <c r="U205" s="7"/>
      <c r="V205" s="8"/>
      <c r="W205" s="7"/>
      <c r="X205" s="7"/>
      <c r="Y205" s="8"/>
      <c r="Z205" s="7"/>
      <c r="AA205" s="8"/>
    </row>
    <row r="206" spans="4:27" ht="14.25" thickTop="1" thickBot="1">
      <c r="D206" s="66"/>
      <c r="E206" s="51" t="s">
        <v>488</v>
      </c>
      <c r="F206" s="7"/>
      <c r="G206" s="8"/>
      <c r="H206" s="7"/>
      <c r="I206" s="6"/>
      <c r="J206" s="7"/>
      <c r="K206" s="8"/>
      <c r="L206" s="7"/>
      <c r="M206" s="8"/>
      <c r="N206" s="7"/>
      <c r="O206" s="8"/>
      <c r="P206" s="7"/>
      <c r="Q206" s="7"/>
      <c r="R206" s="8"/>
      <c r="S206" s="7"/>
      <c r="T206" s="9"/>
      <c r="U206" s="7"/>
      <c r="V206" s="8"/>
      <c r="W206" s="7"/>
      <c r="X206" s="7"/>
      <c r="Y206" s="8"/>
      <c r="Z206" s="7"/>
      <c r="AA206" s="8"/>
    </row>
    <row r="207" spans="4:27" ht="14.25" thickTop="1" thickBot="1">
      <c r="D207" s="66"/>
      <c r="E207" s="51" t="s">
        <v>502</v>
      </c>
      <c r="F207" s="7"/>
      <c r="G207" s="8"/>
      <c r="H207" s="7"/>
      <c r="I207" s="6"/>
      <c r="J207" s="7"/>
      <c r="K207" s="8"/>
      <c r="L207" s="7"/>
      <c r="M207" s="8"/>
      <c r="N207" s="7"/>
      <c r="O207" s="8"/>
      <c r="P207" s="7"/>
      <c r="Q207" s="7"/>
      <c r="R207" s="8"/>
      <c r="S207" s="7"/>
      <c r="T207" s="9"/>
      <c r="U207" s="7"/>
      <c r="V207" s="8"/>
      <c r="W207" s="7"/>
      <c r="X207" s="7"/>
      <c r="Y207" s="8"/>
      <c r="Z207" s="7"/>
      <c r="AA207" s="8"/>
    </row>
    <row r="208" spans="4:27" ht="14.25" thickTop="1" thickBot="1">
      <c r="D208" s="66"/>
      <c r="E208" s="51" t="s">
        <v>470</v>
      </c>
      <c r="F208" s="7"/>
      <c r="G208" s="8"/>
      <c r="H208" s="7"/>
      <c r="I208" s="6"/>
      <c r="J208" s="7"/>
      <c r="K208" s="8"/>
      <c r="L208" s="7"/>
      <c r="M208" s="8"/>
      <c r="N208" s="7"/>
      <c r="O208" s="8"/>
      <c r="P208" s="7"/>
      <c r="Q208" s="7"/>
      <c r="R208" s="8"/>
      <c r="S208" s="7"/>
      <c r="T208" s="9"/>
      <c r="U208" s="7"/>
      <c r="V208" s="8"/>
      <c r="W208" s="7"/>
      <c r="X208" s="7"/>
      <c r="Y208" s="8"/>
      <c r="Z208" s="7"/>
      <c r="AA208" s="8"/>
    </row>
    <row r="209" spans="4:27" ht="14.25" thickTop="1" thickBot="1">
      <c r="D209" s="66"/>
      <c r="E209" s="51" t="s">
        <v>358</v>
      </c>
      <c r="F209" s="7"/>
      <c r="G209" s="8"/>
      <c r="H209" s="7"/>
      <c r="I209" s="6"/>
      <c r="J209" s="7"/>
      <c r="K209" s="8"/>
      <c r="L209" s="7"/>
      <c r="M209" s="8"/>
      <c r="N209" s="7"/>
      <c r="O209" s="8"/>
      <c r="P209" s="7"/>
      <c r="Q209" s="7"/>
      <c r="R209" s="8"/>
      <c r="S209" s="7"/>
      <c r="T209" s="9"/>
      <c r="U209" s="7"/>
      <c r="V209" s="8"/>
      <c r="W209" s="7"/>
      <c r="X209" s="7"/>
      <c r="Y209" s="8"/>
      <c r="Z209" s="7"/>
      <c r="AA209" s="8"/>
    </row>
    <row r="210" spans="4:27" ht="14.25" thickTop="1" thickBot="1">
      <c r="D210" s="66"/>
      <c r="E210" s="51" t="s">
        <v>497</v>
      </c>
      <c r="F210" s="7"/>
      <c r="G210" s="8"/>
      <c r="H210" s="7"/>
      <c r="I210" s="6"/>
      <c r="J210" s="7"/>
      <c r="K210" s="8"/>
      <c r="L210" s="7"/>
      <c r="M210" s="8"/>
      <c r="N210" s="7"/>
      <c r="O210" s="8"/>
      <c r="P210" s="7"/>
      <c r="Q210" s="7"/>
      <c r="R210" s="8"/>
      <c r="S210" s="7"/>
      <c r="T210" s="9"/>
      <c r="U210" s="7"/>
      <c r="V210" s="8"/>
      <c r="W210" s="7"/>
      <c r="X210" s="7"/>
      <c r="Y210" s="8"/>
      <c r="Z210" s="7"/>
      <c r="AA210" s="8"/>
    </row>
    <row r="211" spans="4:27" ht="14.25" thickTop="1" thickBot="1">
      <c r="D211" s="66"/>
      <c r="E211" s="51" t="s">
        <v>503</v>
      </c>
      <c r="F211" s="7"/>
      <c r="G211" s="8"/>
      <c r="H211" s="7"/>
      <c r="I211" s="6"/>
      <c r="J211" s="7"/>
      <c r="K211" s="8"/>
      <c r="L211" s="7"/>
      <c r="M211" s="8"/>
      <c r="N211" s="7"/>
      <c r="O211" s="8"/>
      <c r="P211" s="7"/>
      <c r="Q211" s="7"/>
      <c r="R211" s="8"/>
      <c r="S211" s="7"/>
      <c r="T211" s="9"/>
      <c r="U211" s="7"/>
      <c r="V211" s="8"/>
      <c r="W211" s="7"/>
      <c r="X211" s="7"/>
      <c r="Y211" s="8"/>
      <c r="Z211" s="7"/>
      <c r="AA211" s="8"/>
    </row>
    <row r="212" spans="4:27" ht="14.25" thickTop="1" thickBot="1">
      <c r="D212" s="66"/>
      <c r="E212" s="51" t="s">
        <v>468</v>
      </c>
      <c r="F212" s="7"/>
      <c r="G212" s="8"/>
      <c r="H212" s="7"/>
      <c r="I212" s="6"/>
      <c r="J212" s="7"/>
      <c r="K212" s="8"/>
      <c r="L212" s="7"/>
      <c r="M212" s="8"/>
      <c r="N212" s="7"/>
      <c r="O212" s="8"/>
      <c r="P212" s="7"/>
      <c r="Q212" s="7"/>
      <c r="R212" s="8"/>
      <c r="S212" s="7"/>
      <c r="T212" s="9"/>
      <c r="U212" s="7"/>
      <c r="V212" s="8"/>
      <c r="W212" s="7"/>
      <c r="X212" s="7"/>
      <c r="Y212" s="8"/>
      <c r="Z212" s="7"/>
      <c r="AA212" s="8"/>
    </row>
    <row r="213" spans="4:27" ht="14.25" thickTop="1" thickBot="1">
      <c r="D213" s="66"/>
      <c r="E213" s="51" t="s">
        <v>905</v>
      </c>
      <c r="F213" s="7"/>
      <c r="G213" s="8"/>
      <c r="H213" s="7"/>
      <c r="I213" s="6"/>
      <c r="J213" s="7"/>
      <c r="K213" s="8"/>
      <c r="L213" s="7"/>
      <c r="M213" s="8"/>
      <c r="N213" s="7"/>
      <c r="O213" s="8"/>
      <c r="P213" s="7"/>
      <c r="Q213" s="7"/>
      <c r="R213" s="8"/>
      <c r="S213" s="7"/>
      <c r="T213" s="9"/>
      <c r="U213" s="7"/>
      <c r="V213" s="8"/>
      <c r="W213" s="7"/>
      <c r="X213" s="7"/>
      <c r="Y213" s="8"/>
      <c r="Z213" s="7"/>
      <c r="AA213" s="8"/>
    </row>
    <row r="214" spans="4:27" ht="14.25" thickTop="1" thickBot="1">
      <c r="D214" s="66"/>
      <c r="E214" s="51" t="s">
        <v>1090</v>
      </c>
      <c r="F214" s="7"/>
      <c r="G214" s="8"/>
      <c r="H214" s="7"/>
      <c r="I214" s="6"/>
      <c r="J214" s="7"/>
      <c r="K214" s="8"/>
      <c r="L214" s="7"/>
      <c r="M214" s="8"/>
      <c r="N214" s="7"/>
      <c r="O214" s="8"/>
      <c r="P214" s="7"/>
      <c r="Q214" s="7"/>
      <c r="R214" s="8"/>
      <c r="S214" s="7"/>
      <c r="T214" s="9"/>
      <c r="U214" s="7"/>
      <c r="V214" s="8"/>
      <c r="W214" s="7"/>
      <c r="X214" s="7"/>
      <c r="Y214" s="8"/>
      <c r="Z214" s="7"/>
      <c r="AA214" s="8"/>
    </row>
    <row r="215" spans="4:27" ht="14.25" thickTop="1" thickBot="1">
      <c r="D215" s="66"/>
      <c r="E215" s="51" t="s">
        <v>496</v>
      </c>
      <c r="F215" s="7"/>
      <c r="G215" s="8"/>
      <c r="H215" s="7"/>
      <c r="I215" s="6"/>
      <c r="J215" s="7"/>
      <c r="K215" s="8"/>
      <c r="L215" s="7"/>
      <c r="M215" s="8"/>
      <c r="N215" s="7"/>
      <c r="O215" s="8"/>
      <c r="P215" s="7"/>
      <c r="Q215" s="7"/>
      <c r="R215" s="8"/>
      <c r="S215" s="7"/>
      <c r="T215" s="9"/>
      <c r="U215" s="7"/>
      <c r="V215" s="8"/>
      <c r="W215" s="7"/>
      <c r="X215" s="7"/>
      <c r="Y215" s="8"/>
      <c r="Z215" s="7"/>
      <c r="AA215" s="8"/>
    </row>
    <row r="216" spans="4:27" ht="14.25" thickTop="1" thickBot="1">
      <c r="D216" s="66"/>
      <c r="E216" s="51" t="s">
        <v>469</v>
      </c>
      <c r="F216" s="7"/>
      <c r="G216" s="8"/>
      <c r="H216" s="7"/>
      <c r="I216" s="6"/>
      <c r="J216" s="7"/>
      <c r="K216" s="8"/>
      <c r="L216" s="7"/>
      <c r="M216" s="8"/>
      <c r="N216" s="7"/>
      <c r="O216" s="8"/>
      <c r="P216" s="7"/>
      <c r="Q216" s="7"/>
      <c r="R216" s="8"/>
      <c r="S216" s="7"/>
      <c r="T216" s="9"/>
      <c r="U216" s="7"/>
      <c r="V216" s="8"/>
      <c r="W216" s="7"/>
      <c r="X216" s="7"/>
      <c r="Y216" s="8"/>
      <c r="Z216" s="7"/>
      <c r="AA216" s="8"/>
    </row>
    <row r="217" spans="4:27" ht="14.25" thickTop="1" thickBot="1">
      <c r="D217" s="66"/>
      <c r="E217" s="51" t="s">
        <v>505</v>
      </c>
      <c r="F217" s="7"/>
      <c r="G217" s="8"/>
      <c r="H217" s="7"/>
      <c r="I217" s="6"/>
      <c r="J217" s="7"/>
      <c r="K217" s="8"/>
      <c r="L217" s="7"/>
      <c r="M217" s="8"/>
      <c r="N217" s="7"/>
      <c r="O217" s="8"/>
      <c r="P217" s="7"/>
      <c r="Q217" s="7"/>
      <c r="R217" s="8"/>
      <c r="S217" s="7"/>
      <c r="T217" s="9"/>
      <c r="U217" s="7"/>
      <c r="V217" s="8"/>
      <c r="W217" s="7"/>
      <c r="X217" s="7"/>
      <c r="Y217" s="8"/>
      <c r="Z217" s="7"/>
      <c r="AA217" s="8"/>
    </row>
    <row r="218" spans="4:27" ht="14.25" thickTop="1" thickBot="1">
      <c r="D218" s="66"/>
      <c r="E218" s="51" t="s">
        <v>504</v>
      </c>
      <c r="F218" s="7"/>
      <c r="G218" s="8"/>
      <c r="H218" s="7"/>
      <c r="I218" s="6"/>
      <c r="J218" s="7"/>
      <c r="K218" s="8"/>
      <c r="L218" s="7"/>
      <c r="M218" s="8"/>
      <c r="N218" s="7"/>
      <c r="O218" s="8"/>
      <c r="P218" s="7"/>
      <c r="Q218" s="7"/>
      <c r="R218" s="8"/>
      <c r="S218" s="7"/>
      <c r="T218" s="9"/>
      <c r="U218" s="7"/>
      <c r="V218" s="8"/>
      <c r="W218" s="7"/>
      <c r="X218" s="7"/>
      <c r="Y218" s="8"/>
      <c r="Z218" s="7"/>
      <c r="AA218" s="8"/>
    </row>
    <row r="219" spans="4:27" ht="14.25" thickTop="1" thickBot="1">
      <c r="D219" s="66"/>
      <c r="E219" s="51" t="s">
        <v>911</v>
      </c>
      <c r="F219" s="7"/>
      <c r="G219" s="8"/>
      <c r="H219" s="7"/>
      <c r="I219" s="6"/>
      <c r="J219" s="7"/>
      <c r="K219" s="8"/>
      <c r="L219" s="7"/>
      <c r="M219" s="8"/>
      <c r="N219" s="7"/>
      <c r="O219" s="8"/>
      <c r="P219" s="7"/>
      <c r="Q219" s="7"/>
      <c r="R219" s="8"/>
      <c r="S219" s="7"/>
      <c r="T219" s="9"/>
      <c r="U219" s="7"/>
      <c r="V219" s="8"/>
      <c r="W219" s="7"/>
      <c r="X219" s="7"/>
      <c r="Y219" s="8"/>
      <c r="Z219" s="7"/>
      <c r="AA219" s="8"/>
    </row>
    <row r="220" spans="4:27" ht="14.25" thickTop="1" thickBot="1">
      <c r="D220" s="66"/>
      <c r="E220" s="51" t="s">
        <v>471</v>
      </c>
      <c r="F220" s="7"/>
      <c r="G220" s="8"/>
      <c r="H220" s="7"/>
      <c r="I220" s="6"/>
      <c r="J220" s="7"/>
      <c r="K220" s="8"/>
      <c r="L220" s="7"/>
      <c r="M220" s="8"/>
      <c r="N220" s="7"/>
      <c r="O220" s="8"/>
      <c r="P220" s="7"/>
      <c r="Q220" s="7"/>
      <c r="R220" s="8"/>
      <c r="S220" s="7"/>
      <c r="T220" s="9"/>
      <c r="U220" s="7"/>
      <c r="V220" s="8"/>
      <c r="W220" s="7"/>
      <c r="X220" s="7"/>
      <c r="Y220" s="8"/>
      <c r="Z220" s="7"/>
      <c r="AA220" s="8"/>
    </row>
    <row r="221" spans="4:27" ht="14.25" thickTop="1" thickBot="1">
      <c r="D221" s="66"/>
      <c r="E221" s="51" t="s">
        <v>904</v>
      </c>
      <c r="F221" s="7"/>
      <c r="G221" s="8"/>
      <c r="H221" s="7"/>
      <c r="I221" s="6"/>
      <c r="J221" s="7"/>
      <c r="K221" s="8"/>
      <c r="L221" s="7"/>
      <c r="M221" s="8"/>
      <c r="N221" s="7"/>
      <c r="O221" s="8"/>
      <c r="P221" s="7"/>
      <c r="Q221" s="7"/>
      <c r="R221" s="8"/>
      <c r="S221" s="7"/>
      <c r="T221" s="9"/>
      <c r="U221" s="7"/>
      <c r="V221" s="8"/>
      <c r="W221" s="7"/>
      <c r="X221" s="7"/>
      <c r="Y221" s="8"/>
      <c r="Z221" s="7"/>
      <c r="AA221" s="8"/>
    </row>
    <row r="222" spans="4:27" ht="14.25" thickTop="1" thickBot="1">
      <c r="D222" s="66"/>
      <c r="E222" s="51" t="s">
        <v>506</v>
      </c>
      <c r="F222" s="7"/>
      <c r="G222" s="8"/>
      <c r="H222" s="7"/>
      <c r="I222" s="6"/>
      <c r="J222" s="7"/>
      <c r="K222" s="8"/>
      <c r="L222" s="7"/>
      <c r="M222" s="8"/>
      <c r="N222" s="7"/>
      <c r="O222" s="8"/>
      <c r="P222" s="7"/>
      <c r="Q222" s="7"/>
      <c r="R222" s="8"/>
      <c r="S222" s="7"/>
      <c r="T222" s="9"/>
      <c r="U222" s="7"/>
      <c r="V222" s="8"/>
      <c r="W222" s="7"/>
      <c r="X222" s="7"/>
      <c r="Y222" s="8"/>
      <c r="Z222" s="7"/>
      <c r="AA222" s="8"/>
    </row>
    <row r="223" spans="4:27" ht="14.25" thickTop="1" thickBot="1">
      <c r="D223" s="66"/>
      <c r="E223" s="51" t="s">
        <v>490</v>
      </c>
      <c r="F223" s="7"/>
      <c r="G223" s="8"/>
      <c r="H223" s="7"/>
      <c r="I223" s="6"/>
      <c r="J223" s="7"/>
      <c r="K223" s="8"/>
      <c r="L223" s="7"/>
      <c r="M223" s="8"/>
      <c r="N223" s="7"/>
      <c r="O223" s="8"/>
      <c r="P223" s="7"/>
      <c r="Q223" s="7"/>
      <c r="R223" s="8"/>
      <c r="S223" s="7"/>
      <c r="T223" s="9"/>
      <c r="U223" s="7"/>
      <c r="V223" s="8"/>
      <c r="W223" s="7"/>
      <c r="X223" s="7"/>
      <c r="Y223" s="8"/>
      <c r="Z223" s="7"/>
      <c r="AA223" s="8"/>
    </row>
    <row r="224" spans="4:27" ht="14.25" thickTop="1" thickBot="1">
      <c r="D224" s="66"/>
      <c r="E224" s="51" t="s">
        <v>499</v>
      </c>
      <c r="F224" s="7"/>
      <c r="G224" s="8"/>
      <c r="H224" s="7"/>
      <c r="I224" s="6"/>
      <c r="J224" s="7"/>
      <c r="K224" s="8"/>
      <c r="L224" s="7"/>
      <c r="M224" s="8"/>
      <c r="N224" s="7"/>
      <c r="O224" s="8"/>
      <c r="P224" s="7"/>
      <c r="Q224" s="7"/>
      <c r="R224" s="8"/>
      <c r="S224" s="7"/>
      <c r="T224" s="9"/>
      <c r="U224" s="7"/>
      <c r="V224" s="8"/>
      <c r="W224" s="7"/>
      <c r="X224" s="7"/>
      <c r="Y224" s="8"/>
      <c r="Z224" s="7"/>
      <c r="AA224" s="8"/>
    </row>
    <row r="225" spans="4:27" ht="14.25" thickTop="1" thickBot="1">
      <c r="D225" s="66"/>
      <c r="E225" s="51" t="s">
        <v>882</v>
      </c>
      <c r="F225" s="7"/>
      <c r="G225" s="8"/>
      <c r="H225" s="7"/>
      <c r="I225" s="6"/>
      <c r="J225" s="7"/>
      <c r="K225" s="8"/>
      <c r="L225" s="7"/>
      <c r="M225" s="8"/>
      <c r="N225" s="7"/>
      <c r="O225" s="8"/>
      <c r="P225" s="7"/>
      <c r="Q225" s="7"/>
      <c r="R225" s="8"/>
      <c r="S225" s="7"/>
      <c r="T225" s="9"/>
      <c r="U225" s="7"/>
      <c r="V225" s="8"/>
      <c r="W225" s="7"/>
      <c r="X225" s="7"/>
      <c r="Y225" s="8"/>
      <c r="Z225" s="7"/>
      <c r="AA225" s="8"/>
    </row>
    <row r="226" spans="4:27" ht="14.25" thickTop="1" thickBot="1">
      <c r="D226" s="66"/>
      <c r="E226" s="51" t="s">
        <v>477</v>
      </c>
      <c r="F226" s="7"/>
      <c r="G226" s="8"/>
      <c r="H226" s="7"/>
      <c r="I226" s="6"/>
      <c r="J226" s="7"/>
      <c r="K226" s="8"/>
      <c r="L226" s="7"/>
      <c r="M226" s="8"/>
      <c r="N226" s="7"/>
      <c r="O226" s="8"/>
      <c r="P226" s="7"/>
      <c r="Q226" s="7"/>
      <c r="R226" s="8"/>
      <c r="S226" s="7"/>
      <c r="T226" s="9"/>
      <c r="U226" s="7"/>
      <c r="V226" s="8"/>
      <c r="W226" s="7"/>
      <c r="X226" s="7"/>
      <c r="Y226" s="8"/>
      <c r="Z226" s="7"/>
      <c r="AA226" s="8"/>
    </row>
    <row r="227" spans="4:27" ht="14.25" thickTop="1" thickBot="1">
      <c r="D227" s="66"/>
      <c r="E227" s="51" t="s">
        <v>909</v>
      </c>
      <c r="F227" s="7"/>
      <c r="G227" s="8"/>
      <c r="H227" s="7"/>
      <c r="I227" s="6"/>
      <c r="J227" s="7"/>
      <c r="K227" s="8"/>
      <c r="L227" s="7"/>
      <c r="M227" s="8"/>
      <c r="N227" s="7"/>
      <c r="O227" s="8"/>
      <c r="P227" s="7"/>
      <c r="Q227" s="7"/>
      <c r="R227" s="8"/>
      <c r="S227" s="7"/>
      <c r="T227" s="9"/>
      <c r="U227" s="7"/>
      <c r="V227" s="8"/>
      <c r="W227" s="7"/>
      <c r="X227" s="7"/>
      <c r="Y227" s="8"/>
      <c r="Z227" s="7"/>
      <c r="AA227" s="8"/>
    </row>
    <row r="228" spans="4:27" ht="14.25" thickTop="1" thickBot="1">
      <c r="D228" s="66"/>
      <c r="E228" s="51" t="s">
        <v>491</v>
      </c>
      <c r="F228" s="7"/>
      <c r="G228" s="8"/>
      <c r="H228" s="7"/>
      <c r="I228" s="6"/>
      <c r="J228" s="7"/>
      <c r="K228" s="8"/>
      <c r="L228" s="7"/>
      <c r="M228" s="8"/>
      <c r="N228" s="7"/>
      <c r="O228" s="8"/>
      <c r="P228" s="7"/>
      <c r="Q228" s="7"/>
      <c r="R228" s="8"/>
      <c r="S228" s="7"/>
      <c r="T228" s="9"/>
      <c r="U228" s="7"/>
      <c r="V228" s="8"/>
      <c r="W228" s="7"/>
      <c r="X228" s="7"/>
      <c r="Y228" s="8"/>
      <c r="Z228" s="7"/>
      <c r="AA228" s="8"/>
    </row>
    <row r="229" spans="4:27" ht="14.25" thickTop="1" thickBot="1">
      <c r="D229" s="66"/>
      <c r="E229" s="51" t="s">
        <v>495</v>
      </c>
      <c r="F229" s="7"/>
      <c r="G229" s="8"/>
      <c r="H229" s="7"/>
      <c r="I229" s="6"/>
      <c r="J229" s="7"/>
      <c r="K229" s="8"/>
      <c r="L229" s="7"/>
      <c r="M229" s="8"/>
      <c r="N229" s="7"/>
      <c r="O229" s="8"/>
      <c r="P229" s="7"/>
      <c r="Q229" s="7"/>
      <c r="R229" s="8"/>
      <c r="S229" s="7"/>
      <c r="T229" s="9"/>
      <c r="U229" s="7"/>
      <c r="V229" s="8"/>
      <c r="W229" s="7"/>
      <c r="X229" s="7"/>
      <c r="Y229" s="8"/>
      <c r="Z229" s="7"/>
      <c r="AA229" s="8"/>
    </row>
    <row r="230" spans="4:27" ht="14.25" thickTop="1" thickBot="1">
      <c r="D230" s="66"/>
      <c r="E230" s="51" t="s">
        <v>523</v>
      </c>
      <c r="F230" s="7"/>
      <c r="G230" s="8"/>
      <c r="H230" s="7"/>
      <c r="I230" s="6"/>
      <c r="J230" s="7"/>
      <c r="K230" s="8"/>
      <c r="L230" s="7"/>
      <c r="M230" s="8"/>
      <c r="N230" s="7"/>
      <c r="O230" s="8"/>
      <c r="P230" s="7"/>
      <c r="Q230" s="7"/>
      <c r="R230" s="8"/>
      <c r="S230" s="7"/>
      <c r="T230" s="9"/>
      <c r="U230" s="7"/>
      <c r="V230" s="8"/>
      <c r="W230" s="7"/>
      <c r="X230" s="7"/>
      <c r="Y230" s="8"/>
      <c r="Z230" s="7"/>
      <c r="AA230" s="8"/>
    </row>
    <row r="231" spans="4:27" ht="14.25" thickTop="1" thickBot="1">
      <c r="D231" s="66"/>
      <c r="E231" s="51" t="s">
        <v>508</v>
      </c>
      <c r="F231" s="7"/>
      <c r="G231" s="8"/>
      <c r="H231" s="7"/>
      <c r="I231" s="6"/>
      <c r="J231" s="7"/>
      <c r="K231" s="8"/>
      <c r="L231" s="7"/>
      <c r="M231" s="8"/>
      <c r="N231" s="7"/>
      <c r="O231" s="8"/>
      <c r="P231" s="7"/>
      <c r="Q231" s="7"/>
      <c r="R231" s="8"/>
      <c r="S231" s="7"/>
      <c r="T231" s="9"/>
      <c r="U231" s="7"/>
      <c r="V231" s="8"/>
      <c r="W231" s="7"/>
      <c r="X231" s="7"/>
      <c r="Y231" s="8"/>
      <c r="Z231" s="7"/>
      <c r="AA231" s="8"/>
    </row>
    <row r="232" spans="4:27" ht="14.25" thickTop="1" thickBot="1">
      <c r="D232" s="66"/>
      <c r="E232" s="51" t="s">
        <v>912</v>
      </c>
      <c r="F232" s="7"/>
      <c r="G232" s="8"/>
      <c r="H232" s="7"/>
      <c r="I232" s="6"/>
      <c r="J232" s="7"/>
      <c r="K232" s="8"/>
      <c r="L232" s="7"/>
      <c r="M232" s="8"/>
      <c r="N232" s="7"/>
      <c r="O232" s="8"/>
      <c r="P232" s="7"/>
      <c r="Q232" s="7"/>
      <c r="R232" s="8"/>
      <c r="S232" s="7"/>
      <c r="T232" s="9"/>
      <c r="U232" s="7"/>
      <c r="V232" s="8"/>
      <c r="W232" s="7"/>
      <c r="X232" s="7"/>
      <c r="Y232" s="8"/>
      <c r="Z232" s="7"/>
      <c r="AA232" s="8"/>
    </row>
    <row r="233" spans="4:27" ht="14.25" thickTop="1" thickBot="1">
      <c r="D233" s="66"/>
      <c r="E233" s="51" t="s">
        <v>885</v>
      </c>
      <c r="F233" s="7"/>
      <c r="G233" s="8"/>
      <c r="H233" s="7"/>
      <c r="I233" s="6"/>
      <c r="J233" s="7"/>
      <c r="K233" s="8"/>
      <c r="L233" s="7"/>
      <c r="M233" s="8"/>
      <c r="N233" s="7"/>
      <c r="O233" s="8"/>
      <c r="P233" s="7"/>
      <c r="Q233" s="7"/>
      <c r="R233" s="8"/>
      <c r="S233" s="7"/>
      <c r="T233" s="9"/>
      <c r="U233" s="7"/>
      <c r="V233" s="8"/>
      <c r="W233" s="7"/>
      <c r="X233" s="7"/>
      <c r="Y233" s="8"/>
      <c r="Z233" s="7"/>
      <c r="AA233" s="8"/>
    </row>
    <row r="234" spans="4:27" ht="14.25" thickTop="1" thickBot="1">
      <c r="D234" s="66"/>
      <c r="E234" s="51" t="s">
        <v>493</v>
      </c>
      <c r="F234" s="7"/>
      <c r="G234" s="8"/>
      <c r="H234" s="7"/>
      <c r="I234" s="6"/>
      <c r="J234" s="7"/>
      <c r="K234" s="8"/>
      <c r="L234" s="7"/>
      <c r="M234" s="8"/>
      <c r="N234" s="7"/>
      <c r="O234" s="8"/>
      <c r="P234" s="7"/>
      <c r="Q234" s="7"/>
      <c r="R234" s="8"/>
      <c r="S234" s="7"/>
      <c r="T234" s="9"/>
      <c r="U234" s="7"/>
      <c r="V234" s="8"/>
      <c r="W234" s="7"/>
      <c r="X234" s="7"/>
      <c r="Y234" s="8"/>
      <c r="Z234" s="7"/>
      <c r="AA234" s="8"/>
    </row>
    <row r="235" spans="4:27" ht="14.25" thickTop="1" thickBot="1">
      <c r="D235" s="66"/>
      <c r="E235" s="51" t="s">
        <v>498</v>
      </c>
      <c r="F235" s="7"/>
      <c r="G235" s="8"/>
      <c r="H235" s="7"/>
      <c r="I235" s="6"/>
      <c r="J235" s="7"/>
      <c r="K235" s="8"/>
      <c r="L235" s="7"/>
      <c r="M235" s="8"/>
      <c r="N235" s="7"/>
      <c r="O235" s="8"/>
      <c r="P235" s="7"/>
      <c r="Q235" s="7"/>
      <c r="R235" s="8"/>
      <c r="S235" s="7"/>
      <c r="T235" s="9"/>
      <c r="U235" s="7"/>
      <c r="V235" s="8"/>
      <c r="W235" s="7"/>
      <c r="X235" s="7"/>
      <c r="Y235" s="8"/>
      <c r="Z235" s="7"/>
      <c r="AA235" s="8"/>
    </row>
    <row r="236" spans="4:27" ht="14.25" thickTop="1" thickBot="1">
      <c r="D236" s="66"/>
      <c r="E236" s="51" t="s">
        <v>450</v>
      </c>
      <c r="F236" s="7"/>
      <c r="G236" s="8"/>
      <c r="H236" s="7"/>
      <c r="I236" s="6"/>
      <c r="J236" s="7"/>
      <c r="K236" s="8"/>
      <c r="L236" s="7"/>
      <c r="M236" s="8"/>
      <c r="N236" s="7"/>
      <c r="O236" s="8"/>
      <c r="P236" s="7"/>
      <c r="Q236" s="7"/>
      <c r="R236" s="8"/>
      <c r="S236" s="7"/>
      <c r="T236" s="9"/>
      <c r="U236" s="7"/>
      <c r="V236" s="8"/>
      <c r="W236" s="7"/>
      <c r="X236" s="7"/>
      <c r="Y236" s="8"/>
      <c r="Z236" s="7"/>
      <c r="AA236" s="8"/>
    </row>
    <row r="237" spans="4:27" ht="14.25" thickTop="1" thickBot="1">
      <c r="D237" s="66"/>
      <c r="E237" s="51" t="s">
        <v>451</v>
      </c>
      <c r="F237" s="7"/>
      <c r="G237" s="8"/>
      <c r="H237" s="7"/>
      <c r="I237" s="6"/>
      <c r="J237" s="7"/>
      <c r="K237" s="8"/>
      <c r="L237" s="7"/>
      <c r="M237" s="8"/>
      <c r="N237" s="7"/>
      <c r="O237" s="8"/>
      <c r="P237" s="7"/>
      <c r="Q237" s="7"/>
      <c r="R237" s="8"/>
      <c r="S237" s="7"/>
      <c r="T237" s="9"/>
      <c r="U237" s="7"/>
      <c r="V237" s="8"/>
      <c r="W237" s="7"/>
      <c r="X237" s="7"/>
      <c r="Y237" s="8"/>
      <c r="Z237" s="7"/>
      <c r="AA237" s="8"/>
    </row>
    <row r="238" spans="4:27" ht="14.25" thickTop="1" thickBot="1">
      <c r="D238" s="66"/>
      <c r="E238" s="51" t="s">
        <v>415</v>
      </c>
      <c r="F238" s="7"/>
      <c r="G238" s="8"/>
      <c r="H238" s="7"/>
      <c r="I238" s="6"/>
      <c r="J238" s="7"/>
      <c r="K238" s="8"/>
      <c r="L238" s="7"/>
      <c r="M238" s="8"/>
      <c r="N238" s="7"/>
      <c r="O238" s="8"/>
      <c r="P238" s="7"/>
      <c r="Q238" s="7"/>
      <c r="R238" s="8"/>
      <c r="S238" s="7"/>
      <c r="T238" s="9"/>
      <c r="U238" s="7"/>
      <c r="V238" s="8"/>
      <c r="W238" s="7"/>
      <c r="X238" s="7"/>
      <c r="Y238" s="8"/>
      <c r="Z238" s="7"/>
      <c r="AA238" s="8"/>
    </row>
    <row r="239" spans="4:27" ht="14.25" thickTop="1" thickBot="1">
      <c r="D239" s="66"/>
      <c r="E239" s="51" t="s">
        <v>838</v>
      </c>
      <c r="F239" s="7"/>
      <c r="G239" s="8"/>
      <c r="H239" s="7"/>
      <c r="I239" s="6"/>
      <c r="J239" s="7"/>
      <c r="K239" s="8"/>
      <c r="L239" s="7"/>
      <c r="M239" s="8"/>
      <c r="N239" s="7"/>
      <c r="O239" s="8"/>
      <c r="P239" s="7"/>
      <c r="Q239" s="7"/>
      <c r="R239" s="8"/>
      <c r="S239" s="7"/>
      <c r="T239" s="9"/>
      <c r="U239" s="7"/>
      <c r="V239" s="8"/>
      <c r="W239" s="7"/>
      <c r="X239" s="7"/>
      <c r="Y239" s="8"/>
      <c r="Z239" s="7"/>
      <c r="AA239" s="8"/>
    </row>
    <row r="240" spans="4:27" ht="14.25" thickTop="1" thickBot="1">
      <c r="D240" s="66"/>
      <c r="E240" s="51" t="s">
        <v>863</v>
      </c>
      <c r="F240" s="7"/>
      <c r="G240" s="8"/>
      <c r="H240" s="7"/>
      <c r="I240" s="6"/>
      <c r="J240" s="7"/>
      <c r="K240" s="8"/>
      <c r="L240" s="7"/>
      <c r="M240" s="8"/>
      <c r="N240" s="7"/>
      <c r="O240" s="8"/>
      <c r="P240" s="7"/>
      <c r="Q240" s="7"/>
      <c r="R240" s="8"/>
      <c r="S240" s="7"/>
      <c r="T240" s="9"/>
      <c r="U240" s="7"/>
      <c r="V240" s="8"/>
      <c r="W240" s="7"/>
      <c r="X240" s="7"/>
      <c r="Y240" s="8"/>
      <c r="Z240" s="7"/>
      <c r="AA240" s="8"/>
    </row>
    <row r="241" spans="4:27" ht="14.25" thickTop="1" thickBot="1">
      <c r="D241" s="66"/>
      <c r="E241" s="51" t="s">
        <v>1091</v>
      </c>
      <c r="F241" s="7"/>
      <c r="G241" s="8"/>
      <c r="H241" s="7"/>
      <c r="I241" s="6"/>
      <c r="J241" s="7"/>
      <c r="K241" s="8"/>
      <c r="L241" s="7"/>
      <c r="M241" s="8"/>
      <c r="N241" s="7"/>
      <c r="O241" s="8"/>
      <c r="P241" s="7"/>
      <c r="Q241" s="7"/>
      <c r="R241" s="8"/>
      <c r="S241" s="7"/>
      <c r="T241" s="9"/>
      <c r="U241" s="7"/>
      <c r="V241" s="8"/>
      <c r="W241" s="7"/>
      <c r="X241" s="7"/>
      <c r="Y241" s="8"/>
      <c r="Z241" s="7"/>
      <c r="AA241" s="8"/>
    </row>
    <row r="242" spans="4:27" ht="14.25" thickTop="1" thickBot="1">
      <c r="D242" s="66"/>
      <c r="E242" s="51" t="s">
        <v>426</v>
      </c>
      <c r="F242" s="7"/>
      <c r="G242" s="8"/>
      <c r="H242" s="7"/>
      <c r="I242" s="6"/>
      <c r="J242" s="7"/>
      <c r="K242" s="8"/>
      <c r="L242" s="7"/>
      <c r="M242" s="8"/>
      <c r="N242" s="7"/>
      <c r="O242" s="8"/>
      <c r="P242" s="7"/>
      <c r="Q242" s="7"/>
      <c r="R242" s="8"/>
      <c r="S242" s="7"/>
      <c r="T242" s="9"/>
      <c r="U242" s="7"/>
      <c r="V242" s="8"/>
      <c r="W242" s="7"/>
      <c r="X242" s="7"/>
      <c r="Y242" s="8"/>
      <c r="Z242" s="7"/>
      <c r="AA242" s="8"/>
    </row>
    <row r="243" spans="4:27" ht="14.25" thickTop="1" thickBot="1">
      <c r="D243" s="66"/>
      <c r="E243" s="51" t="s">
        <v>300</v>
      </c>
      <c r="F243" s="7"/>
      <c r="G243" s="8"/>
      <c r="H243" s="7"/>
      <c r="I243" s="6"/>
      <c r="J243" s="7"/>
      <c r="K243" s="8"/>
      <c r="L243" s="7"/>
      <c r="M243" s="8"/>
      <c r="N243" s="7"/>
      <c r="O243" s="8"/>
      <c r="P243" s="7"/>
      <c r="Q243" s="7"/>
      <c r="R243" s="8"/>
      <c r="S243" s="7"/>
      <c r="T243" s="9"/>
      <c r="U243" s="7"/>
      <c r="V243" s="8"/>
      <c r="W243" s="7"/>
      <c r="X243" s="7"/>
      <c r="Y243" s="8"/>
      <c r="Z243" s="7"/>
      <c r="AA243" s="8"/>
    </row>
    <row r="244" spans="4:27" ht="14.25" thickTop="1" thickBot="1">
      <c r="D244" s="66"/>
      <c r="E244" s="51" t="s">
        <v>445</v>
      </c>
      <c r="F244" s="7"/>
      <c r="G244" s="8"/>
      <c r="H244" s="7"/>
      <c r="I244" s="6"/>
      <c r="J244" s="7"/>
      <c r="K244" s="8"/>
      <c r="L244" s="7"/>
      <c r="M244" s="8"/>
      <c r="N244" s="7"/>
      <c r="O244" s="8"/>
      <c r="P244" s="7"/>
      <c r="Q244" s="7"/>
      <c r="R244" s="8"/>
      <c r="S244" s="7"/>
      <c r="T244" s="9"/>
      <c r="U244" s="7"/>
      <c r="V244" s="8"/>
      <c r="W244" s="7"/>
      <c r="X244" s="7"/>
      <c r="Y244" s="8"/>
      <c r="Z244" s="7"/>
      <c r="AA244" s="8"/>
    </row>
    <row r="245" spans="4:27" ht="14.25" thickTop="1" thickBot="1">
      <c r="D245" s="66"/>
      <c r="E245" s="51" t="s">
        <v>862</v>
      </c>
      <c r="F245" s="7"/>
      <c r="G245" s="8"/>
      <c r="H245" s="7"/>
      <c r="I245" s="6"/>
      <c r="J245" s="7"/>
      <c r="K245" s="8"/>
      <c r="L245" s="7"/>
      <c r="M245" s="8"/>
      <c r="N245" s="7"/>
      <c r="O245" s="8"/>
      <c r="P245" s="7"/>
      <c r="Q245" s="7"/>
      <c r="R245" s="8"/>
      <c r="S245" s="7"/>
      <c r="T245" s="9"/>
      <c r="U245" s="7"/>
      <c r="V245" s="8"/>
      <c r="W245" s="7"/>
      <c r="X245" s="7"/>
      <c r="Y245" s="8"/>
      <c r="Z245" s="7"/>
      <c r="AA245" s="8"/>
    </row>
    <row r="246" spans="4:27" ht="14.25" thickTop="1" thickBot="1">
      <c r="D246" s="66"/>
      <c r="E246" s="51" t="s">
        <v>864</v>
      </c>
      <c r="F246" s="7"/>
      <c r="G246" s="8"/>
      <c r="H246" s="7"/>
      <c r="I246" s="6"/>
      <c r="J246" s="7"/>
      <c r="K246" s="8"/>
      <c r="L246" s="7"/>
      <c r="M246" s="8"/>
      <c r="N246" s="7"/>
      <c r="O246" s="8"/>
      <c r="P246" s="7"/>
      <c r="Q246" s="7"/>
      <c r="R246" s="8"/>
      <c r="S246" s="7"/>
      <c r="T246" s="9"/>
      <c r="U246" s="7"/>
      <c r="V246" s="8"/>
      <c r="W246" s="7"/>
      <c r="X246" s="7"/>
      <c r="Y246" s="8"/>
      <c r="Z246" s="7"/>
      <c r="AA246" s="8"/>
    </row>
    <row r="247" spans="4:27" ht="14.25" thickTop="1" thickBot="1">
      <c r="D247" s="66"/>
      <c r="E247" s="51" t="s">
        <v>452</v>
      </c>
      <c r="F247" s="7"/>
      <c r="G247" s="8"/>
      <c r="H247" s="7"/>
      <c r="I247" s="6"/>
      <c r="J247" s="7"/>
      <c r="K247" s="8"/>
      <c r="L247" s="7"/>
      <c r="M247" s="8"/>
      <c r="N247" s="7"/>
      <c r="O247" s="8"/>
      <c r="P247" s="7"/>
      <c r="Q247" s="7"/>
      <c r="R247" s="8"/>
      <c r="S247" s="7"/>
      <c r="T247" s="9"/>
      <c r="U247" s="7"/>
      <c r="V247" s="8"/>
      <c r="W247" s="7"/>
      <c r="X247" s="7"/>
      <c r="Y247" s="8"/>
      <c r="Z247" s="7"/>
      <c r="AA247" s="8"/>
    </row>
    <row r="248" spans="4:27" ht="14.25" thickTop="1" thickBot="1">
      <c r="D248" s="66"/>
      <c r="E248" s="51" t="s">
        <v>867</v>
      </c>
      <c r="F248" s="7"/>
      <c r="G248" s="8"/>
      <c r="H248" s="7"/>
      <c r="I248" s="6"/>
      <c r="J248" s="7"/>
      <c r="K248" s="8"/>
      <c r="L248" s="7"/>
      <c r="M248" s="8"/>
      <c r="N248" s="7"/>
      <c r="O248" s="8"/>
      <c r="P248" s="7"/>
      <c r="Q248" s="7"/>
      <c r="R248" s="8"/>
      <c r="S248" s="7"/>
      <c r="T248" s="9"/>
      <c r="U248" s="7"/>
      <c r="V248" s="8"/>
      <c r="W248" s="7"/>
      <c r="X248" s="7"/>
      <c r="Y248" s="8"/>
      <c r="Z248" s="7"/>
      <c r="AA248" s="8"/>
    </row>
    <row r="249" spans="4:27" ht="14.25" thickTop="1" thickBot="1">
      <c r="D249" s="66"/>
      <c r="E249" s="51" t="s">
        <v>449</v>
      </c>
      <c r="F249" s="7"/>
      <c r="G249" s="8"/>
      <c r="H249" s="7"/>
      <c r="I249" s="6"/>
      <c r="J249" s="7"/>
      <c r="K249" s="8"/>
      <c r="L249" s="7"/>
      <c r="M249" s="8"/>
      <c r="N249" s="7"/>
      <c r="O249" s="8"/>
      <c r="P249" s="7"/>
      <c r="Q249" s="7"/>
      <c r="R249" s="8"/>
      <c r="S249" s="7"/>
      <c r="T249" s="9"/>
      <c r="U249" s="7"/>
      <c r="V249" s="8"/>
      <c r="W249" s="7"/>
      <c r="X249" s="7"/>
      <c r="Y249" s="8"/>
      <c r="Z249" s="7"/>
      <c r="AA249" s="8"/>
    </row>
    <row r="250" spans="4:27" ht="14.25" thickTop="1" thickBot="1">
      <c r="D250" s="66"/>
      <c r="E250" s="51" t="s">
        <v>447</v>
      </c>
      <c r="F250" s="7"/>
      <c r="G250" s="8"/>
      <c r="H250" s="7"/>
      <c r="I250" s="6"/>
      <c r="J250" s="7"/>
      <c r="K250" s="8"/>
      <c r="L250" s="7"/>
      <c r="M250" s="8"/>
      <c r="N250" s="7"/>
      <c r="O250" s="8"/>
      <c r="P250" s="7"/>
      <c r="Q250" s="7"/>
      <c r="R250" s="8"/>
      <c r="S250" s="7"/>
      <c r="T250" s="9"/>
      <c r="U250" s="7"/>
      <c r="V250" s="8"/>
      <c r="W250" s="7"/>
      <c r="X250" s="7"/>
      <c r="Y250" s="8"/>
      <c r="Z250" s="7"/>
      <c r="AA250" s="8"/>
    </row>
    <row r="251" spans="4:27" ht="14.25" thickTop="1" thickBot="1">
      <c r="D251" s="66"/>
      <c r="E251" s="51" t="s">
        <v>444</v>
      </c>
      <c r="F251" s="7"/>
      <c r="G251" s="8"/>
      <c r="H251" s="7"/>
      <c r="I251" s="6"/>
      <c r="J251" s="7"/>
      <c r="K251" s="8"/>
      <c r="L251" s="7"/>
      <c r="M251" s="8"/>
      <c r="N251" s="7"/>
      <c r="O251" s="8"/>
      <c r="P251" s="7"/>
      <c r="Q251" s="7"/>
      <c r="R251" s="8"/>
      <c r="S251" s="7"/>
      <c r="T251" s="9"/>
      <c r="U251" s="7"/>
      <c r="V251" s="8"/>
      <c r="W251" s="7"/>
      <c r="X251" s="7"/>
      <c r="Y251" s="8"/>
      <c r="Z251" s="7"/>
      <c r="AA251" s="8"/>
    </row>
    <row r="252" spans="4:27" ht="14.25" thickTop="1" thickBot="1">
      <c r="D252" s="66"/>
      <c r="E252" s="51" t="s">
        <v>443</v>
      </c>
      <c r="F252" s="7"/>
      <c r="G252" s="8"/>
      <c r="H252" s="7"/>
      <c r="I252" s="6"/>
      <c r="J252" s="7"/>
      <c r="K252" s="8"/>
      <c r="L252" s="7"/>
      <c r="M252" s="8"/>
      <c r="N252" s="7"/>
      <c r="O252" s="8"/>
      <c r="P252" s="7"/>
      <c r="Q252" s="7"/>
      <c r="R252" s="8"/>
      <c r="S252" s="7"/>
      <c r="T252" s="9"/>
      <c r="U252" s="7"/>
      <c r="V252" s="8"/>
      <c r="W252" s="7"/>
      <c r="X252" s="7"/>
      <c r="Y252" s="8"/>
      <c r="Z252" s="7"/>
      <c r="AA252" s="8"/>
    </row>
    <row r="253" spans="4:27" ht="14.25" thickTop="1" thickBot="1">
      <c r="D253" s="66"/>
      <c r="E253" s="51" t="s">
        <v>438</v>
      </c>
      <c r="F253" s="7"/>
      <c r="G253" s="8"/>
      <c r="H253" s="7"/>
      <c r="I253" s="6"/>
      <c r="J253" s="7"/>
      <c r="K253" s="8"/>
      <c r="L253" s="7"/>
      <c r="M253" s="8"/>
      <c r="N253" s="7"/>
      <c r="O253" s="8"/>
      <c r="P253" s="7"/>
      <c r="Q253" s="7"/>
      <c r="R253" s="8"/>
      <c r="S253" s="7"/>
      <c r="T253" s="9"/>
      <c r="U253" s="7"/>
      <c r="V253" s="8"/>
      <c r="W253" s="7"/>
      <c r="X253" s="7"/>
      <c r="Y253" s="8"/>
      <c r="Z253" s="7"/>
      <c r="AA253" s="8"/>
    </row>
    <row r="254" spans="4:27" ht="14.25" thickTop="1" thickBot="1">
      <c r="D254" s="66"/>
      <c r="E254" s="51" t="s">
        <v>868</v>
      </c>
      <c r="F254" s="7"/>
      <c r="G254" s="8"/>
      <c r="H254" s="7"/>
      <c r="I254" s="6"/>
      <c r="J254" s="7"/>
      <c r="K254" s="8"/>
      <c r="L254" s="7"/>
      <c r="M254" s="8"/>
      <c r="N254" s="7"/>
      <c r="O254" s="8"/>
      <c r="P254" s="7"/>
      <c r="Q254" s="7"/>
      <c r="R254" s="8"/>
      <c r="S254" s="7"/>
      <c r="T254" s="9"/>
      <c r="U254" s="7"/>
      <c r="V254" s="8"/>
      <c r="W254" s="7"/>
      <c r="X254" s="7"/>
      <c r="Y254" s="8"/>
      <c r="Z254" s="7"/>
      <c r="AA254" s="8"/>
    </row>
    <row r="255" spans="4:27" ht="14.25" thickTop="1" thickBot="1">
      <c r="D255" s="66"/>
      <c r="E255" s="51" t="s">
        <v>866</v>
      </c>
      <c r="F255" s="7"/>
      <c r="G255" s="8"/>
      <c r="H255" s="7"/>
      <c r="I255" s="6"/>
      <c r="J255" s="7"/>
      <c r="K255" s="8"/>
      <c r="L255" s="7"/>
      <c r="M255" s="8"/>
      <c r="N255" s="7"/>
      <c r="O255" s="8"/>
      <c r="P255" s="7"/>
      <c r="Q255" s="7"/>
      <c r="R255" s="8"/>
      <c r="S255" s="7"/>
      <c r="T255" s="9"/>
      <c r="U255" s="7"/>
      <c r="V255" s="8"/>
      <c r="W255" s="7"/>
      <c r="X255" s="7"/>
      <c r="Y255" s="8"/>
      <c r="Z255" s="7"/>
      <c r="AA255" s="8"/>
    </row>
    <row r="256" spans="4:27" ht="14.25" thickTop="1" thickBot="1">
      <c r="D256" s="66"/>
      <c r="E256" s="51" t="s">
        <v>843</v>
      </c>
      <c r="F256" s="7"/>
      <c r="G256" s="8"/>
      <c r="H256" s="7"/>
      <c r="I256" s="6"/>
      <c r="J256" s="7"/>
      <c r="K256" s="8"/>
      <c r="L256" s="7"/>
      <c r="M256" s="8"/>
      <c r="N256" s="7"/>
      <c r="O256" s="8"/>
      <c r="P256" s="7"/>
      <c r="Q256" s="7"/>
      <c r="R256" s="8"/>
      <c r="S256" s="7"/>
      <c r="T256" s="9"/>
      <c r="U256" s="7"/>
      <c r="V256" s="8"/>
      <c r="W256" s="7"/>
      <c r="X256" s="7"/>
      <c r="Y256" s="8"/>
      <c r="Z256" s="7"/>
      <c r="AA256" s="8"/>
    </row>
    <row r="257" spans="4:27" ht="14.25" thickTop="1" thickBot="1">
      <c r="D257" s="66"/>
      <c r="E257" s="51" t="s">
        <v>837</v>
      </c>
      <c r="F257" s="7"/>
      <c r="G257" s="8"/>
      <c r="H257" s="7"/>
      <c r="I257" s="6"/>
      <c r="J257" s="7"/>
      <c r="K257" s="8"/>
      <c r="L257" s="7"/>
      <c r="M257" s="8"/>
      <c r="N257" s="7"/>
      <c r="O257" s="8"/>
      <c r="P257" s="7"/>
      <c r="Q257" s="7"/>
      <c r="R257" s="8"/>
      <c r="S257" s="7"/>
      <c r="T257" s="9"/>
      <c r="U257" s="7"/>
      <c r="V257" s="8"/>
      <c r="W257" s="7"/>
      <c r="X257" s="7"/>
      <c r="Y257" s="8"/>
      <c r="Z257" s="7"/>
      <c r="AA257" s="8"/>
    </row>
    <row r="258" spans="4:27" ht="14.25" thickTop="1" thickBot="1">
      <c r="D258" s="66"/>
      <c r="E258" s="51" t="s">
        <v>839</v>
      </c>
      <c r="F258" s="7"/>
      <c r="G258" s="8"/>
      <c r="H258" s="7"/>
      <c r="I258" s="6"/>
      <c r="J258" s="7"/>
      <c r="K258" s="8"/>
      <c r="L258" s="7"/>
      <c r="M258" s="8"/>
      <c r="N258" s="7"/>
      <c r="O258" s="8"/>
      <c r="P258" s="7"/>
      <c r="Q258" s="7"/>
      <c r="R258" s="8"/>
      <c r="S258" s="7"/>
      <c r="T258" s="9"/>
      <c r="U258" s="7"/>
      <c r="V258" s="8"/>
      <c r="W258" s="7"/>
      <c r="X258" s="7"/>
      <c r="Y258" s="8"/>
      <c r="Z258" s="7"/>
      <c r="AA258" s="8"/>
    </row>
    <row r="259" spans="4:27" ht="14.25" thickTop="1" thickBot="1">
      <c r="D259" s="66"/>
      <c r="E259" s="51" t="s">
        <v>840</v>
      </c>
      <c r="F259" s="7"/>
      <c r="G259" s="8"/>
      <c r="H259" s="7"/>
      <c r="I259" s="6"/>
      <c r="J259" s="7"/>
      <c r="K259" s="8"/>
      <c r="L259" s="7"/>
      <c r="M259" s="8"/>
      <c r="N259" s="7"/>
      <c r="O259" s="8"/>
      <c r="P259" s="7"/>
      <c r="Q259" s="7"/>
      <c r="R259" s="8"/>
      <c r="S259" s="7"/>
      <c r="T259" s="9"/>
      <c r="U259" s="7"/>
      <c r="V259" s="8"/>
      <c r="W259" s="7"/>
      <c r="X259" s="7"/>
      <c r="Y259" s="8"/>
      <c r="Z259" s="7"/>
      <c r="AA259" s="8"/>
    </row>
    <row r="260" spans="4:27" ht="14.25" thickTop="1" thickBot="1">
      <c r="D260" s="66"/>
      <c r="E260" s="51" t="s">
        <v>871</v>
      </c>
      <c r="F260" s="7"/>
      <c r="G260" s="8"/>
      <c r="H260" s="7"/>
      <c r="I260" s="6"/>
      <c r="J260" s="7"/>
      <c r="K260" s="8"/>
      <c r="L260" s="7"/>
      <c r="M260" s="8"/>
      <c r="N260" s="7"/>
      <c r="O260" s="8"/>
      <c r="P260" s="7"/>
      <c r="Q260" s="7"/>
      <c r="R260" s="8"/>
      <c r="S260" s="7"/>
      <c r="T260" s="9"/>
      <c r="U260" s="7"/>
      <c r="V260" s="8"/>
      <c r="W260" s="7"/>
      <c r="X260" s="7"/>
      <c r="Y260" s="8"/>
      <c r="Z260" s="7"/>
      <c r="AA260" s="8"/>
    </row>
    <row r="261" spans="4:27" ht="14.25" thickTop="1" thickBot="1">
      <c r="D261" s="66"/>
      <c r="E261" s="51" t="s">
        <v>841</v>
      </c>
      <c r="F261" s="7"/>
      <c r="G261" s="8"/>
      <c r="H261" s="7"/>
      <c r="I261" s="6"/>
      <c r="J261" s="7"/>
      <c r="K261" s="8"/>
      <c r="L261" s="7"/>
      <c r="M261" s="8"/>
      <c r="N261" s="7"/>
      <c r="O261" s="8"/>
      <c r="P261" s="7"/>
      <c r="Q261" s="7"/>
      <c r="R261" s="8"/>
      <c r="S261" s="7"/>
      <c r="T261" s="9"/>
      <c r="U261" s="7"/>
      <c r="V261" s="8"/>
      <c r="W261" s="7"/>
      <c r="X261" s="7"/>
      <c r="Y261" s="8"/>
      <c r="Z261" s="7"/>
      <c r="AA261" s="8"/>
    </row>
    <row r="262" spans="4:27" ht="14.25" thickTop="1" thickBot="1">
      <c r="D262" s="66"/>
      <c r="E262" s="51" t="s">
        <v>842</v>
      </c>
      <c r="F262" s="7"/>
      <c r="G262" s="8"/>
      <c r="H262" s="7"/>
      <c r="I262" s="6"/>
      <c r="J262" s="7"/>
      <c r="K262" s="8"/>
      <c r="L262" s="7"/>
      <c r="M262" s="8"/>
      <c r="N262" s="7"/>
      <c r="O262" s="8"/>
      <c r="P262" s="7"/>
      <c r="Q262" s="7"/>
      <c r="R262" s="8"/>
      <c r="S262" s="7"/>
      <c r="T262" s="9"/>
      <c r="U262" s="7"/>
      <c r="V262" s="8"/>
      <c r="W262" s="7"/>
      <c r="X262" s="7"/>
      <c r="Y262" s="8"/>
      <c r="Z262" s="7"/>
      <c r="AA262" s="8"/>
    </row>
    <row r="263" spans="4:27" ht="14.25" thickTop="1" thickBot="1">
      <c r="D263" s="66"/>
      <c r="E263" s="51" t="s">
        <v>420</v>
      </c>
      <c r="F263" s="7"/>
      <c r="G263" s="8"/>
      <c r="H263" s="7"/>
      <c r="I263" s="6"/>
      <c r="J263" s="7"/>
      <c r="K263" s="8"/>
      <c r="L263" s="7"/>
      <c r="M263" s="8"/>
      <c r="N263" s="7"/>
      <c r="O263" s="8"/>
      <c r="P263" s="7"/>
      <c r="Q263" s="7"/>
      <c r="R263" s="8"/>
      <c r="S263" s="7"/>
      <c r="T263" s="9"/>
      <c r="U263" s="7"/>
      <c r="V263" s="8"/>
      <c r="W263" s="7"/>
      <c r="X263" s="7"/>
      <c r="Y263" s="8"/>
      <c r="Z263" s="7"/>
      <c r="AA263" s="8"/>
    </row>
    <row r="264" spans="4:27" ht="14.25" thickTop="1" thickBot="1">
      <c r="D264" s="66"/>
      <c r="E264" s="51" t="s">
        <v>441</v>
      </c>
      <c r="F264" s="7"/>
      <c r="G264" s="8"/>
      <c r="H264" s="7"/>
      <c r="I264" s="6"/>
      <c r="J264" s="7"/>
      <c r="K264" s="8"/>
      <c r="L264" s="7"/>
      <c r="M264" s="8"/>
      <c r="N264" s="7"/>
      <c r="O264" s="8"/>
      <c r="P264" s="7"/>
      <c r="Q264" s="7"/>
      <c r="R264" s="8"/>
      <c r="S264" s="7"/>
      <c r="T264" s="9"/>
      <c r="U264" s="7"/>
      <c r="V264" s="8"/>
      <c r="W264" s="7"/>
      <c r="X264" s="7"/>
      <c r="Y264" s="8"/>
      <c r="Z264" s="7"/>
      <c r="AA264" s="8"/>
    </row>
    <row r="265" spans="4:27" ht="14.25" thickTop="1" thickBot="1">
      <c r="D265" s="66"/>
      <c r="E265" s="51" t="s">
        <v>435</v>
      </c>
      <c r="F265" s="7"/>
      <c r="G265" s="8"/>
      <c r="H265" s="7"/>
      <c r="I265" s="6"/>
      <c r="J265" s="7"/>
      <c r="K265" s="8"/>
      <c r="L265" s="7"/>
      <c r="M265" s="8"/>
      <c r="N265" s="7"/>
      <c r="O265" s="8"/>
      <c r="P265" s="7"/>
      <c r="Q265" s="7"/>
      <c r="R265" s="8"/>
      <c r="S265" s="7"/>
      <c r="T265" s="9"/>
      <c r="U265" s="7"/>
      <c r="V265" s="8"/>
      <c r="W265" s="7"/>
      <c r="X265" s="7"/>
      <c r="Y265" s="8"/>
      <c r="Z265" s="7"/>
      <c r="AA265" s="8"/>
    </row>
    <row r="266" spans="4:27" ht="14.25" thickTop="1" thickBot="1">
      <c r="D266" s="66"/>
      <c r="E266" s="51" t="s">
        <v>418</v>
      </c>
      <c r="F266" s="7"/>
      <c r="G266" s="8"/>
      <c r="H266" s="7"/>
      <c r="I266" s="6"/>
      <c r="J266" s="7"/>
      <c r="K266" s="8"/>
      <c r="L266" s="7"/>
      <c r="M266" s="8"/>
      <c r="N266" s="7"/>
      <c r="O266" s="8"/>
      <c r="P266" s="7"/>
      <c r="Q266" s="7"/>
      <c r="R266" s="8"/>
      <c r="S266" s="7"/>
      <c r="T266" s="9"/>
      <c r="U266" s="7"/>
      <c r="V266" s="8"/>
      <c r="W266" s="7"/>
      <c r="X266" s="7"/>
      <c r="Y266" s="8"/>
      <c r="Z266" s="7"/>
      <c r="AA266" s="8"/>
    </row>
    <row r="267" spans="4:27" ht="14.25" thickTop="1" thickBot="1">
      <c r="D267" s="66"/>
      <c r="E267" s="51" t="s">
        <v>422</v>
      </c>
      <c r="F267" s="7"/>
      <c r="G267" s="8"/>
      <c r="H267" s="7"/>
      <c r="I267" s="6"/>
      <c r="J267" s="7"/>
      <c r="K267" s="8"/>
      <c r="L267" s="7"/>
      <c r="M267" s="8"/>
      <c r="N267" s="7"/>
      <c r="O267" s="8"/>
      <c r="P267" s="7"/>
      <c r="Q267" s="7"/>
      <c r="R267" s="8"/>
      <c r="S267" s="7"/>
      <c r="T267" s="9"/>
      <c r="U267" s="7"/>
      <c r="V267" s="8"/>
      <c r="W267" s="7"/>
      <c r="X267" s="7"/>
      <c r="Y267" s="8"/>
      <c r="Z267" s="7"/>
      <c r="AA267" s="8"/>
    </row>
    <row r="268" spans="4:27" ht="14.25" thickTop="1" thickBot="1">
      <c r="D268" s="66"/>
      <c r="E268" s="51" t="s">
        <v>854</v>
      </c>
      <c r="F268" s="7"/>
      <c r="G268" s="8"/>
      <c r="H268" s="7"/>
      <c r="I268" s="6"/>
      <c r="J268" s="7"/>
      <c r="K268" s="8"/>
      <c r="L268" s="7"/>
      <c r="M268" s="8"/>
      <c r="N268" s="7"/>
      <c r="O268" s="8"/>
      <c r="P268" s="7"/>
      <c r="Q268" s="7"/>
      <c r="R268" s="8"/>
      <c r="S268" s="7"/>
      <c r="T268" s="9"/>
      <c r="U268" s="7"/>
      <c r="V268" s="8"/>
      <c r="W268" s="7"/>
      <c r="X268" s="7"/>
      <c r="Y268" s="8"/>
      <c r="Z268" s="7"/>
      <c r="AA268" s="8"/>
    </row>
    <row r="269" spans="4:27" ht="14.25" thickTop="1" thickBot="1">
      <c r="D269" s="66"/>
      <c r="E269" s="51" t="s">
        <v>861</v>
      </c>
      <c r="F269" s="7"/>
      <c r="G269" s="8"/>
      <c r="H269" s="7"/>
      <c r="I269" s="6"/>
      <c r="J269" s="7"/>
      <c r="K269" s="8"/>
      <c r="L269" s="7"/>
      <c r="M269" s="8"/>
      <c r="N269" s="7"/>
      <c r="O269" s="8"/>
      <c r="P269" s="7"/>
      <c r="Q269" s="7"/>
      <c r="R269" s="8"/>
      <c r="S269" s="7"/>
      <c r="T269" s="9"/>
      <c r="U269" s="7"/>
      <c r="V269" s="8"/>
      <c r="W269" s="7"/>
      <c r="X269" s="7"/>
      <c r="Y269" s="8"/>
      <c r="Z269" s="7"/>
      <c r="AA269" s="8"/>
    </row>
    <row r="270" spans="4:27" ht="14.25" thickTop="1" thickBot="1">
      <c r="D270" s="66"/>
      <c r="E270" s="51" t="s">
        <v>1284</v>
      </c>
      <c r="F270" s="7"/>
      <c r="G270" s="8"/>
      <c r="H270" s="7"/>
      <c r="I270" s="6"/>
      <c r="J270" s="7"/>
      <c r="K270" s="8"/>
      <c r="L270" s="7"/>
      <c r="M270" s="8"/>
      <c r="N270" s="7"/>
      <c r="O270" s="8"/>
      <c r="P270" s="7"/>
      <c r="Q270" s="7"/>
      <c r="R270" s="8"/>
      <c r="S270" s="7"/>
      <c r="T270" s="9"/>
      <c r="U270" s="7"/>
      <c r="V270" s="8"/>
      <c r="W270" s="7"/>
      <c r="X270" s="7"/>
      <c r="Y270" s="8"/>
      <c r="Z270" s="7"/>
      <c r="AA270" s="8"/>
    </row>
    <row r="271" spans="4:27" ht="14.25" thickTop="1" thickBot="1">
      <c r="D271" s="66"/>
      <c r="E271" s="51" t="s">
        <v>440</v>
      </c>
      <c r="F271" s="7"/>
      <c r="G271" s="8"/>
      <c r="H271" s="7"/>
      <c r="I271" s="6"/>
      <c r="J271" s="7"/>
      <c r="K271" s="8"/>
      <c r="L271" s="7"/>
      <c r="M271" s="8"/>
      <c r="N271" s="7"/>
      <c r="O271" s="8"/>
      <c r="P271" s="7"/>
      <c r="Q271" s="7"/>
      <c r="R271" s="8"/>
      <c r="S271" s="7"/>
      <c r="T271" s="9"/>
      <c r="U271" s="7"/>
      <c r="V271" s="8"/>
      <c r="W271" s="7"/>
      <c r="X271" s="7"/>
      <c r="Y271" s="8"/>
      <c r="Z271" s="7"/>
      <c r="AA271" s="8"/>
    </row>
    <row r="272" spans="4:27" ht="14.25" thickTop="1" thickBot="1">
      <c r="D272" s="66"/>
      <c r="E272" s="51" t="s">
        <v>1084</v>
      </c>
      <c r="F272" s="7"/>
      <c r="G272" s="8"/>
      <c r="H272" s="7"/>
      <c r="I272" s="6"/>
      <c r="J272" s="7"/>
      <c r="K272" s="8"/>
      <c r="L272" s="7"/>
      <c r="M272" s="8"/>
      <c r="N272" s="7"/>
      <c r="O272" s="8"/>
      <c r="P272" s="7"/>
      <c r="Q272" s="7"/>
      <c r="R272" s="8"/>
      <c r="S272" s="7"/>
      <c r="T272" s="9"/>
      <c r="U272" s="7"/>
      <c r="V272" s="8"/>
      <c r="W272" s="7"/>
      <c r="X272" s="7"/>
      <c r="Y272" s="8"/>
      <c r="Z272" s="7"/>
      <c r="AA272" s="8"/>
    </row>
    <row r="273" spans="4:27" ht="14.25" thickTop="1" thickBot="1">
      <c r="D273" s="66"/>
      <c r="E273" s="51" t="s">
        <v>1285</v>
      </c>
      <c r="F273" s="7"/>
      <c r="G273" s="8"/>
      <c r="H273" s="7"/>
      <c r="I273" s="6"/>
      <c r="J273" s="7"/>
      <c r="K273" s="8"/>
      <c r="L273" s="7"/>
      <c r="M273" s="8"/>
      <c r="N273" s="7"/>
      <c r="O273" s="8"/>
      <c r="P273" s="7"/>
      <c r="Q273" s="7"/>
      <c r="R273" s="8"/>
      <c r="S273" s="7"/>
      <c r="T273" s="9"/>
      <c r="U273" s="7"/>
      <c r="V273" s="8"/>
      <c r="W273" s="7"/>
      <c r="X273" s="7"/>
      <c r="Y273" s="8"/>
      <c r="Z273" s="7"/>
      <c r="AA273" s="8"/>
    </row>
    <row r="274" spans="4:27" ht="14.25" thickTop="1" thickBot="1">
      <c r="D274" s="66"/>
      <c r="E274" s="51" t="s">
        <v>188</v>
      </c>
      <c r="F274" s="7"/>
      <c r="G274" s="8"/>
      <c r="H274" s="7"/>
      <c r="I274" s="6"/>
      <c r="J274" s="7"/>
      <c r="K274" s="8"/>
      <c r="L274" s="7"/>
      <c r="M274" s="8"/>
      <c r="N274" s="7"/>
      <c r="O274" s="8"/>
      <c r="P274" s="7"/>
      <c r="Q274" s="7"/>
      <c r="R274" s="8"/>
      <c r="S274" s="7"/>
      <c r="T274" s="9"/>
      <c r="U274" s="7"/>
      <c r="V274" s="8"/>
      <c r="W274" s="7"/>
      <c r="X274" s="7"/>
      <c r="Y274" s="8"/>
      <c r="Z274" s="7"/>
      <c r="AA274" s="8"/>
    </row>
    <row r="275" spans="4:27" ht="14.25" thickTop="1" thickBot="1">
      <c r="D275" s="66"/>
      <c r="E275" s="51" t="s">
        <v>1092</v>
      </c>
      <c r="F275" s="7"/>
      <c r="G275" s="8"/>
      <c r="H275" s="7"/>
      <c r="I275" s="6"/>
      <c r="J275" s="7"/>
      <c r="K275" s="8"/>
      <c r="L275" s="7"/>
      <c r="M275" s="8"/>
      <c r="N275" s="7"/>
      <c r="O275" s="8"/>
      <c r="P275" s="7"/>
      <c r="Q275" s="7"/>
      <c r="R275" s="8"/>
      <c r="S275" s="7"/>
      <c r="T275" s="9"/>
      <c r="U275" s="7"/>
      <c r="V275" s="8"/>
      <c r="W275" s="7"/>
      <c r="X275" s="7"/>
      <c r="Y275" s="8"/>
      <c r="Z275" s="7"/>
      <c r="AA275" s="8"/>
    </row>
    <row r="276" spans="4:27" ht="14.25" thickTop="1" thickBot="1">
      <c r="D276" s="66"/>
      <c r="E276" s="51" t="s">
        <v>192</v>
      </c>
      <c r="F276" s="7"/>
      <c r="G276" s="8"/>
      <c r="H276" s="7"/>
      <c r="I276" s="6"/>
      <c r="J276" s="7"/>
      <c r="K276" s="8"/>
      <c r="L276" s="7"/>
      <c r="M276" s="8"/>
      <c r="N276" s="7"/>
      <c r="O276" s="8"/>
      <c r="P276" s="7"/>
      <c r="Q276" s="7"/>
      <c r="R276" s="8"/>
      <c r="S276" s="7"/>
      <c r="T276" s="9"/>
      <c r="U276" s="7"/>
      <c r="V276" s="8"/>
      <c r="W276" s="7"/>
      <c r="X276" s="7"/>
      <c r="Y276" s="8"/>
      <c r="Z276" s="7"/>
      <c r="AA276" s="8"/>
    </row>
    <row r="277" spans="4:27" ht="14.25" thickTop="1" thickBot="1">
      <c r="D277" s="66"/>
      <c r="E277" s="51" t="s">
        <v>193</v>
      </c>
      <c r="F277" s="7"/>
      <c r="G277" s="8"/>
      <c r="H277" s="7"/>
      <c r="I277" s="6"/>
      <c r="J277" s="7"/>
      <c r="K277" s="8"/>
      <c r="L277" s="7"/>
      <c r="M277" s="8"/>
      <c r="N277" s="7"/>
      <c r="O277" s="8"/>
      <c r="P277" s="7"/>
      <c r="Q277" s="7"/>
      <c r="R277" s="8"/>
      <c r="S277" s="7"/>
      <c r="T277" s="9"/>
      <c r="U277" s="7"/>
      <c r="V277" s="8"/>
      <c r="W277" s="7"/>
      <c r="X277" s="7"/>
      <c r="Y277" s="8"/>
      <c r="Z277" s="7"/>
      <c r="AA277" s="8"/>
    </row>
    <row r="278" spans="4:27" ht="14.25" thickTop="1" thickBot="1">
      <c r="D278" s="66"/>
      <c r="E278" s="51" t="s">
        <v>195</v>
      </c>
      <c r="F278" s="7"/>
      <c r="G278" s="8"/>
      <c r="H278" s="7"/>
      <c r="I278" s="6"/>
      <c r="J278" s="7"/>
      <c r="K278" s="8"/>
      <c r="L278" s="7"/>
      <c r="M278" s="8"/>
      <c r="N278" s="7"/>
      <c r="O278" s="8"/>
      <c r="P278" s="7"/>
      <c r="Q278" s="7"/>
      <c r="R278" s="8"/>
      <c r="S278" s="7"/>
      <c r="T278" s="9"/>
      <c r="U278" s="7"/>
      <c r="V278" s="8"/>
      <c r="W278" s="7"/>
      <c r="X278" s="7"/>
      <c r="Y278" s="8"/>
      <c r="Z278" s="7"/>
      <c r="AA278" s="8"/>
    </row>
    <row r="279" spans="4:27" ht="14.25" thickTop="1" thickBot="1">
      <c r="D279" s="66"/>
      <c r="E279" s="51" t="s">
        <v>1286</v>
      </c>
      <c r="F279" s="7"/>
      <c r="G279" s="8"/>
      <c r="H279" s="7"/>
      <c r="I279" s="6"/>
      <c r="J279" s="7"/>
      <c r="K279" s="8"/>
      <c r="L279" s="7"/>
      <c r="M279" s="8"/>
      <c r="N279" s="7"/>
      <c r="O279" s="8"/>
      <c r="P279" s="7"/>
      <c r="Q279" s="7"/>
      <c r="R279" s="8"/>
      <c r="S279" s="7"/>
      <c r="T279" s="9"/>
      <c r="U279" s="7"/>
      <c r="V279" s="8"/>
      <c r="W279" s="7"/>
      <c r="X279" s="7"/>
      <c r="Y279" s="8"/>
      <c r="Z279" s="7"/>
      <c r="AA279" s="8"/>
    </row>
    <row r="280" spans="4:27" ht="14.25" thickTop="1" thickBot="1">
      <c r="D280" s="66"/>
      <c r="E280" s="51" t="s">
        <v>1287</v>
      </c>
      <c r="F280" s="7"/>
      <c r="G280" s="8"/>
      <c r="H280" s="7"/>
      <c r="I280" s="6"/>
      <c r="J280" s="7"/>
      <c r="K280" s="8"/>
      <c r="L280" s="7"/>
      <c r="M280" s="8"/>
      <c r="N280" s="7"/>
      <c r="O280" s="8"/>
      <c r="P280" s="7"/>
      <c r="Q280" s="7"/>
      <c r="R280" s="8"/>
      <c r="S280" s="7"/>
      <c r="T280" s="9"/>
      <c r="U280" s="7"/>
      <c r="V280" s="8"/>
      <c r="W280" s="7"/>
      <c r="X280" s="7"/>
      <c r="Y280" s="8"/>
      <c r="Z280" s="7"/>
      <c r="AA280" s="8"/>
    </row>
    <row r="281" spans="4:27" ht="14.25" thickTop="1" thickBot="1">
      <c r="D281" s="66"/>
      <c r="E281" s="51" t="s">
        <v>1009</v>
      </c>
      <c r="F281" s="7"/>
      <c r="G281" s="8"/>
      <c r="H281" s="7"/>
      <c r="I281" s="6"/>
      <c r="J281" s="7"/>
      <c r="K281" s="8"/>
      <c r="L281" s="7"/>
      <c r="M281" s="8"/>
      <c r="N281" s="7"/>
      <c r="O281" s="8"/>
      <c r="P281" s="7"/>
      <c r="Q281" s="7"/>
      <c r="R281" s="8"/>
      <c r="S281" s="7"/>
      <c r="T281" s="9"/>
      <c r="U281" s="7"/>
      <c r="V281" s="8"/>
      <c r="W281" s="7"/>
      <c r="X281" s="7"/>
      <c r="Y281" s="8"/>
      <c r="Z281" s="7"/>
      <c r="AA281" s="8"/>
    </row>
    <row r="282" spans="4:27" ht="14.25" thickTop="1" thickBot="1">
      <c r="D282" s="66"/>
      <c r="E282" s="51" t="s">
        <v>196</v>
      </c>
      <c r="F282" s="7"/>
      <c r="G282" s="8"/>
      <c r="H282" s="7"/>
      <c r="I282" s="6"/>
      <c r="J282" s="7"/>
      <c r="K282" s="8"/>
      <c r="L282" s="7"/>
      <c r="M282" s="8"/>
      <c r="N282" s="7"/>
      <c r="O282" s="8"/>
      <c r="P282" s="7"/>
      <c r="Q282" s="7"/>
      <c r="R282" s="8"/>
      <c r="S282" s="7"/>
      <c r="T282" s="9"/>
      <c r="U282" s="7"/>
      <c r="V282" s="8"/>
      <c r="W282" s="7"/>
      <c r="X282" s="7"/>
      <c r="Y282" s="8"/>
      <c r="Z282" s="7"/>
      <c r="AA282" s="8"/>
    </row>
    <row r="283" spans="4:27" ht="14.25" thickTop="1" thickBot="1">
      <c r="D283" s="66"/>
      <c r="E283" s="51" t="s">
        <v>1096</v>
      </c>
      <c r="F283" s="7"/>
      <c r="G283" s="8"/>
      <c r="H283" s="7"/>
      <c r="I283" s="6"/>
      <c r="J283" s="7"/>
      <c r="K283" s="8"/>
      <c r="L283" s="7"/>
      <c r="M283" s="8"/>
      <c r="N283" s="7"/>
      <c r="O283" s="8"/>
      <c r="P283" s="7"/>
      <c r="Q283" s="7"/>
      <c r="R283" s="8"/>
      <c r="S283" s="7"/>
      <c r="T283" s="9"/>
      <c r="U283" s="7"/>
      <c r="V283" s="8"/>
      <c r="W283" s="7"/>
      <c r="X283" s="7"/>
      <c r="Y283" s="8"/>
      <c r="Z283" s="7"/>
      <c r="AA283" s="8"/>
    </row>
    <row r="284" spans="4:27" ht="14.25" thickTop="1" thickBot="1">
      <c r="D284" s="66"/>
      <c r="E284" s="51" t="s">
        <v>237</v>
      </c>
      <c r="F284" s="7"/>
      <c r="G284" s="8"/>
      <c r="H284" s="7"/>
      <c r="I284" s="6"/>
      <c r="J284" s="7"/>
      <c r="K284" s="8"/>
      <c r="L284" s="7"/>
      <c r="M284" s="8"/>
      <c r="N284" s="7"/>
      <c r="O284" s="8"/>
      <c r="P284" s="7"/>
      <c r="Q284" s="7"/>
      <c r="R284" s="8"/>
      <c r="S284" s="7"/>
      <c r="T284" s="9"/>
      <c r="U284" s="7"/>
      <c r="V284" s="8"/>
      <c r="W284" s="7"/>
      <c r="X284" s="7"/>
      <c r="Y284" s="8"/>
      <c r="Z284" s="7"/>
      <c r="AA284" s="8"/>
    </row>
    <row r="285" spans="4:27" ht="14.25" thickTop="1" thickBot="1">
      <c r="D285" s="66"/>
      <c r="E285" s="51" t="s">
        <v>139</v>
      </c>
      <c r="F285" s="7"/>
      <c r="G285" s="8"/>
      <c r="H285" s="7"/>
      <c r="I285" s="6"/>
      <c r="J285" s="7"/>
      <c r="K285" s="8"/>
      <c r="L285" s="7"/>
      <c r="M285" s="8"/>
      <c r="N285" s="7"/>
      <c r="O285" s="8"/>
      <c r="P285" s="7"/>
      <c r="Q285" s="7"/>
      <c r="R285" s="8"/>
      <c r="S285" s="7"/>
      <c r="T285" s="9"/>
      <c r="U285" s="7"/>
      <c r="V285" s="8"/>
      <c r="W285" s="7"/>
      <c r="X285" s="7"/>
      <c r="Y285" s="8"/>
      <c r="Z285" s="7"/>
      <c r="AA285" s="8"/>
    </row>
    <row r="286" spans="4:27" ht="14.25" thickTop="1" thickBot="1">
      <c r="D286" s="66"/>
      <c r="E286" s="51" t="s">
        <v>239</v>
      </c>
      <c r="F286" s="7"/>
      <c r="G286" s="8"/>
      <c r="H286" s="7"/>
      <c r="I286" s="6"/>
      <c r="J286" s="7"/>
      <c r="K286" s="8"/>
      <c r="L286" s="7"/>
      <c r="M286" s="8"/>
      <c r="N286" s="7"/>
      <c r="O286" s="8"/>
      <c r="P286" s="7"/>
      <c r="Q286" s="7"/>
      <c r="R286" s="8"/>
      <c r="S286" s="7"/>
      <c r="T286" s="9"/>
      <c r="U286" s="7"/>
      <c r="V286" s="8"/>
      <c r="W286" s="7"/>
      <c r="X286" s="7"/>
      <c r="Y286" s="8"/>
      <c r="Z286" s="7"/>
      <c r="AA286" s="8"/>
    </row>
    <row r="287" spans="4:27" ht="14.25" thickTop="1" thickBot="1">
      <c r="D287" s="66"/>
      <c r="E287" s="51" t="s">
        <v>217</v>
      </c>
      <c r="F287" s="7"/>
      <c r="G287" s="8"/>
      <c r="H287" s="7"/>
      <c r="I287" s="6"/>
      <c r="J287" s="7"/>
      <c r="K287" s="8"/>
      <c r="L287" s="7"/>
      <c r="M287" s="8"/>
      <c r="N287" s="7"/>
      <c r="O287" s="8"/>
      <c r="P287" s="7"/>
      <c r="Q287" s="7"/>
      <c r="R287" s="8"/>
      <c r="S287" s="7"/>
      <c r="T287" s="9"/>
      <c r="U287" s="7"/>
      <c r="V287" s="8"/>
      <c r="W287" s="7"/>
      <c r="X287" s="7"/>
      <c r="Y287" s="8"/>
      <c r="Z287" s="7"/>
      <c r="AA287" s="8"/>
    </row>
    <row r="288" spans="4:27" ht="14.25" thickTop="1" thickBot="1">
      <c r="D288" s="66"/>
      <c r="E288" s="51" t="s">
        <v>1055</v>
      </c>
      <c r="F288" s="7"/>
      <c r="G288" s="8"/>
      <c r="H288" s="7"/>
      <c r="I288" s="6"/>
      <c r="J288" s="7"/>
      <c r="K288" s="8"/>
      <c r="L288" s="7"/>
      <c r="M288" s="8"/>
      <c r="N288" s="7"/>
      <c r="O288" s="8"/>
      <c r="P288" s="7"/>
      <c r="Q288" s="7"/>
      <c r="R288" s="8"/>
      <c r="S288" s="7"/>
      <c r="T288" s="9"/>
      <c r="U288" s="7"/>
      <c r="V288" s="8"/>
      <c r="W288" s="7"/>
      <c r="X288" s="7"/>
      <c r="Y288" s="8"/>
      <c r="Z288" s="7"/>
      <c r="AA288" s="8"/>
    </row>
    <row r="289" spans="4:27" ht="14.25" thickTop="1" thickBot="1">
      <c r="D289" s="66"/>
      <c r="E289" s="51" t="s">
        <v>1056</v>
      </c>
      <c r="F289" s="7"/>
      <c r="G289" s="8"/>
      <c r="H289" s="7"/>
      <c r="I289" s="6"/>
      <c r="J289" s="7"/>
      <c r="K289" s="8"/>
      <c r="L289" s="7"/>
      <c r="M289" s="8"/>
      <c r="N289" s="7"/>
      <c r="O289" s="8"/>
      <c r="P289" s="7"/>
      <c r="Q289" s="7"/>
      <c r="R289" s="8"/>
      <c r="S289" s="7"/>
      <c r="T289" s="9"/>
      <c r="U289" s="7"/>
      <c r="V289" s="8"/>
      <c r="W289" s="7"/>
      <c r="X289" s="7"/>
      <c r="Y289" s="8"/>
      <c r="Z289" s="7"/>
      <c r="AA289" s="8"/>
    </row>
    <row r="290" spans="4:27" ht="14.25" thickTop="1" thickBot="1">
      <c r="D290" s="66"/>
      <c r="E290" s="51" t="s">
        <v>222</v>
      </c>
      <c r="F290" s="7"/>
      <c r="G290" s="8"/>
      <c r="H290" s="7"/>
      <c r="I290" s="6"/>
      <c r="J290" s="7"/>
      <c r="K290" s="8"/>
      <c r="L290" s="7"/>
      <c r="M290" s="8"/>
      <c r="N290" s="7"/>
      <c r="O290" s="8"/>
      <c r="P290" s="7"/>
      <c r="Q290" s="7"/>
      <c r="R290" s="8"/>
      <c r="S290" s="7"/>
      <c r="T290" s="9"/>
      <c r="U290" s="7"/>
      <c r="V290" s="8"/>
      <c r="W290" s="7"/>
      <c r="X290" s="7"/>
      <c r="Y290" s="8"/>
      <c r="Z290" s="7"/>
      <c r="AA290" s="8"/>
    </row>
    <row r="291" spans="4:27" ht="14.25" thickTop="1" thickBot="1">
      <c r="D291" s="66"/>
      <c r="E291" s="51" t="s">
        <v>240</v>
      </c>
      <c r="F291" s="7"/>
      <c r="G291" s="8"/>
      <c r="H291" s="7"/>
      <c r="I291" s="6"/>
      <c r="J291" s="7"/>
      <c r="K291" s="8"/>
      <c r="L291" s="7"/>
      <c r="M291" s="8"/>
      <c r="N291" s="7"/>
      <c r="O291" s="8"/>
      <c r="P291" s="7"/>
      <c r="Q291" s="7"/>
      <c r="R291" s="8"/>
      <c r="S291" s="7"/>
      <c r="T291" s="9"/>
      <c r="U291" s="7"/>
      <c r="V291" s="8"/>
      <c r="W291" s="7"/>
      <c r="X291" s="7"/>
      <c r="Y291" s="8"/>
      <c r="Z291" s="7"/>
      <c r="AA291" s="8"/>
    </row>
    <row r="292" spans="4:27" ht="14.25" thickTop="1" thickBot="1">
      <c r="D292" s="66"/>
      <c r="E292" s="51" t="s">
        <v>241</v>
      </c>
      <c r="F292" s="7"/>
      <c r="G292" s="8"/>
      <c r="H292" s="7"/>
      <c r="I292" s="6"/>
      <c r="J292" s="7"/>
      <c r="K292" s="8"/>
      <c r="L292" s="7"/>
      <c r="M292" s="8"/>
      <c r="N292" s="7"/>
      <c r="O292" s="8"/>
      <c r="P292" s="7"/>
      <c r="Q292" s="7"/>
      <c r="R292" s="8"/>
      <c r="S292" s="7"/>
      <c r="T292" s="9"/>
      <c r="U292" s="7"/>
      <c r="V292" s="8"/>
      <c r="W292" s="7"/>
      <c r="X292" s="7"/>
      <c r="Y292" s="8"/>
      <c r="Z292" s="7"/>
      <c r="AA292" s="8"/>
    </row>
    <row r="293" spans="4:27" ht="14.25" thickTop="1" thickBot="1">
      <c r="D293" s="66"/>
      <c r="E293" s="51" t="s">
        <v>242</v>
      </c>
      <c r="F293" s="7"/>
      <c r="G293" s="8"/>
      <c r="H293" s="7"/>
      <c r="I293" s="6"/>
      <c r="J293" s="7"/>
      <c r="K293" s="8"/>
      <c r="L293" s="7"/>
      <c r="M293" s="8"/>
      <c r="N293" s="7"/>
      <c r="O293" s="8"/>
      <c r="P293" s="7"/>
      <c r="Q293" s="7"/>
      <c r="R293" s="8"/>
      <c r="S293" s="7"/>
      <c r="T293" s="9"/>
      <c r="U293" s="7"/>
      <c r="V293" s="8"/>
      <c r="W293" s="7"/>
      <c r="X293" s="7"/>
      <c r="Y293" s="8"/>
      <c r="Z293" s="7"/>
      <c r="AA293" s="8"/>
    </row>
    <row r="294" spans="4:27" ht="14.25" thickTop="1" thickBot="1">
      <c r="D294" s="66"/>
      <c r="E294" s="51" t="s">
        <v>1062</v>
      </c>
      <c r="F294" s="7"/>
      <c r="G294" s="8"/>
      <c r="H294" s="7"/>
      <c r="I294" s="6"/>
      <c r="J294" s="7"/>
      <c r="K294" s="8"/>
      <c r="L294" s="7"/>
      <c r="M294" s="8"/>
      <c r="N294" s="7"/>
      <c r="O294" s="8"/>
      <c r="P294" s="7"/>
      <c r="Q294" s="7"/>
      <c r="R294" s="8"/>
      <c r="S294" s="7"/>
      <c r="T294" s="9"/>
      <c r="U294" s="7"/>
      <c r="V294" s="8"/>
      <c r="W294" s="7"/>
      <c r="X294" s="7"/>
      <c r="Y294" s="8"/>
      <c r="Z294" s="7"/>
      <c r="AA294" s="8"/>
    </row>
    <row r="295" spans="4:27" ht="14.25" thickTop="1" thickBot="1">
      <c r="D295" s="66"/>
      <c r="E295" s="51" t="s">
        <v>243</v>
      </c>
      <c r="F295" s="7"/>
      <c r="G295" s="8"/>
      <c r="H295" s="7"/>
      <c r="I295" s="6"/>
      <c r="J295" s="7"/>
      <c r="K295" s="8"/>
      <c r="L295" s="7"/>
      <c r="M295" s="8"/>
      <c r="N295" s="7"/>
      <c r="O295" s="8"/>
      <c r="P295" s="7"/>
      <c r="Q295" s="7"/>
      <c r="R295" s="8"/>
      <c r="S295" s="7"/>
      <c r="T295" s="9"/>
      <c r="U295" s="7"/>
      <c r="V295" s="8"/>
      <c r="W295" s="7"/>
      <c r="X295" s="7"/>
      <c r="Y295" s="8"/>
      <c r="Z295" s="7"/>
      <c r="AA295" s="8"/>
    </row>
    <row r="296" spans="4:27" ht="14.25" thickTop="1" thickBot="1">
      <c r="D296" s="66"/>
      <c r="E296" s="51" t="s">
        <v>244</v>
      </c>
      <c r="F296" s="7"/>
      <c r="G296" s="8"/>
      <c r="H296" s="7"/>
      <c r="I296" s="6"/>
      <c r="J296" s="7"/>
      <c r="K296" s="8"/>
      <c r="L296" s="7"/>
      <c r="M296" s="8"/>
      <c r="N296" s="7"/>
      <c r="O296" s="8"/>
      <c r="P296" s="7"/>
      <c r="Q296" s="7"/>
      <c r="R296" s="8"/>
      <c r="S296" s="7"/>
      <c r="T296" s="9"/>
      <c r="U296" s="7"/>
      <c r="V296" s="8"/>
      <c r="W296" s="7"/>
      <c r="X296" s="7"/>
      <c r="Y296" s="8"/>
      <c r="Z296" s="7"/>
      <c r="AA296" s="8"/>
    </row>
    <row r="297" spans="4:27" ht="14.25" thickTop="1" thickBot="1">
      <c r="D297" s="66"/>
      <c r="E297" s="51" t="s">
        <v>141</v>
      </c>
      <c r="F297" s="7"/>
      <c r="G297" s="8"/>
      <c r="H297" s="7"/>
      <c r="I297" s="6"/>
      <c r="J297" s="7"/>
      <c r="K297" s="8"/>
      <c r="L297" s="7"/>
      <c r="M297" s="8"/>
      <c r="N297" s="7"/>
      <c r="O297" s="8"/>
      <c r="P297" s="7"/>
      <c r="Q297" s="7"/>
      <c r="R297" s="8"/>
      <c r="S297" s="7"/>
      <c r="T297" s="9"/>
      <c r="U297" s="7"/>
      <c r="V297" s="8"/>
      <c r="W297" s="7"/>
      <c r="X297" s="7"/>
      <c r="Y297" s="8"/>
      <c r="Z297" s="7"/>
      <c r="AA297" s="8"/>
    </row>
    <row r="298" spans="4:27" ht="14.25" thickTop="1" thickBot="1">
      <c r="D298" s="66"/>
      <c r="E298" s="51" t="s">
        <v>245</v>
      </c>
      <c r="F298" s="7"/>
      <c r="G298" s="8"/>
      <c r="H298" s="7"/>
      <c r="I298" s="6"/>
      <c r="J298" s="7"/>
      <c r="K298" s="8"/>
      <c r="L298" s="7"/>
      <c r="M298" s="8"/>
      <c r="N298" s="7"/>
      <c r="O298" s="8"/>
      <c r="P298" s="7"/>
      <c r="Q298" s="7"/>
      <c r="R298" s="8"/>
      <c r="S298" s="7"/>
      <c r="T298" s="9"/>
      <c r="U298" s="7"/>
      <c r="V298" s="8"/>
      <c r="W298" s="7"/>
      <c r="X298" s="7"/>
      <c r="Y298" s="8"/>
      <c r="Z298" s="7"/>
      <c r="AA298" s="8"/>
    </row>
    <row r="299" spans="4:27" ht="14.25" thickTop="1" thickBot="1">
      <c r="D299" s="66"/>
      <c r="E299" s="51" t="s">
        <v>246</v>
      </c>
      <c r="F299" s="7"/>
      <c r="G299" s="8"/>
      <c r="H299" s="7"/>
      <c r="I299" s="6"/>
      <c r="J299" s="7"/>
      <c r="K299" s="8"/>
      <c r="L299" s="7"/>
      <c r="M299" s="8"/>
      <c r="N299" s="7"/>
      <c r="O299" s="8"/>
      <c r="P299" s="7"/>
      <c r="Q299" s="7"/>
      <c r="R299" s="8"/>
      <c r="S299" s="7"/>
      <c r="T299" s="9"/>
      <c r="U299" s="7"/>
      <c r="V299" s="8"/>
      <c r="W299" s="7"/>
      <c r="X299" s="7"/>
      <c r="Y299" s="8"/>
      <c r="Z299" s="7"/>
      <c r="AA299" s="8"/>
    </row>
    <row r="300" spans="4:27" ht="14.25" thickTop="1" thickBot="1">
      <c r="D300" s="66"/>
      <c r="E300" s="51" t="s">
        <v>1063</v>
      </c>
      <c r="F300" s="7"/>
      <c r="G300" s="8"/>
      <c r="H300" s="7"/>
      <c r="I300" s="6"/>
      <c r="J300" s="7"/>
      <c r="K300" s="8"/>
      <c r="L300" s="7"/>
      <c r="M300" s="8"/>
      <c r="N300" s="7"/>
      <c r="O300" s="8"/>
      <c r="P300" s="7"/>
      <c r="Q300" s="7"/>
      <c r="R300" s="8"/>
      <c r="S300" s="7"/>
      <c r="T300" s="9"/>
      <c r="U300" s="7"/>
      <c r="V300" s="8"/>
      <c r="W300" s="7"/>
      <c r="X300" s="7"/>
      <c r="Y300" s="8"/>
      <c r="Z300" s="7"/>
      <c r="AA300" s="8"/>
    </row>
    <row r="301" spans="4:27" ht="14.25" thickTop="1" thickBot="1">
      <c r="D301" s="66"/>
      <c r="E301" s="51" t="s">
        <v>247</v>
      </c>
      <c r="F301" s="7"/>
      <c r="G301" s="8"/>
      <c r="H301" s="7"/>
      <c r="I301" s="6"/>
      <c r="J301" s="7"/>
      <c r="K301" s="8"/>
      <c r="L301" s="7"/>
      <c r="M301" s="8"/>
      <c r="N301" s="7"/>
      <c r="O301" s="8"/>
      <c r="P301" s="7"/>
      <c r="Q301" s="7"/>
      <c r="R301" s="8"/>
      <c r="S301" s="7"/>
      <c r="T301" s="9"/>
      <c r="U301" s="7"/>
      <c r="V301" s="8"/>
      <c r="W301" s="7"/>
      <c r="X301" s="7"/>
      <c r="Y301" s="8"/>
      <c r="Z301" s="7"/>
      <c r="AA301" s="8"/>
    </row>
    <row r="302" spans="4:27" ht="14.25" thickTop="1" thickBot="1">
      <c r="D302" s="66"/>
      <c r="E302" s="51" t="s">
        <v>248</v>
      </c>
      <c r="F302" s="7"/>
      <c r="G302" s="8"/>
      <c r="H302" s="7"/>
      <c r="I302" s="6"/>
      <c r="J302" s="7"/>
      <c r="K302" s="8"/>
      <c r="L302" s="7"/>
      <c r="M302" s="8"/>
      <c r="N302" s="7"/>
      <c r="O302" s="8"/>
      <c r="P302" s="7"/>
      <c r="Q302" s="7"/>
      <c r="R302" s="8"/>
      <c r="S302" s="7"/>
      <c r="T302" s="9"/>
      <c r="U302" s="7"/>
      <c r="V302" s="8"/>
      <c r="W302" s="7"/>
      <c r="X302" s="7"/>
      <c r="Y302" s="8"/>
      <c r="Z302" s="7"/>
      <c r="AA302" s="8"/>
    </row>
    <row r="303" spans="4:27" ht="14.25" thickTop="1" thickBot="1">
      <c r="D303" s="66"/>
      <c r="E303" s="51" t="s">
        <v>249</v>
      </c>
      <c r="F303" s="7"/>
      <c r="G303" s="8"/>
      <c r="H303" s="7"/>
      <c r="I303" s="6"/>
      <c r="J303" s="7"/>
      <c r="K303" s="8"/>
      <c r="L303" s="7"/>
      <c r="M303" s="8"/>
      <c r="N303" s="7"/>
      <c r="O303" s="8"/>
      <c r="P303" s="7"/>
      <c r="Q303" s="7"/>
      <c r="R303" s="8"/>
      <c r="S303" s="7"/>
      <c r="T303" s="9"/>
      <c r="U303" s="7"/>
      <c r="V303" s="8"/>
      <c r="W303" s="7"/>
      <c r="X303" s="7"/>
      <c r="Y303" s="8"/>
      <c r="Z303" s="7"/>
      <c r="AA303" s="8"/>
    </row>
    <row r="304" spans="4:27" ht="14.25" thickTop="1" thickBot="1">
      <c r="D304" s="66"/>
      <c r="E304" s="51" t="s">
        <v>250</v>
      </c>
      <c r="F304" s="7"/>
      <c r="G304" s="8"/>
      <c r="H304" s="7"/>
      <c r="I304" s="6"/>
      <c r="J304" s="7"/>
      <c r="K304" s="8"/>
      <c r="L304" s="7"/>
      <c r="M304" s="8"/>
      <c r="N304" s="7"/>
      <c r="O304" s="8"/>
      <c r="P304" s="7"/>
      <c r="Q304" s="7"/>
      <c r="R304" s="8"/>
      <c r="S304" s="7"/>
      <c r="T304" s="9"/>
      <c r="U304" s="7"/>
      <c r="V304" s="8"/>
      <c r="W304" s="7"/>
      <c r="X304" s="7"/>
      <c r="Y304" s="8"/>
      <c r="Z304" s="7"/>
      <c r="AA304" s="8"/>
    </row>
    <row r="305" spans="4:27" ht="14.25" thickTop="1" thickBot="1">
      <c r="D305" s="66"/>
      <c r="E305" s="51" t="s">
        <v>223</v>
      </c>
      <c r="F305" s="7"/>
      <c r="G305" s="8"/>
      <c r="H305" s="7"/>
      <c r="I305" s="6"/>
      <c r="J305" s="7"/>
      <c r="K305" s="8"/>
      <c r="L305" s="7"/>
      <c r="M305" s="8"/>
      <c r="N305" s="7"/>
      <c r="O305" s="8"/>
      <c r="P305" s="7"/>
      <c r="Q305" s="7"/>
      <c r="R305" s="8"/>
      <c r="S305" s="7"/>
      <c r="T305" s="9"/>
      <c r="U305" s="7"/>
      <c r="V305" s="8"/>
      <c r="W305" s="7"/>
      <c r="X305" s="7"/>
      <c r="Y305" s="8"/>
      <c r="Z305" s="7"/>
      <c r="AA305" s="8"/>
    </row>
    <row r="306" spans="4:27" ht="14.25" thickTop="1" thickBot="1">
      <c r="D306" s="66"/>
      <c r="E306" s="51" t="s">
        <v>251</v>
      </c>
      <c r="F306" s="7"/>
      <c r="G306" s="8"/>
      <c r="H306" s="7"/>
      <c r="I306" s="6"/>
      <c r="J306" s="7"/>
      <c r="K306" s="8"/>
      <c r="L306" s="7"/>
      <c r="M306" s="8"/>
      <c r="N306" s="7"/>
      <c r="O306" s="8"/>
      <c r="P306" s="7"/>
      <c r="Q306" s="7"/>
      <c r="R306" s="8"/>
      <c r="S306" s="7"/>
      <c r="T306" s="9"/>
      <c r="U306" s="7"/>
      <c r="V306" s="8"/>
      <c r="W306" s="7"/>
      <c r="X306" s="7"/>
      <c r="Y306" s="8"/>
      <c r="Z306" s="7"/>
      <c r="AA306" s="8"/>
    </row>
    <row r="307" spans="4:27" ht="14.25" thickTop="1" thickBot="1">
      <c r="D307" s="66"/>
      <c r="E307" s="51" t="s">
        <v>252</v>
      </c>
      <c r="F307" s="7"/>
      <c r="G307" s="8"/>
      <c r="H307" s="7"/>
      <c r="I307" s="6"/>
      <c r="J307" s="7"/>
      <c r="K307" s="8"/>
      <c r="L307" s="7"/>
      <c r="M307" s="8"/>
      <c r="N307" s="7"/>
      <c r="O307" s="8"/>
      <c r="P307" s="7"/>
      <c r="Q307" s="7"/>
      <c r="R307" s="8"/>
      <c r="S307" s="7"/>
      <c r="T307" s="9"/>
      <c r="U307" s="7"/>
      <c r="V307" s="8"/>
      <c r="W307" s="7"/>
      <c r="X307" s="7"/>
      <c r="Y307" s="8"/>
      <c r="Z307" s="7"/>
      <c r="AA307" s="8"/>
    </row>
    <row r="308" spans="4:27" ht="14.25" thickTop="1" thickBot="1">
      <c r="D308" s="66"/>
      <c r="E308" s="51" t="s">
        <v>253</v>
      </c>
      <c r="F308" s="7"/>
      <c r="G308" s="8"/>
      <c r="H308" s="7"/>
      <c r="I308" s="6"/>
      <c r="J308" s="7"/>
      <c r="K308" s="8"/>
      <c r="L308" s="7"/>
      <c r="M308" s="8"/>
      <c r="N308" s="7"/>
      <c r="O308" s="8"/>
      <c r="P308" s="7"/>
      <c r="Q308" s="7"/>
      <c r="R308" s="8"/>
      <c r="S308" s="7"/>
      <c r="T308" s="9"/>
      <c r="U308" s="7"/>
      <c r="V308" s="8"/>
      <c r="W308" s="7"/>
      <c r="X308" s="7"/>
      <c r="Y308" s="8"/>
      <c r="Z308" s="7"/>
      <c r="AA308" s="8"/>
    </row>
    <row r="309" spans="4:27" ht="14.25" thickTop="1" thickBot="1">
      <c r="D309" s="66"/>
      <c r="E309" s="51" t="s">
        <v>254</v>
      </c>
      <c r="F309" s="7"/>
      <c r="G309" s="8"/>
      <c r="H309" s="7"/>
      <c r="I309" s="6"/>
      <c r="J309" s="7"/>
      <c r="K309" s="8"/>
      <c r="L309" s="7"/>
      <c r="M309" s="8"/>
      <c r="N309" s="7"/>
      <c r="O309" s="8"/>
      <c r="P309" s="7"/>
      <c r="Q309" s="7"/>
      <c r="R309" s="8"/>
      <c r="S309" s="7"/>
      <c r="T309" s="9"/>
      <c r="U309" s="7"/>
      <c r="V309" s="8"/>
      <c r="W309" s="7"/>
      <c r="X309" s="7"/>
      <c r="Y309" s="8"/>
      <c r="Z309" s="7"/>
      <c r="AA309" s="8"/>
    </row>
    <row r="310" spans="4:27" ht="14.25" thickTop="1" thickBot="1">
      <c r="D310" s="66"/>
      <c r="E310" s="51" t="s">
        <v>720</v>
      </c>
      <c r="F310" s="7"/>
      <c r="G310" s="8"/>
      <c r="H310" s="7"/>
      <c r="I310" s="6"/>
      <c r="J310" s="7"/>
      <c r="K310" s="8"/>
      <c r="L310" s="7"/>
      <c r="M310" s="8"/>
      <c r="N310" s="7"/>
      <c r="O310" s="8"/>
      <c r="P310" s="7"/>
      <c r="Q310" s="7"/>
      <c r="R310" s="8"/>
      <c r="S310" s="7"/>
      <c r="T310" s="9"/>
      <c r="U310" s="7"/>
      <c r="V310" s="8"/>
      <c r="W310" s="7"/>
      <c r="X310" s="7"/>
      <c r="Y310" s="8"/>
      <c r="Z310" s="7"/>
      <c r="AA310" s="8"/>
    </row>
    <row r="311" spans="4:27" ht="14.25" thickTop="1" thickBot="1">
      <c r="D311" s="66"/>
      <c r="E311" s="51" t="s">
        <v>743</v>
      </c>
      <c r="F311" s="7"/>
      <c r="G311" s="8"/>
      <c r="H311" s="7"/>
      <c r="I311" s="6"/>
      <c r="J311" s="7"/>
      <c r="K311" s="8"/>
      <c r="L311" s="7"/>
      <c r="M311" s="8"/>
      <c r="N311" s="7"/>
      <c r="O311" s="8"/>
      <c r="P311" s="7"/>
      <c r="Q311" s="7"/>
      <c r="R311" s="8"/>
      <c r="S311" s="7"/>
      <c r="T311" s="9"/>
      <c r="U311" s="7"/>
      <c r="V311" s="8"/>
      <c r="W311" s="7"/>
      <c r="X311" s="7"/>
      <c r="Y311" s="8"/>
      <c r="Z311" s="7"/>
      <c r="AA311" s="8"/>
    </row>
    <row r="312" spans="4:27" ht="14.25" thickTop="1" thickBot="1">
      <c r="D312" s="66"/>
      <c r="E312" s="51" t="s">
        <v>1070</v>
      </c>
      <c r="F312" s="7"/>
      <c r="G312" s="8"/>
      <c r="H312" s="7"/>
      <c r="I312" s="6"/>
      <c r="J312" s="7"/>
      <c r="K312" s="8"/>
      <c r="L312" s="7"/>
      <c r="M312" s="8"/>
      <c r="N312" s="7"/>
      <c r="O312" s="8"/>
      <c r="P312" s="7"/>
      <c r="Q312" s="7"/>
      <c r="R312" s="8"/>
      <c r="S312" s="7"/>
      <c r="T312" s="9"/>
      <c r="U312" s="7"/>
      <c r="V312" s="8"/>
      <c r="W312" s="7"/>
      <c r="X312" s="7"/>
      <c r="Y312" s="8"/>
      <c r="Z312" s="7"/>
      <c r="AA312" s="8"/>
    </row>
    <row r="313" spans="4:27" ht="14.25" thickTop="1" thickBot="1">
      <c r="D313" s="66"/>
      <c r="E313" s="51" t="s">
        <v>725</v>
      </c>
      <c r="F313" s="7"/>
      <c r="G313" s="8"/>
      <c r="H313" s="7"/>
      <c r="I313" s="6"/>
      <c r="J313" s="7"/>
      <c r="K313" s="8"/>
      <c r="L313" s="7"/>
      <c r="M313" s="8"/>
      <c r="N313" s="7"/>
      <c r="O313" s="8"/>
      <c r="P313" s="7"/>
      <c r="Q313" s="7"/>
      <c r="R313" s="8"/>
      <c r="S313" s="7"/>
      <c r="T313" s="9"/>
      <c r="U313" s="7"/>
      <c r="V313" s="8"/>
      <c r="W313" s="7"/>
      <c r="X313" s="7"/>
      <c r="Y313" s="8"/>
      <c r="Z313" s="7"/>
      <c r="AA313" s="8"/>
    </row>
    <row r="314" spans="4:27" ht="14.25" thickTop="1" thickBot="1">
      <c r="D314" s="66"/>
      <c r="E314" s="51" t="s">
        <v>1102</v>
      </c>
      <c r="F314" s="7"/>
      <c r="G314" s="8"/>
      <c r="H314" s="7"/>
      <c r="I314" s="6"/>
      <c r="J314" s="7"/>
      <c r="K314" s="8"/>
      <c r="L314" s="7"/>
      <c r="M314" s="8"/>
      <c r="N314" s="7"/>
      <c r="O314" s="8"/>
      <c r="P314" s="7"/>
      <c r="Q314" s="7"/>
      <c r="R314" s="8"/>
      <c r="S314" s="7"/>
      <c r="T314" s="9"/>
      <c r="U314" s="7"/>
      <c r="V314" s="8"/>
      <c r="W314" s="7"/>
      <c r="X314" s="7"/>
      <c r="Y314" s="8"/>
      <c r="Z314" s="7"/>
      <c r="AA314" s="8"/>
    </row>
    <row r="315" spans="4:27" ht="14.25" thickTop="1" thickBot="1">
      <c r="D315" s="66"/>
      <c r="E315" s="51" t="s">
        <v>726</v>
      </c>
      <c r="F315" s="7"/>
      <c r="G315" s="8"/>
      <c r="H315" s="7"/>
      <c r="I315" s="6"/>
      <c r="J315" s="7"/>
      <c r="K315" s="8"/>
      <c r="L315" s="7"/>
      <c r="M315" s="8"/>
      <c r="N315" s="7"/>
      <c r="O315" s="8"/>
      <c r="P315" s="7"/>
      <c r="Q315" s="7"/>
      <c r="R315" s="8"/>
      <c r="S315" s="7"/>
      <c r="T315" s="9"/>
      <c r="U315" s="7"/>
      <c r="V315" s="8"/>
      <c r="W315" s="7"/>
      <c r="X315" s="7"/>
      <c r="Y315" s="8"/>
      <c r="Z315" s="7"/>
      <c r="AA315" s="8"/>
    </row>
    <row r="316" spans="4:27" ht="14.25" thickTop="1" thickBot="1">
      <c r="D316" s="66"/>
      <c r="E316" s="51" t="s">
        <v>705</v>
      </c>
      <c r="F316" s="7"/>
      <c r="G316" s="8"/>
      <c r="H316" s="7"/>
      <c r="I316" s="6"/>
      <c r="J316" s="7"/>
      <c r="K316" s="8"/>
      <c r="L316" s="7"/>
      <c r="M316" s="8"/>
      <c r="N316" s="7"/>
      <c r="O316" s="8"/>
      <c r="P316" s="7"/>
      <c r="Q316" s="7"/>
      <c r="R316" s="8"/>
      <c r="S316" s="7"/>
      <c r="T316" s="9"/>
      <c r="U316" s="7"/>
      <c r="V316" s="8"/>
      <c r="W316" s="7"/>
      <c r="X316" s="7"/>
      <c r="Y316" s="8"/>
      <c r="Z316" s="7"/>
      <c r="AA316" s="8"/>
    </row>
    <row r="317" spans="4:27" ht="14.25" thickTop="1" thickBot="1">
      <c r="D317" s="66"/>
      <c r="E317" s="51" t="s">
        <v>734</v>
      </c>
      <c r="F317" s="7"/>
      <c r="G317" s="8"/>
      <c r="H317" s="7"/>
      <c r="I317" s="6"/>
      <c r="J317" s="7"/>
      <c r="K317" s="8"/>
      <c r="L317" s="7"/>
      <c r="M317" s="8"/>
      <c r="N317" s="7"/>
      <c r="O317" s="8"/>
      <c r="P317" s="7"/>
      <c r="Q317" s="7"/>
      <c r="R317" s="8"/>
      <c r="S317" s="7"/>
      <c r="T317" s="9"/>
      <c r="U317" s="7"/>
      <c r="V317" s="8"/>
      <c r="W317" s="7"/>
      <c r="X317" s="7"/>
      <c r="Y317" s="8"/>
      <c r="Z317" s="7"/>
      <c r="AA317" s="8"/>
    </row>
    <row r="318" spans="4:27" ht="14.25" thickTop="1" thickBot="1">
      <c r="D318" s="66"/>
      <c r="E318" s="51" t="s">
        <v>967</v>
      </c>
      <c r="F318" s="7"/>
      <c r="G318" s="8"/>
      <c r="H318" s="7"/>
      <c r="I318" s="6"/>
      <c r="J318" s="7"/>
      <c r="K318" s="8"/>
      <c r="L318" s="7"/>
      <c r="M318" s="8"/>
      <c r="N318" s="7"/>
      <c r="O318" s="8"/>
      <c r="P318" s="7"/>
      <c r="Q318" s="7"/>
      <c r="R318" s="8"/>
      <c r="S318" s="7"/>
      <c r="T318" s="9"/>
      <c r="U318" s="7"/>
      <c r="V318" s="8"/>
      <c r="W318" s="7"/>
      <c r="X318" s="7"/>
      <c r="Y318" s="8"/>
      <c r="Z318" s="7"/>
      <c r="AA318" s="8"/>
    </row>
    <row r="319" spans="4:27" ht="14.25" thickTop="1" thickBot="1">
      <c r="D319" s="66"/>
      <c r="E319" s="51" t="s">
        <v>970</v>
      </c>
      <c r="F319" s="7"/>
      <c r="G319" s="8"/>
      <c r="H319" s="7"/>
      <c r="I319" s="6"/>
      <c r="J319" s="7"/>
      <c r="K319" s="8"/>
      <c r="L319" s="7"/>
      <c r="M319" s="8"/>
      <c r="N319" s="7"/>
      <c r="O319" s="8"/>
      <c r="P319" s="7"/>
      <c r="Q319" s="7"/>
      <c r="R319" s="8"/>
      <c r="S319" s="7"/>
      <c r="T319" s="9"/>
      <c r="U319" s="7"/>
      <c r="V319" s="8"/>
      <c r="W319" s="7"/>
      <c r="X319" s="7"/>
      <c r="Y319" s="8"/>
      <c r="Z319" s="7"/>
      <c r="AA319" s="8"/>
    </row>
    <row r="320" spans="4:27" ht="14.25" thickTop="1" thickBot="1">
      <c r="D320" s="66"/>
      <c r="E320" s="51" t="s">
        <v>716</v>
      </c>
      <c r="F320" s="7"/>
      <c r="G320" s="8"/>
      <c r="H320" s="7"/>
      <c r="I320" s="6"/>
      <c r="J320" s="7"/>
      <c r="K320" s="8"/>
      <c r="L320" s="7"/>
      <c r="M320" s="8"/>
      <c r="N320" s="7"/>
      <c r="O320" s="8"/>
      <c r="P320" s="7"/>
      <c r="Q320" s="7"/>
      <c r="R320" s="8"/>
      <c r="S320" s="7"/>
      <c r="T320" s="9"/>
      <c r="U320" s="7"/>
      <c r="V320" s="8"/>
      <c r="W320" s="7"/>
      <c r="X320" s="7"/>
      <c r="Y320" s="8"/>
      <c r="Z320" s="7"/>
      <c r="AA320" s="8"/>
    </row>
    <row r="321" spans="4:27" ht="14.25" thickTop="1" thickBot="1">
      <c r="D321" s="66"/>
      <c r="E321" s="51" t="s">
        <v>1119</v>
      </c>
      <c r="F321" s="7"/>
      <c r="G321" s="8"/>
      <c r="H321" s="7"/>
      <c r="I321" s="6"/>
      <c r="J321" s="7"/>
      <c r="K321" s="8"/>
      <c r="L321" s="7"/>
      <c r="M321" s="8"/>
      <c r="N321" s="7"/>
      <c r="O321" s="8"/>
      <c r="P321" s="7"/>
      <c r="Q321" s="7"/>
      <c r="R321" s="8"/>
      <c r="S321" s="7"/>
      <c r="T321" s="9"/>
      <c r="U321" s="7"/>
      <c r="V321" s="8"/>
      <c r="W321" s="7"/>
      <c r="X321" s="7"/>
      <c r="Y321" s="8"/>
      <c r="Z321" s="7"/>
      <c r="AA321" s="8"/>
    </row>
    <row r="322" spans="4:27" ht="14.25" thickTop="1" thickBot="1">
      <c r="D322" s="66"/>
      <c r="E322" s="51" t="s">
        <v>1288</v>
      </c>
      <c r="F322" s="7"/>
      <c r="G322" s="8"/>
      <c r="H322" s="7"/>
      <c r="I322" s="6"/>
      <c r="J322" s="7"/>
      <c r="K322" s="8"/>
      <c r="L322" s="7"/>
      <c r="M322" s="8"/>
      <c r="N322" s="7"/>
      <c r="O322" s="8"/>
      <c r="P322" s="7"/>
      <c r="Q322" s="7"/>
      <c r="R322" s="8"/>
      <c r="S322" s="7"/>
      <c r="T322" s="9"/>
      <c r="U322" s="7"/>
      <c r="V322" s="8"/>
      <c r="W322" s="7"/>
      <c r="X322" s="7"/>
      <c r="Y322" s="8"/>
      <c r="Z322" s="7"/>
      <c r="AA322" s="8"/>
    </row>
    <row r="323" spans="4:27" ht="14.25" thickTop="1" thickBot="1">
      <c r="D323" s="66"/>
      <c r="E323" s="51" t="s">
        <v>723</v>
      </c>
      <c r="F323" s="7"/>
      <c r="G323" s="8"/>
      <c r="H323" s="7"/>
      <c r="I323" s="6"/>
      <c r="J323" s="7"/>
      <c r="K323" s="8"/>
      <c r="L323" s="7"/>
      <c r="M323" s="8"/>
      <c r="N323" s="7"/>
      <c r="O323" s="8"/>
      <c r="P323" s="7"/>
      <c r="Q323" s="7"/>
      <c r="R323" s="8"/>
      <c r="S323" s="7"/>
      <c r="T323" s="9"/>
      <c r="U323" s="7"/>
      <c r="V323" s="8"/>
      <c r="W323" s="7"/>
      <c r="X323" s="7"/>
      <c r="Y323" s="8"/>
      <c r="Z323" s="7"/>
      <c r="AA323" s="8"/>
    </row>
    <row r="324" spans="4:27" ht="14.25" thickTop="1" thickBot="1">
      <c r="D324" s="66"/>
      <c r="E324" s="51" t="s">
        <v>1289</v>
      </c>
      <c r="F324" s="7"/>
      <c r="G324" s="8"/>
      <c r="H324" s="7"/>
      <c r="I324" s="6"/>
      <c r="J324" s="7"/>
      <c r="K324" s="8"/>
      <c r="L324" s="7"/>
      <c r="M324" s="8"/>
      <c r="N324" s="7"/>
      <c r="O324" s="8"/>
      <c r="P324" s="7"/>
      <c r="Q324" s="7"/>
      <c r="R324" s="8"/>
      <c r="S324" s="7"/>
      <c r="T324" s="9"/>
      <c r="U324" s="7"/>
      <c r="V324" s="8"/>
      <c r="W324" s="7"/>
      <c r="X324" s="7"/>
      <c r="Y324" s="8"/>
      <c r="Z324" s="7"/>
      <c r="AA324" s="8"/>
    </row>
    <row r="325" spans="4:27" ht="14.25" thickTop="1" thickBot="1">
      <c r="D325" s="66"/>
      <c r="E325" s="51" t="s">
        <v>987</v>
      </c>
      <c r="F325" s="7"/>
      <c r="G325" s="8"/>
      <c r="H325" s="7"/>
      <c r="I325" s="6"/>
      <c r="J325" s="7"/>
      <c r="K325" s="8"/>
      <c r="L325" s="7"/>
      <c r="M325" s="8"/>
      <c r="N325" s="7"/>
      <c r="O325" s="8"/>
      <c r="P325" s="7"/>
      <c r="Q325" s="7"/>
      <c r="R325" s="8"/>
      <c r="S325" s="7"/>
      <c r="T325" s="9"/>
      <c r="U325" s="7"/>
      <c r="V325" s="8"/>
      <c r="W325" s="7"/>
      <c r="X325" s="7"/>
      <c r="Y325" s="8"/>
      <c r="Z325" s="7"/>
      <c r="AA325" s="8"/>
    </row>
    <row r="326" spans="4:27" ht="14.25" thickTop="1" thickBot="1">
      <c r="D326" s="66"/>
      <c r="E326" s="51" t="s">
        <v>1094</v>
      </c>
      <c r="F326" s="7"/>
      <c r="G326" s="8"/>
      <c r="H326" s="7"/>
      <c r="I326" s="6"/>
      <c r="J326" s="7"/>
      <c r="K326" s="8"/>
      <c r="L326" s="7"/>
      <c r="M326" s="8"/>
      <c r="N326" s="7"/>
      <c r="O326" s="8"/>
      <c r="P326" s="7"/>
      <c r="Q326" s="7"/>
      <c r="R326" s="8"/>
      <c r="S326" s="7"/>
      <c r="T326" s="9"/>
      <c r="U326" s="7"/>
      <c r="V326" s="8"/>
      <c r="W326" s="7"/>
      <c r="X326" s="7"/>
      <c r="Y326" s="8"/>
      <c r="Z326" s="7"/>
      <c r="AA326" s="8"/>
    </row>
    <row r="327" spans="4:27" ht="14.25" thickTop="1" thickBot="1">
      <c r="D327" s="66"/>
      <c r="E327" s="51" t="s">
        <v>976</v>
      </c>
      <c r="F327" s="7"/>
      <c r="G327" s="8"/>
      <c r="H327" s="7"/>
      <c r="I327" s="6"/>
      <c r="J327" s="7"/>
      <c r="K327" s="8"/>
      <c r="L327" s="7"/>
      <c r="M327" s="8"/>
      <c r="N327" s="7"/>
      <c r="O327" s="8"/>
      <c r="P327" s="7"/>
      <c r="Q327" s="7"/>
      <c r="R327" s="8"/>
      <c r="S327" s="7"/>
      <c r="T327" s="9"/>
      <c r="U327" s="7"/>
      <c r="V327" s="8"/>
      <c r="W327" s="7"/>
      <c r="X327" s="7"/>
      <c r="Y327" s="8"/>
      <c r="Z327" s="7"/>
      <c r="AA327" s="8"/>
    </row>
    <row r="328" spans="4:27" ht="14.25" thickTop="1" thickBot="1">
      <c r="D328" s="66"/>
      <c r="E328" s="51" t="s">
        <v>1290</v>
      </c>
      <c r="F328" s="7"/>
      <c r="G328" s="8"/>
      <c r="H328" s="7"/>
      <c r="I328" s="6"/>
      <c r="J328" s="7"/>
      <c r="K328" s="8"/>
      <c r="L328" s="7"/>
      <c r="M328" s="8"/>
      <c r="N328" s="7"/>
      <c r="O328" s="8"/>
      <c r="P328" s="7"/>
      <c r="Q328" s="7"/>
      <c r="R328" s="8"/>
      <c r="S328" s="7"/>
      <c r="T328" s="9"/>
      <c r="U328" s="7"/>
      <c r="V328" s="8"/>
      <c r="W328" s="7"/>
      <c r="X328" s="7"/>
      <c r="Y328" s="8"/>
      <c r="Z328" s="7"/>
      <c r="AA328" s="8"/>
    </row>
    <row r="329" spans="4:27" ht="14.25" thickTop="1" thickBot="1">
      <c r="D329" s="66"/>
      <c r="E329" s="51" t="s">
        <v>1291</v>
      </c>
      <c r="F329" s="7"/>
      <c r="G329" s="8"/>
      <c r="H329" s="7"/>
      <c r="I329" s="6"/>
      <c r="J329" s="7"/>
      <c r="K329" s="8"/>
      <c r="L329" s="7"/>
      <c r="M329" s="8"/>
      <c r="N329" s="7"/>
      <c r="O329" s="8"/>
      <c r="P329" s="7"/>
      <c r="Q329" s="7"/>
      <c r="R329" s="8"/>
      <c r="S329" s="7"/>
      <c r="T329" s="9"/>
      <c r="U329" s="7"/>
      <c r="V329" s="8"/>
      <c r="W329" s="7"/>
      <c r="X329" s="7"/>
      <c r="Y329" s="8"/>
      <c r="Z329" s="7"/>
      <c r="AA329" s="8"/>
    </row>
    <row r="330" spans="4:27" ht="14.25" thickTop="1" thickBot="1">
      <c r="D330" s="66"/>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25" thickTop="1" thickBot="1">
      <c r="D331" s="66"/>
      <c r="E331" s="51" t="s">
        <v>1292</v>
      </c>
      <c r="F331" s="7"/>
      <c r="G331" s="8"/>
      <c r="H331" s="7"/>
      <c r="I331" s="6"/>
      <c r="J331" s="7"/>
      <c r="K331" s="8"/>
      <c r="L331" s="7"/>
      <c r="M331" s="8"/>
      <c r="N331" s="7"/>
      <c r="O331" s="8"/>
      <c r="P331" s="7"/>
      <c r="Q331" s="7"/>
      <c r="R331" s="8"/>
      <c r="S331" s="7"/>
      <c r="T331" s="9"/>
      <c r="U331" s="7"/>
      <c r="V331" s="8"/>
      <c r="W331" s="7"/>
      <c r="X331" s="7"/>
      <c r="Y331" s="8"/>
      <c r="Z331" s="7"/>
      <c r="AA331" s="8"/>
    </row>
    <row r="332" spans="4:27" ht="14.25" thickTop="1" thickBot="1">
      <c r="D332" s="66"/>
      <c r="E332" s="51" t="s">
        <v>1293</v>
      </c>
      <c r="F332" s="7"/>
      <c r="G332" s="8"/>
      <c r="H332" s="7"/>
      <c r="I332" s="6"/>
      <c r="J332" s="7"/>
      <c r="K332" s="8"/>
      <c r="L332" s="7"/>
      <c r="M332" s="8"/>
      <c r="N332" s="7"/>
      <c r="O332" s="8"/>
      <c r="P332" s="7"/>
      <c r="Q332" s="7"/>
      <c r="R332" s="8"/>
      <c r="S332" s="7"/>
      <c r="T332" s="9"/>
      <c r="U332" s="7"/>
      <c r="V332" s="8"/>
      <c r="W332" s="7"/>
      <c r="X332" s="7"/>
      <c r="Y332" s="8"/>
      <c r="Z332" s="7"/>
      <c r="AA332" s="8"/>
    </row>
    <row r="333" spans="4:27" ht="14.25" thickTop="1" thickBot="1">
      <c r="D333" s="66"/>
      <c r="E333" s="51" t="s">
        <v>1113</v>
      </c>
      <c r="F333" s="7"/>
      <c r="G333" s="8"/>
      <c r="H333" s="7"/>
      <c r="I333" s="6"/>
      <c r="J333" s="7"/>
      <c r="K333" s="8"/>
      <c r="L333" s="7"/>
      <c r="M333" s="8"/>
      <c r="N333" s="7"/>
      <c r="O333" s="8"/>
      <c r="P333" s="7"/>
      <c r="Q333" s="7"/>
      <c r="R333" s="8"/>
      <c r="S333" s="7"/>
      <c r="T333" s="9"/>
      <c r="U333" s="7"/>
      <c r="V333" s="8"/>
      <c r="W333" s="7"/>
      <c r="X333" s="7"/>
      <c r="Y333" s="8"/>
      <c r="Z333" s="7"/>
      <c r="AA333" s="8"/>
    </row>
    <row r="334" spans="4:27" ht="14.25" thickTop="1" thickBot="1">
      <c r="D334" s="66"/>
      <c r="E334" s="51" t="s">
        <v>975</v>
      </c>
      <c r="F334" s="7"/>
      <c r="G334" s="8"/>
      <c r="H334" s="7"/>
      <c r="I334" s="6"/>
      <c r="J334" s="7"/>
      <c r="K334" s="8"/>
      <c r="L334" s="7"/>
      <c r="M334" s="8"/>
      <c r="N334" s="7"/>
      <c r="O334" s="8"/>
      <c r="P334" s="7"/>
      <c r="Q334" s="7"/>
      <c r="R334" s="8"/>
      <c r="S334" s="7"/>
      <c r="T334" s="9"/>
      <c r="U334" s="7"/>
      <c r="V334" s="8"/>
      <c r="W334" s="7"/>
      <c r="X334" s="7"/>
      <c r="Y334" s="8"/>
      <c r="Z334" s="7"/>
      <c r="AA334" s="8"/>
    </row>
    <row r="335" spans="4:27" ht="14.25" thickTop="1" thickBot="1">
      <c r="D335" s="66"/>
      <c r="E335" s="51" t="s">
        <v>1294</v>
      </c>
      <c r="F335" s="7"/>
      <c r="G335" s="8"/>
      <c r="H335" s="7"/>
      <c r="I335" s="6"/>
      <c r="J335" s="7"/>
      <c r="K335" s="8"/>
      <c r="L335" s="7"/>
      <c r="M335" s="8"/>
      <c r="N335" s="7"/>
      <c r="O335" s="8"/>
      <c r="P335" s="7"/>
      <c r="Q335" s="7"/>
      <c r="R335" s="8"/>
      <c r="S335" s="7"/>
      <c r="T335" s="9"/>
      <c r="U335" s="7"/>
      <c r="V335" s="8"/>
      <c r="W335" s="7"/>
      <c r="X335" s="7"/>
      <c r="Y335" s="8"/>
      <c r="Z335" s="7"/>
      <c r="AA335" s="8"/>
    </row>
    <row r="336" spans="4:27" ht="14.25" thickTop="1" thickBot="1">
      <c r="D336" s="66"/>
      <c r="E336" s="51" t="s">
        <v>995</v>
      </c>
      <c r="F336" s="7"/>
      <c r="G336" s="8"/>
      <c r="H336" s="7"/>
      <c r="I336" s="6"/>
      <c r="J336" s="7"/>
      <c r="K336" s="8"/>
      <c r="L336" s="7"/>
      <c r="M336" s="8"/>
      <c r="N336" s="7"/>
      <c r="O336" s="8"/>
      <c r="P336" s="7"/>
      <c r="Q336" s="7"/>
      <c r="R336" s="8"/>
      <c r="S336" s="7"/>
      <c r="T336" s="9"/>
      <c r="U336" s="7"/>
      <c r="V336" s="8"/>
      <c r="W336" s="7"/>
      <c r="X336" s="7"/>
      <c r="Y336" s="8"/>
      <c r="Z336" s="7"/>
      <c r="AA336" s="8"/>
    </row>
    <row r="337" spans="4:27" ht="14.25" thickTop="1" thickBot="1">
      <c r="D337" s="66"/>
      <c r="E337" s="51" t="s">
        <v>977</v>
      </c>
      <c r="F337" s="7"/>
      <c r="G337" s="8"/>
      <c r="H337" s="7"/>
      <c r="I337" s="6"/>
      <c r="J337" s="7"/>
      <c r="K337" s="8"/>
      <c r="L337" s="7"/>
      <c r="M337" s="8"/>
      <c r="N337" s="7"/>
      <c r="O337" s="8"/>
      <c r="P337" s="7"/>
      <c r="Q337" s="7"/>
      <c r="R337" s="8"/>
      <c r="S337" s="7"/>
      <c r="T337" s="9"/>
      <c r="U337" s="7"/>
      <c r="V337" s="8"/>
      <c r="W337" s="7"/>
      <c r="X337" s="7"/>
      <c r="Y337" s="8"/>
      <c r="Z337" s="7"/>
      <c r="AA337" s="8"/>
    </row>
    <row r="338" spans="4:27" ht="14.25" thickTop="1" thickBot="1">
      <c r="D338" s="66"/>
      <c r="E338" s="51" t="s">
        <v>733</v>
      </c>
      <c r="F338" s="7"/>
      <c r="G338" s="8"/>
      <c r="H338" s="7"/>
      <c r="I338" s="6"/>
      <c r="J338" s="7"/>
      <c r="K338" s="8"/>
      <c r="L338" s="7"/>
      <c r="M338" s="8"/>
      <c r="N338" s="7"/>
      <c r="O338" s="8"/>
      <c r="P338" s="7"/>
      <c r="Q338" s="7"/>
      <c r="R338" s="8"/>
      <c r="S338" s="7"/>
      <c r="T338" s="9"/>
      <c r="U338" s="7"/>
      <c r="V338" s="8"/>
      <c r="W338" s="7"/>
      <c r="X338" s="7"/>
      <c r="Y338" s="8"/>
      <c r="Z338" s="7"/>
      <c r="AA338" s="8"/>
    </row>
    <row r="339" spans="4:27" ht="14.25" thickTop="1" thickBot="1">
      <c r="D339" s="66"/>
      <c r="E339" s="51" t="s">
        <v>708</v>
      </c>
      <c r="F339" s="7"/>
      <c r="G339" s="8"/>
      <c r="H339" s="7"/>
      <c r="I339" s="6"/>
      <c r="J339" s="7"/>
      <c r="K339" s="8"/>
      <c r="L339" s="7"/>
      <c r="M339" s="8"/>
      <c r="N339" s="7"/>
      <c r="O339" s="8"/>
      <c r="P339" s="7"/>
      <c r="Q339" s="7"/>
      <c r="R339" s="8"/>
      <c r="S339" s="7"/>
      <c r="T339" s="9"/>
      <c r="U339" s="7"/>
      <c r="V339" s="8"/>
      <c r="W339" s="7"/>
      <c r="X339" s="7"/>
      <c r="Y339" s="8"/>
      <c r="Z339" s="7"/>
      <c r="AA339" s="8"/>
    </row>
    <row r="340" spans="4:27" ht="14.25" thickTop="1" thickBot="1">
      <c r="D340" s="66"/>
      <c r="E340" s="51" t="s">
        <v>145</v>
      </c>
      <c r="F340" s="7"/>
      <c r="G340" s="8"/>
      <c r="H340" s="7"/>
      <c r="I340" s="6"/>
      <c r="J340" s="7"/>
      <c r="K340" s="8"/>
      <c r="L340" s="7"/>
      <c r="M340" s="8"/>
      <c r="N340" s="7"/>
      <c r="O340" s="8"/>
      <c r="P340" s="7"/>
      <c r="Q340" s="7"/>
      <c r="R340" s="8"/>
      <c r="S340" s="7"/>
      <c r="T340" s="9"/>
      <c r="U340" s="7"/>
      <c r="V340" s="8"/>
      <c r="W340" s="7"/>
      <c r="X340" s="7"/>
      <c r="Y340" s="8"/>
      <c r="Z340" s="7"/>
      <c r="AA340" s="8"/>
    </row>
    <row r="341" spans="4:27" ht="14.25" thickTop="1" thickBot="1">
      <c r="D341" s="66"/>
      <c r="E341" s="51" t="s">
        <v>232</v>
      </c>
      <c r="F341" s="7"/>
      <c r="G341" s="8"/>
      <c r="H341" s="7"/>
      <c r="I341" s="6"/>
      <c r="J341" s="7"/>
      <c r="K341" s="8"/>
      <c r="L341" s="7"/>
      <c r="M341" s="8"/>
      <c r="N341" s="7"/>
      <c r="O341" s="8"/>
      <c r="P341" s="7"/>
      <c r="Q341" s="7"/>
      <c r="R341" s="8"/>
      <c r="S341" s="7"/>
      <c r="T341" s="9"/>
      <c r="U341" s="7"/>
      <c r="V341" s="8"/>
      <c r="W341" s="7"/>
      <c r="X341" s="7"/>
      <c r="Y341" s="8"/>
      <c r="Z341" s="7"/>
      <c r="AA341" s="8"/>
    </row>
    <row r="342" spans="4:27" ht="14.25" thickTop="1" thickBot="1">
      <c r="D342" s="66"/>
      <c r="E342" s="51" t="s">
        <v>146</v>
      </c>
      <c r="F342" s="7"/>
      <c r="G342" s="8"/>
      <c r="H342" s="7"/>
      <c r="I342" s="6"/>
      <c r="J342" s="7"/>
      <c r="K342" s="8"/>
      <c r="L342" s="7"/>
      <c r="M342" s="8"/>
      <c r="N342" s="7"/>
      <c r="O342" s="8"/>
      <c r="P342" s="7"/>
      <c r="Q342" s="7"/>
      <c r="R342" s="8"/>
      <c r="S342" s="7"/>
      <c r="T342" s="9"/>
      <c r="U342" s="7"/>
      <c r="V342" s="8"/>
      <c r="W342" s="7"/>
      <c r="X342" s="7"/>
      <c r="Y342" s="8"/>
      <c r="Z342" s="7"/>
      <c r="AA342" s="8"/>
    </row>
    <row r="343" spans="4:27" ht="14.25" thickTop="1" thickBot="1">
      <c r="D343" s="66"/>
      <c r="E343" s="51" t="s">
        <v>147</v>
      </c>
      <c r="F343" s="7"/>
      <c r="G343" s="8"/>
      <c r="H343" s="7"/>
      <c r="I343" s="6"/>
      <c r="J343" s="7"/>
      <c r="K343" s="8"/>
      <c r="L343" s="7"/>
      <c r="M343" s="8"/>
      <c r="N343" s="7"/>
      <c r="O343" s="8"/>
      <c r="P343" s="7"/>
      <c r="Q343" s="7"/>
      <c r="R343" s="8"/>
      <c r="S343" s="7"/>
      <c r="T343" s="9"/>
      <c r="U343" s="7"/>
      <c r="V343" s="8"/>
      <c r="W343" s="7"/>
      <c r="X343" s="7"/>
      <c r="Y343" s="8"/>
      <c r="Z343" s="7"/>
      <c r="AA343" s="8"/>
    </row>
    <row r="344" spans="4:27" ht="14.25" thickTop="1" thickBot="1">
      <c r="D344" s="66"/>
      <c r="E344" s="51" t="s">
        <v>148</v>
      </c>
      <c r="F344" s="7"/>
      <c r="G344" s="8"/>
      <c r="H344" s="7"/>
      <c r="I344" s="6"/>
      <c r="J344" s="7"/>
      <c r="K344" s="8"/>
      <c r="L344" s="7"/>
      <c r="M344" s="8"/>
      <c r="N344" s="7"/>
      <c r="O344" s="8"/>
      <c r="P344" s="7"/>
      <c r="Q344" s="7"/>
      <c r="R344" s="8"/>
      <c r="S344" s="7"/>
      <c r="T344" s="9"/>
      <c r="U344" s="7"/>
      <c r="V344" s="8"/>
      <c r="W344" s="7"/>
      <c r="X344" s="7"/>
      <c r="Y344" s="8"/>
      <c r="Z344" s="7"/>
      <c r="AA344" s="8"/>
    </row>
    <row r="345" spans="4:27" ht="14.25" thickTop="1" thickBot="1">
      <c r="D345" s="66"/>
      <c r="E345" s="51" t="s">
        <v>1040</v>
      </c>
      <c r="F345" s="7"/>
      <c r="G345" s="8"/>
      <c r="H345" s="7"/>
      <c r="I345" s="6"/>
      <c r="J345" s="7"/>
      <c r="K345" s="8"/>
      <c r="L345" s="7"/>
      <c r="M345" s="8"/>
      <c r="N345" s="7"/>
      <c r="O345" s="8"/>
      <c r="P345" s="7"/>
      <c r="Q345" s="7"/>
      <c r="R345" s="8"/>
      <c r="S345" s="7"/>
      <c r="T345" s="9"/>
      <c r="U345" s="7"/>
      <c r="V345" s="8"/>
      <c r="W345" s="7"/>
      <c r="X345" s="7"/>
      <c r="Y345" s="8"/>
      <c r="Z345" s="7"/>
      <c r="AA345" s="8"/>
    </row>
    <row r="346" spans="4:27" ht="14.25" thickTop="1" thickBot="1">
      <c r="D346" s="66"/>
      <c r="E346" s="51" t="s">
        <v>1032</v>
      </c>
      <c r="F346" s="7"/>
      <c r="G346" s="8"/>
      <c r="H346" s="7"/>
      <c r="I346" s="6"/>
      <c r="J346" s="7"/>
      <c r="K346" s="8"/>
      <c r="L346" s="7"/>
      <c r="M346" s="8"/>
      <c r="N346" s="7"/>
      <c r="O346" s="8"/>
      <c r="P346" s="7"/>
      <c r="Q346" s="7"/>
      <c r="R346" s="8"/>
      <c r="S346" s="7"/>
      <c r="T346" s="9"/>
      <c r="U346" s="7"/>
      <c r="V346" s="8"/>
      <c r="W346" s="7"/>
      <c r="X346" s="7"/>
      <c r="Y346" s="8"/>
      <c r="Z346" s="7"/>
      <c r="AA346" s="8"/>
    </row>
    <row r="347" spans="4:27" ht="14.25" thickTop="1" thickBot="1">
      <c r="D347" s="66"/>
      <c r="E347" s="51" t="s">
        <v>1028</v>
      </c>
      <c r="F347" s="7"/>
      <c r="G347" s="8"/>
      <c r="H347" s="7"/>
      <c r="I347" s="6"/>
      <c r="J347" s="7"/>
      <c r="K347" s="8"/>
      <c r="L347" s="7"/>
      <c r="M347" s="8"/>
      <c r="N347" s="7"/>
      <c r="O347" s="8"/>
      <c r="P347" s="7"/>
      <c r="Q347" s="7"/>
      <c r="R347" s="8"/>
      <c r="S347" s="7"/>
      <c r="T347" s="9"/>
      <c r="U347" s="7"/>
      <c r="V347" s="8"/>
      <c r="W347" s="7"/>
      <c r="X347" s="7"/>
      <c r="Y347" s="8"/>
      <c r="Z347" s="7"/>
      <c r="AA347" s="8"/>
    </row>
    <row r="348" spans="4:27" ht="14.25" thickTop="1" thickBot="1">
      <c r="D348" s="66"/>
      <c r="E348" s="51" t="s">
        <v>1295</v>
      </c>
      <c r="F348" s="7"/>
      <c r="G348" s="8"/>
      <c r="H348" s="7"/>
      <c r="I348" s="6"/>
      <c r="J348" s="7"/>
      <c r="K348" s="8"/>
      <c r="L348" s="7"/>
      <c r="M348" s="8"/>
      <c r="N348" s="7"/>
      <c r="O348" s="8"/>
      <c r="P348" s="7"/>
      <c r="Q348" s="7"/>
      <c r="R348" s="8"/>
      <c r="S348" s="7"/>
      <c r="T348" s="9"/>
      <c r="U348" s="7"/>
      <c r="V348" s="8"/>
      <c r="W348" s="7"/>
      <c r="X348" s="7"/>
      <c r="Y348" s="8"/>
      <c r="Z348" s="7"/>
      <c r="AA348" s="8"/>
    </row>
    <row r="349" spans="4:27" ht="14.25" thickTop="1" thickBot="1">
      <c r="D349" s="66"/>
      <c r="E349" s="51" t="s">
        <v>231</v>
      </c>
      <c r="F349" s="7"/>
      <c r="G349" s="8"/>
      <c r="H349" s="7"/>
      <c r="I349" s="6"/>
      <c r="J349" s="7"/>
      <c r="K349" s="8"/>
      <c r="L349" s="7"/>
      <c r="M349" s="8"/>
      <c r="N349" s="7"/>
      <c r="O349" s="8"/>
      <c r="P349" s="7"/>
      <c r="Q349" s="7"/>
      <c r="R349" s="8"/>
      <c r="S349" s="7"/>
      <c r="T349" s="9"/>
      <c r="U349" s="7"/>
      <c r="V349" s="8"/>
      <c r="W349" s="7"/>
      <c r="X349" s="7"/>
      <c r="Y349" s="8"/>
      <c r="Z349" s="7"/>
      <c r="AA349" s="8"/>
    </row>
    <row r="350" spans="4:27" ht="14.25" thickTop="1" thickBot="1">
      <c r="D350" s="66"/>
      <c r="E350" s="51" t="s">
        <v>198</v>
      </c>
      <c r="F350" s="7"/>
      <c r="G350" s="8"/>
      <c r="H350" s="7"/>
      <c r="I350" s="6"/>
      <c r="J350" s="7"/>
      <c r="K350" s="8"/>
      <c r="L350" s="7"/>
      <c r="M350" s="8"/>
      <c r="N350" s="7"/>
      <c r="O350" s="8"/>
      <c r="P350" s="7"/>
      <c r="Q350" s="7"/>
      <c r="R350" s="8"/>
      <c r="S350" s="7"/>
      <c r="T350" s="9"/>
      <c r="U350" s="7"/>
      <c r="V350" s="8"/>
      <c r="W350" s="7"/>
      <c r="X350" s="7"/>
      <c r="Y350" s="8"/>
      <c r="Z350" s="7"/>
      <c r="AA350" s="8"/>
    </row>
    <row r="351" spans="4:27" ht="14.25" thickTop="1" thickBot="1">
      <c r="D351" s="66"/>
      <c r="E351" s="51" t="s">
        <v>1019</v>
      </c>
      <c r="F351" s="7"/>
      <c r="G351" s="8"/>
      <c r="H351" s="7"/>
      <c r="I351" s="6"/>
      <c r="J351" s="7"/>
      <c r="K351" s="8"/>
      <c r="L351" s="7"/>
      <c r="M351" s="8"/>
      <c r="N351" s="7"/>
      <c r="O351" s="8"/>
      <c r="P351" s="7"/>
      <c r="Q351" s="7"/>
      <c r="R351" s="8"/>
      <c r="S351" s="7"/>
      <c r="T351" s="9"/>
      <c r="U351" s="7"/>
      <c r="V351" s="8"/>
      <c r="W351" s="7"/>
      <c r="X351" s="7"/>
      <c r="Y351" s="8"/>
      <c r="Z351" s="7"/>
      <c r="AA351" s="8"/>
    </row>
    <row r="352" spans="4:27" ht="14.25" thickTop="1" thickBot="1">
      <c r="D352" s="66"/>
      <c r="E352" s="51" t="s">
        <v>224</v>
      </c>
      <c r="F352" s="7"/>
      <c r="G352" s="8"/>
      <c r="H352" s="7"/>
      <c r="I352" s="6"/>
      <c r="J352" s="7"/>
      <c r="K352" s="8"/>
      <c r="L352" s="7"/>
      <c r="M352" s="8"/>
      <c r="N352" s="7"/>
      <c r="O352" s="8"/>
      <c r="P352" s="7"/>
      <c r="Q352" s="7"/>
      <c r="R352" s="8"/>
      <c r="S352" s="7"/>
      <c r="T352" s="9"/>
      <c r="U352" s="7"/>
      <c r="V352" s="8"/>
      <c r="W352" s="7"/>
      <c r="X352" s="7"/>
      <c r="Y352" s="8"/>
      <c r="Z352" s="7"/>
      <c r="AA352" s="8"/>
    </row>
    <row r="353" spans="4:27" ht="14.25" thickTop="1" thickBot="1">
      <c r="D353" s="66"/>
      <c r="E353" s="51" t="s">
        <v>209</v>
      </c>
      <c r="F353" s="7"/>
      <c r="G353" s="8"/>
      <c r="H353" s="7"/>
      <c r="I353" s="6"/>
      <c r="J353" s="7"/>
      <c r="K353" s="8"/>
      <c r="L353" s="7"/>
      <c r="M353" s="8"/>
      <c r="N353" s="7"/>
      <c r="O353" s="8"/>
      <c r="P353" s="7"/>
      <c r="Q353" s="7"/>
      <c r="R353" s="8"/>
      <c r="S353" s="7"/>
      <c r="T353" s="9"/>
      <c r="U353" s="7"/>
      <c r="V353" s="8"/>
      <c r="W353" s="7"/>
      <c r="X353" s="7"/>
      <c r="Y353" s="8"/>
      <c r="Z353" s="7"/>
      <c r="AA353" s="8"/>
    </row>
    <row r="354" spans="4:27" ht="14.25" thickTop="1" thickBot="1">
      <c r="D354" s="66"/>
      <c r="E354" s="51" t="s">
        <v>282</v>
      </c>
      <c r="F354" s="7"/>
      <c r="G354" s="8"/>
      <c r="H354" s="7"/>
      <c r="I354" s="6"/>
      <c r="J354" s="7"/>
      <c r="K354" s="8"/>
      <c r="L354" s="7"/>
      <c r="M354" s="8"/>
      <c r="N354" s="7"/>
      <c r="O354" s="8"/>
      <c r="P354" s="7"/>
      <c r="Q354" s="7"/>
      <c r="R354" s="8"/>
      <c r="S354" s="7"/>
      <c r="T354" s="9"/>
      <c r="U354" s="7"/>
      <c r="V354" s="8"/>
      <c r="W354" s="7"/>
      <c r="X354" s="7"/>
      <c r="Y354" s="8"/>
      <c r="Z354" s="7"/>
      <c r="AA354" s="8"/>
    </row>
    <row r="355" spans="4:27" ht="14.25" thickTop="1" thickBot="1">
      <c r="D355" s="66"/>
      <c r="E355" s="51" t="s">
        <v>199</v>
      </c>
      <c r="F355" s="7"/>
      <c r="G355" s="8"/>
      <c r="H355" s="7"/>
      <c r="I355" s="6"/>
      <c r="J355" s="7"/>
      <c r="K355" s="8"/>
      <c r="L355" s="7"/>
      <c r="M355" s="8"/>
      <c r="N355" s="7"/>
      <c r="O355" s="8"/>
      <c r="P355" s="7"/>
      <c r="Q355" s="7"/>
      <c r="R355" s="8"/>
      <c r="S355" s="7"/>
      <c r="T355" s="9"/>
      <c r="U355" s="7"/>
      <c r="V355" s="8"/>
      <c r="W355" s="7"/>
      <c r="X355" s="7"/>
      <c r="Y355" s="8"/>
      <c r="Z355" s="7"/>
      <c r="AA355" s="8"/>
    </row>
    <row r="356" spans="4:27" ht="14.25" thickTop="1" thickBot="1">
      <c r="D356" s="66"/>
      <c r="E356" s="51" t="s">
        <v>201</v>
      </c>
      <c r="F356" s="7"/>
      <c r="G356" s="8"/>
      <c r="H356" s="7"/>
      <c r="I356" s="6"/>
      <c r="J356" s="7"/>
      <c r="K356" s="8"/>
      <c r="L356" s="7"/>
      <c r="M356" s="8"/>
      <c r="N356" s="7"/>
      <c r="O356" s="8"/>
      <c r="P356" s="7"/>
      <c r="Q356" s="7"/>
      <c r="R356" s="8"/>
      <c r="S356" s="7"/>
      <c r="T356" s="9"/>
      <c r="U356" s="7"/>
      <c r="V356" s="8"/>
      <c r="W356" s="7"/>
      <c r="X356" s="7"/>
      <c r="Y356" s="8"/>
      <c r="Z356" s="7"/>
      <c r="AA356" s="8"/>
    </row>
    <row r="357" spans="4:27" ht="14.25" thickTop="1" thickBot="1">
      <c r="D357" s="66"/>
      <c r="E357" s="51" t="s">
        <v>1010</v>
      </c>
      <c r="F357" s="7"/>
      <c r="G357" s="8"/>
      <c r="H357" s="7"/>
      <c r="I357" s="6"/>
      <c r="J357" s="7"/>
      <c r="K357" s="8"/>
      <c r="L357" s="7"/>
      <c r="M357" s="8"/>
      <c r="N357" s="7"/>
      <c r="O357" s="8"/>
      <c r="P357" s="7"/>
      <c r="Q357" s="7"/>
      <c r="R357" s="8"/>
      <c r="S357" s="7"/>
      <c r="T357" s="9"/>
      <c r="U357" s="7"/>
      <c r="V357" s="8"/>
      <c r="W357" s="7"/>
      <c r="X357" s="7"/>
      <c r="Y357" s="8"/>
      <c r="Z357" s="7"/>
      <c r="AA357" s="8"/>
    </row>
    <row r="358" spans="4:27" ht="14.25" thickTop="1" thickBot="1">
      <c r="D358" s="66"/>
      <c r="E358" s="51" t="s">
        <v>273</v>
      </c>
      <c r="F358" s="7"/>
      <c r="G358" s="8"/>
      <c r="H358" s="7"/>
      <c r="I358" s="6"/>
      <c r="J358" s="7"/>
      <c r="K358" s="8"/>
      <c r="L358" s="7"/>
      <c r="M358" s="8"/>
      <c r="N358" s="7"/>
      <c r="O358" s="8"/>
      <c r="P358" s="7"/>
      <c r="Q358" s="7"/>
      <c r="R358" s="8"/>
      <c r="S358" s="7"/>
      <c r="T358" s="9"/>
      <c r="U358" s="7"/>
      <c r="V358" s="8"/>
      <c r="W358" s="7"/>
      <c r="X358" s="7"/>
      <c r="Y358" s="8"/>
      <c r="Z358" s="7"/>
      <c r="AA358" s="8"/>
    </row>
    <row r="359" spans="4:27" ht="14.25" thickTop="1" thickBot="1">
      <c r="D359" s="66"/>
      <c r="E359" s="51" t="s">
        <v>274</v>
      </c>
      <c r="F359" s="7"/>
      <c r="G359" s="8"/>
      <c r="H359" s="7"/>
      <c r="I359" s="6"/>
      <c r="J359" s="7"/>
      <c r="K359" s="8"/>
      <c r="L359" s="7"/>
      <c r="M359" s="8"/>
      <c r="N359" s="7"/>
      <c r="O359" s="8"/>
      <c r="P359" s="7"/>
      <c r="Q359" s="7"/>
      <c r="R359" s="8"/>
      <c r="S359" s="7"/>
      <c r="T359" s="9"/>
      <c r="U359" s="7"/>
      <c r="V359" s="8"/>
      <c r="W359" s="7"/>
      <c r="X359" s="7"/>
      <c r="Y359" s="8"/>
      <c r="Z359" s="7"/>
      <c r="AA359" s="8"/>
    </row>
    <row r="360" spans="4:27" ht="14.25" thickTop="1" thickBot="1">
      <c r="D360" s="66"/>
      <c r="E360" s="51" t="s">
        <v>1296</v>
      </c>
      <c r="F360" s="7"/>
      <c r="G360" s="8"/>
      <c r="H360" s="7"/>
      <c r="I360" s="6"/>
      <c r="J360" s="7"/>
      <c r="K360" s="8"/>
      <c r="L360" s="7"/>
      <c r="M360" s="8"/>
      <c r="N360" s="7"/>
      <c r="O360" s="8"/>
      <c r="P360" s="7"/>
      <c r="Q360" s="7"/>
      <c r="R360" s="8"/>
      <c r="S360" s="7"/>
      <c r="T360" s="9"/>
      <c r="U360" s="7"/>
      <c r="V360" s="8"/>
      <c r="W360" s="7"/>
      <c r="X360" s="7"/>
      <c r="Y360" s="8"/>
      <c r="Z360" s="7"/>
      <c r="AA360" s="8"/>
    </row>
    <row r="361" spans="4:27" ht="14.25" thickTop="1" thickBot="1">
      <c r="D361" s="66"/>
      <c r="E361" s="51" t="s">
        <v>1106</v>
      </c>
      <c r="F361" s="7"/>
      <c r="G361" s="8"/>
      <c r="H361" s="7"/>
      <c r="I361" s="6"/>
      <c r="J361" s="7"/>
      <c r="K361" s="8"/>
      <c r="L361" s="7"/>
      <c r="M361" s="8"/>
      <c r="N361" s="7"/>
      <c r="O361" s="8"/>
      <c r="P361" s="7"/>
      <c r="Q361" s="7"/>
      <c r="R361" s="8"/>
      <c r="S361" s="7"/>
      <c r="T361" s="9"/>
      <c r="U361" s="7"/>
      <c r="V361" s="8"/>
      <c r="W361" s="7"/>
      <c r="X361" s="7"/>
      <c r="Y361" s="8"/>
      <c r="Z361" s="7"/>
      <c r="AA361" s="8"/>
    </row>
    <row r="362" spans="4:27" ht="14.25" thickTop="1" thickBot="1">
      <c r="D362" s="66"/>
      <c r="E362" s="51" t="s">
        <v>1108</v>
      </c>
      <c r="F362" s="7"/>
      <c r="G362" s="8"/>
      <c r="H362" s="7"/>
      <c r="I362" s="6"/>
      <c r="J362" s="7"/>
      <c r="K362" s="8"/>
      <c r="L362" s="7"/>
      <c r="M362" s="8"/>
      <c r="N362" s="7"/>
      <c r="O362" s="8"/>
      <c r="P362" s="7"/>
      <c r="Q362" s="7"/>
      <c r="R362" s="8"/>
      <c r="S362" s="7"/>
      <c r="T362" s="9"/>
      <c r="U362" s="7"/>
      <c r="V362" s="8"/>
      <c r="W362" s="7"/>
      <c r="X362" s="7"/>
      <c r="Y362" s="8"/>
      <c r="Z362" s="7"/>
      <c r="AA362" s="8"/>
    </row>
    <row r="363" spans="4:27" ht="14.25" thickTop="1" thickBot="1">
      <c r="D363" s="66"/>
      <c r="E363" s="51" t="s">
        <v>1110</v>
      </c>
      <c r="F363" s="7"/>
      <c r="G363" s="8"/>
      <c r="H363" s="7"/>
      <c r="I363" s="6"/>
      <c r="J363" s="7"/>
      <c r="K363" s="8"/>
      <c r="L363" s="7"/>
      <c r="M363" s="8"/>
      <c r="N363" s="7"/>
      <c r="O363" s="8"/>
      <c r="P363" s="7"/>
      <c r="Q363" s="7"/>
      <c r="R363" s="8"/>
      <c r="S363" s="7"/>
      <c r="T363" s="9"/>
      <c r="U363" s="7"/>
      <c r="V363" s="8"/>
      <c r="W363" s="7"/>
      <c r="X363" s="7"/>
      <c r="Y363" s="8"/>
      <c r="Z363" s="7"/>
      <c r="AA363" s="8"/>
    </row>
    <row r="364" spans="4:27" ht="14.25" thickTop="1" thickBot="1">
      <c r="D364" s="66"/>
      <c r="E364" s="51" t="s">
        <v>1297</v>
      </c>
      <c r="F364" s="7"/>
      <c r="G364" s="8"/>
      <c r="H364" s="7"/>
      <c r="I364" s="6"/>
      <c r="J364" s="7"/>
      <c r="K364" s="8"/>
      <c r="L364" s="7"/>
      <c r="M364" s="8"/>
      <c r="N364" s="7"/>
      <c r="O364" s="8"/>
      <c r="P364" s="7"/>
      <c r="Q364" s="7"/>
      <c r="R364" s="8"/>
      <c r="S364" s="7"/>
      <c r="T364" s="9"/>
      <c r="U364" s="7"/>
      <c r="V364" s="8"/>
      <c r="W364" s="7"/>
      <c r="X364" s="7"/>
      <c r="Y364" s="8"/>
      <c r="Z364" s="7"/>
      <c r="AA364" s="8"/>
    </row>
    <row r="365" spans="4:27" ht="14.25" thickTop="1" thickBot="1">
      <c r="D365" s="66"/>
      <c r="E365" s="51" t="s">
        <v>1111</v>
      </c>
      <c r="F365" s="7"/>
      <c r="G365" s="8"/>
      <c r="H365" s="7"/>
      <c r="I365" s="6"/>
      <c r="J365" s="7"/>
      <c r="K365" s="8"/>
      <c r="L365" s="7"/>
      <c r="M365" s="8"/>
      <c r="N365" s="7"/>
      <c r="O365" s="8"/>
      <c r="P365" s="7"/>
      <c r="Q365" s="7"/>
      <c r="R365" s="8"/>
      <c r="S365" s="7"/>
      <c r="T365" s="9"/>
      <c r="U365" s="7"/>
      <c r="V365" s="8"/>
      <c r="W365" s="7"/>
      <c r="X365" s="7"/>
      <c r="Y365" s="8"/>
      <c r="Z365" s="7"/>
      <c r="AA365" s="8"/>
    </row>
    <row r="366" spans="4:27" ht="14.25" thickTop="1" thickBot="1">
      <c r="D366" s="66"/>
      <c r="E366" s="51" t="s">
        <v>1298</v>
      </c>
      <c r="F366" s="7"/>
      <c r="G366" s="8"/>
      <c r="H366" s="7"/>
      <c r="I366" s="6"/>
      <c r="J366" s="7"/>
      <c r="K366" s="8"/>
      <c r="L366" s="7"/>
      <c r="M366" s="8"/>
      <c r="N366" s="7"/>
      <c r="O366" s="8"/>
      <c r="P366" s="7"/>
      <c r="Q366" s="7"/>
      <c r="R366" s="8"/>
      <c r="S366" s="7"/>
      <c r="T366" s="9"/>
      <c r="U366" s="7"/>
      <c r="V366" s="8"/>
      <c r="W366" s="7"/>
      <c r="X366" s="7"/>
      <c r="Y366" s="8"/>
      <c r="Z366" s="7"/>
      <c r="AA366" s="8"/>
    </row>
    <row r="367" spans="4:27" ht="14.25" thickTop="1" thickBot="1">
      <c r="D367" s="66"/>
      <c r="E367" s="51" t="s">
        <v>1016</v>
      </c>
      <c r="F367" s="7"/>
      <c r="G367" s="8"/>
      <c r="H367" s="7"/>
      <c r="I367" s="6"/>
      <c r="J367" s="7"/>
      <c r="K367" s="8"/>
      <c r="L367" s="7"/>
      <c r="M367" s="8"/>
      <c r="N367" s="7"/>
      <c r="O367" s="8"/>
      <c r="P367" s="7"/>
      <c r="Q367" s="7"/>
      <c r="R367" s="8"/>
      <c r="S367" s="7"/>
      <c r="T367" s="9"/>
      <c r="U367" s="7"/>
      <c r="V367" s="8"/>
      <c r="W367" s="7"/>
      <c r="X367" s="7"/>
      <c r="Y367" s="8"/>
      <c r="Z367" s="7"/>
      <c r="AA367" s="8"/>
    </row>
    <row r="368" spans="4:27" ht="14.25" thickTop="1" thickBot="1">
      <c r="D368" s="66"/>
      <c r="E368" s="51" t="s">
        <v>202</v>
      </c>
      <c r="F368" s="7"/>
      <c r="G368" s="8"/>
      <c r="H368" s="7"/>
      <c r="I368" s="6"/>
      <c r="J368" s="7"/>
      <c r="K368" s="8"/>
      <c r="L368" s="7"/>
      <c r="M368" s="8"/>
      <c r="N368" s="7"/>
      <c r="O368" s="8"/>
      <c r="P368" s="7"/>
      <c r="Q368" s="7"/>
      <c r="R368" s="8"/>
      <c r="S368" s="7"/>
      <c r="T368" s="9"/>
      <c r="U368" s="7"/>
      <c r="V368" s="8"/>
      <c r="W368" s="7"/>
      <c r="X368" s="7"/>
      <c r="Y368" s="8"/>
      <c r="Z368" s="7"/>
      <c r="AA368" s="8"/>
    </row>
    <row r="369" spans="4:27" ht="14.25" thickTop="1" thickBot="1">
      <c r="D369" s="66"/>
      <c r="E369" s="51" t="s">
        <v>279</v>
      </c>
      <c r="F369" s="7"/>
      <c r="G369" s="8"/>
      <c r="H369" s="7"/>
      <c r="I369" s="6"/>
      <c r="J369" s="7"/>
      <c r="K369" s="8"/>
      <c r="L369" s="7"/>
      <c r="M369" s="8"/>
      <c r="N369" s="7"/>
      <c r="O369" s="8"/>
      <c r="P369" s="7"/>
      <c r="Q369" s="7"/>
      <c r="R369" s="8"/>
      <c r="S369" s="7"/>
      <c r="T369" s="9"/>
      <c r="U369" s="7"/>
      <c r="V369" s="8"/>
      <c r="W369" s="7"/>
      <c r="X369" s="7"/>
      <c r="Y369" s="8"/>
      <c r="Z369" s="7"/>
      <c r="AA369" s="8"/>
    </row>
    <row r="370" spans="4:27" ht="14.25" thickTop="1" thickBot="1">
      <c r="D370" s="66"/>
      <c r="E370" s="51" t="s">
        <v>1014</v>
      </c>
      <c r="F370" s="7"/>
      <c r="G370" s="8"/>
      <c r="H370" s="7"/>
      <c r="I370" s="6"/>
      <c r="J370" s="7"/>
      <c r="K370" s="8"/>
      <c r="L370" s="7"/>
      <c r="M370" s="8"/>
      <c r="N370" s="7"/>
      <c r="O370" s="8"/>
      <c r="P370" s="7"/>
      <c r="Q370" s="7"/>
      <c r="R370" s="8"/>
      <c r="S370" s="7"/>
      <c r="T370" s="9"/>
      <c r="U370" s="7"/>
      <c r="V370" s="8"/>
      <c r="W370" s="7"/>
      <c r="X370" s="7"/>
      <c r="Y370" s="8"/>
      <c r="Z370" s="7"/>
      <c r="AA370" s="8"/>
    </row>
    <row r="371" spans="4:27" ht="14.25" thickTop="1" thickBot="1">
      <c r="D371" s="66"/>
      <c r="E371" s="51" t="s">
        <v>203</v>
      </c>
      <c r="F371" s="7"/>
      <c r="G371" s="8"/>
      <c r="H371" s="7"/>
      <c r="I371" s="6"/>
      <c r="J371" s="7"/>
      <c r="K371" s="8"/>
      <c r="L371" s="7"/>
      <c r="M371" s="8"/>
      <c r="N371" s="7"/>
      <c r="O371" s="8"/>
      <c r="P371" s="7"/>
      <c r="Q371" s="7"/>
      <c r="R371" s="8"/>
      <c r="S371" s="7"/>
      <c r="T371" s="9"/>
      <c r="U371" s="7"/>
      <c r="V371" s="8"/>
      <c r="W371" s="7"/>
      <c r="X371" s="7"/>
      <c r="Y371" s="8"/>
      <c r="Z371" s="7"/>
      <c r="AA371" s="8"/>
    </row>
    <row r="372" spans="4:27" ht="14.25" thickTop="1" thickBot="1">
      <c r="D372" s="66"/>
      <c r="E372" s="51" t="s">
        <v>205</v>
      </c>
      <c r="F372" s="7"/>
      <c r="G372" s="8"/>
      <c r="H372" s="7"/>
      <c r="I372" s="6"/>
      <c r="J372" s="7"/>
      <c r="K372" s="8"/>
      <c r="L372" s="7"/>
      <c r="M372" s="8"/>
      <c r="N372" s="7"/>
      <c r="O372" s="8"/>
      <c r="P372" s="7"/>
      <c r="Q372" s="7"/>
      <c r="R372" s="8"/>
      <c r="S372" s="7"/>
      <c r="T372" s="9"/>
      <c r="U372" s="7"/>
      <c r="V372" s="8"/>
      <c r="W372" s="7"/>
      <c r="X372" s="7"/>
      <c r="Y372" s="8"/>
      <c r="Z372" s="7"/>
      <c r="AA372" s="8"/>
    </row>
    <row r="373" spans="4:27" ht="14.25" thickTop="1" thickBot="1">
      <c r="D373" s="66"/>
      <c r="E373" s="51" t="s">
        <v>1003</v>
      </c>
      <c r="F373" s="7"/>
      <c r="G373" s="8"/>
      <c r="H373" s="7"/>
      <c r="I373" s="6"/>
      <c r="J373" s="7"/>
      <c r="K373" s="8"/>
      <c r="L373" s="7"/>
      <c r="M373" s="8"/>
      <c r="N373" s="7"/>
      <c r="O373" s="8"/>
      <c r="P373" s="7"/>
      <c r="Q373" s="7"/>
      <c r="R373" s="8"/>
      <c r="S373" s="7"/>
      <c r="T373" s="9"/>
      <c r="U373" s="7"/>
      <c r="V373" s="8"/>
      <c r="W373" s="7"/>
      <c r="X373" s="7"/>
      <c r="Y373" s="8"/>
      <c r="Z373" s="7"/>
      <c r="AA373" s="8"/>
    </row>
    <row r="374" spans="4:27" ht="14.25" thickTop="1" thickBot="1">
      <c r="D374" s="66"/>
      <c r="E374" s="51" t="s">
        <v>1012</v>
      </c>
      <c r="F374" s="7"/>
      <c r="G374" s="8"/>
      <c r="H374" s="7"/>
      <c r="I374" s="6"/>
      <c r="J374" s="7"/>
      <c r="K374" s="8"/>
      <c r="L374" s="7"/>
      <c r="M374" s="8"/>
      <c r="N374" s="7"/>
      <c r="O374" s="8"/>
      <c r="P374" s="7"/>
      <c r="Q374" s="7"/>
      <c r="R374" s="8"/>
      <c r="S374" s="7"/>
      <c r="T374" s="9"/>
      <c r="U374" s="7"/>
      <c r="V374" s="8"/>
      <c r="W374" s="7"/>
      <c r="X374" s="7"/>
      <c r="Y374" s="8"/>
      <c r="Z374" s="7"/>
      <c r="AA374" s="8"/>
    </row>
    <row r="375" spans="4:27" ht="14.25" thickTop="1" thickBot="1">
      <c r="D375" s="66"/>
      <c r="E375" s="51" t="s">
        <v>287</v>
      </c>
      <c r="F375" s="7"/>
      <c r="G375" s="8"/>
      <c r="H375" s="7"/>
      <c r="I375" s="6"/>
      <c r="J375" s="7"/>
      <c r="K375" s="8"/>
      <c r="L375" s="7"/>
      <c r="M375" s="8"/>
      <c r="N375" s="7"/>
      <c r="O375" s="8"/>
      <c r="P375" s="7"/>
      <c r="Q375" s="7"/>
      <c r="R375" s="8"/>
      <c r="S375" s="7"/>
      <c r="T375" s="9"/>
      <c r="U375" s="7"/>
      <c r="V375" s="8"/>
      <c r="W375" s="7"/>
      <c r="X375" s="7"/>
      <c r="Y375" s="8"/>
      <c r="Z375" s="7"/>
      <c r="AA375" s="8"/>
    </row>
    <row r="376" spans="4:27" ht="14.25" thickTop="1" thickBot="1">
      <c r="D376" s="66"/>
      <c r="E376" s="51" t="s">
        <v>1005</v>
      </c>
      <c r="F376" s="7"/>
      <c r="G376" s="8"/>
      <c r="H376" s="7"/>
      <c r="I376" s="6"/>
      <c r="J376" s="7"/>
      <c r="K376" s="8"/>
      <c r="L376" s="7"/>
      <c r="M376" s="8"/>
      <c r="N376" s="7"/>
      <c r="O376" s="8"/>
      <c r="P376" s="7"/>
      <c r="Q376" s="7"/>
      <c r="R376" s="8"/>
      <c r="S376" s="7"/>
      <c r="T376" s="9"/>
      <c r="U376" s="7"/>
      <c r="V376" s="8"/>
      <c r="W376" s="7"/>
      <c r="X376" s="7"/>
      <c r="Y376" s="8"/>
      <c r="Z376" s="7"/>
      <c r="AA376" s="8"/>
    </row>
    <row r="377" spans="4:27" ht="14.25" thickTop="1" thickBot="1">
      <c r="D377" s="66"/>
      <c r="E377" s="51" t="s">
        <v>1299</v>
      </c>
      <c r="F377" s="7"/>
      <c r="G377" s="8"/>
      <c r="H377" s="7"/>
      <c r="I377" s="6"/>
      <c r="J377" s="7"/>
      <c r="K377" s="8"/>
      <c r="L377" s="7"/>
      <c r="M377" s="8"/>
      <c r="N377" s="7"/>
      <c r="O377" s="8"/>
      <c r="P377" s="7"/>
      <c r="Q377" s="7"/>
      <c r="R377" s="8"/>
      <c r="S377" s="7"/>
      <c r="T377" s="9"/>
      <c r="U377" s="7"/>
      <c r="V377" s="8"/>
      <c r="W377" s="7"/>
      <c r="X377" s="7"/>
      <c r="Y377" s="8"/>
      <c r="Z377" s="7"/>
      <c r="AA377" s="8"/>
    </row>
    <row r="378" spans="4:27" ht="14.25" thickTop="1" thickBot="1">
      <c r="D378" s="66"/>
      <c r="E378" s="51" t="s">
        <v>1126</v>
      </c>
      <c r="F378" s="7"/>
      <c r="G378" s="8"/>
      <c r="H378" s="7"/>
      <c r="I378" s="6"/>
      <c r="J378" s="7"/>
      <c r="K378" s="8"/>
      <c r="L378" s="7"/>
      <c r="M378" s="8"/>
      <c r="N378" s="7"/>
      <c r="O378" s="8"/>
      <c r="P378" s="7"/>
      <c r="Q378" s="7"/>
      <c r="R378" s="8"/>
      <c r="S378" s="7"/>
      <c r="T378" s="9"/>
      <c r="U378" s="7"/>
      <c r="V378" s="8"/>
      <c r="W378" s="7"/>
      <c r="X378" s="7"/>
      <c r="Y378" s="8"/>
      <c r="Z378" s="7"/>
      <c r="AA378" s="8"/>
    </row>
    <row r="379" spans="4:27" ht="14.25" thickTop="1" thickBot="1">
      <c r="D379" s="66"/>
      <c r="E379" s="51" t="s">
        <v>1127</v>
      </c>
      <c r="F379" s="7"/>
      <c r="G379" s="8"/>
      <c r="H379" s="7"/>
      <c r="I379" s="6"/>
      <c r="J379" s="7"/>
      <c r="K379" s="8"/>
      <c r="L379" s="7"/>
      <c r="M379" s="8"/>
      <c r="N379" s="7"/>
      <c r="O379" s="8"/>
      <c r="P379" s="7"/>
      <c r="Q379" s="7"/>
      <c r="R379" s="8"/>
      <c r="S379" s="7"/>
      <c r="T379" s="9"/>
      <c r="U379" s="7"/>
      <c r="V379" s="8"/>
      <c r="W379" s="7"/>
      <c r="X379" s="7"/>
      <c r="Y379" s="8"/>
      <c r="Z379" s="7"/>
      <c r="AA379" s="8"/>
    </row>
    <row r="380" spans="4:27" ht="14.25" thickTop="1" thickBot="1">
      <c r="D380" s="66"/>
      <c r="E380" s="51" t="s">
        <v>1128</v>
      </c>
      <c r="F380" s="7"/>
      <c r="G380" s="8"/>
      <c r="H380" s="7"/>
      <c r="I380" s="6"/>
      <c r="J380" s="7"/>
      <c r="K380" s="8"/>
      <c r="L380" s="7"/>
      <c r="M380" s="8"/>
      <c r="N380" s="7"/>
      <c r="O380" s="8"/>
      <c r="P380" s="7"/>
      <c r="Q380" s="7"/>
      <c r="R380" s="8"/>
      <c r="S380" s="7"/>
      <c r="T380" s="9"/>
      <c r="U380" s="7"/>
      <c r="V380" s="8"/>
      <c r="W380" s="7"/>
      <c r="X380" s="7"/>
      <c r="Y380" s="8"/>
      <c r="Z380" s="7"/>
      <c r="AA380" s="8"/>
    </row>
    <row r="381" spans="4:27" ht="14.25" thickTop="1" thickBot="1">
      <c r="D381" s="66"/>
      <c r="E381" s="51" t="s">
        <v>1129</v>
      </c>
      <c r="F381" s="7"/>
      <c r="G381" s="8"/>
      <c r="H381" s="7"/>
      <c r="I381" s="6"/>
      <c r="J381" s="7"/>
      <c r="K381" s="8"/>
      <c r="L381" s="7"/>
      <c r="M381" s="8"/>
      <c r="N381" s="7"/>
      <c r="O381" s="8"/>
      <c r="P381" s="7"/>
      <c r="Q381" s="7"/>
      <c r="R381" s="8"/>
      <c r="S381" s="7"/>
      <c r="T381" s="9"/>
      <c r="U381" s="7"/>
      <c r="V381" s="8"/>
      <c r="W381" s="7"/>
      <c r="X381" s="7"/>
      <c r="Y381" s="8"/>
      <c r="Z381" s="7"/>
      <c r="AA381" s="8"/>
    </row>
    <row r="382" spans="4:27" ht="14.25" thickTop="1" thickBot="1">
      <c r="D382" s="66"/>
      <c r="E382" s="51" t="s">
        <v>1130</v>
      </c>
      <c r="F382" s="7"/>
      <c r="G382" s="8"/>
      <c r="H382" s="7"/>
      <c r="I382" s="6"/>
      <c r="J382" s="7"/>
      <c r="K382" s="8"/>
      <c r="L382" s="7"/>
      <c r="M382" s="8"/>
      <c r="N382" s="7"/>
      <c r="O382" s="8"/>
      <c r="P382" s="7"/>
      <c r="Q382" s="7"/>
      <c r="R382" s="8"/>
      <c r="S382" s="7"/>
      <c r="T382" s="9"/>
      <c r="U382" s="7"/>
      <c r="V382" s="8"/>
      <c r="W382" s="7"/>
      <c r="X382" s="7"/>
      <c r="Y382" s="8"/>
      <c r="Z382" s="7"/>
      <c r="AA382" s="8"/>
    </row>
    <row r="383" spans="4:27" ht="14.25" thickTop="1" thickBot="1">
      <c r="D383" s="66"/>
      <c r="E383" s="51" t="s">
        <v>1131</v>
      </c>
      <c r="F383" s="7"/>
      <c r="G383" s="8"/>
      <c r="H383" s="7"/>
      <c r="I383" s="6"/>
      <c r="J383" s="7"/>
      <c r="K383" s="8"/>
      <c r="L383" s="7"/>
      <c r="M383" s="8"/>
      <c r="N383" s="7"/>
      <c r="O383" s="8"/>
      <c r="P383" s="7"/>
      <c r="Q383" s="7"/>
      <c r="R383" s="8"/>
      <c r="S383" s="7"/>
      <c r="T383" s="9"/>
      <c r="U383" s="7"/>
      <c r="V383" s="8"/>
      <c r="W383" s="7"/>
      <c r="X383" s="7"/>
      <c r="Y383" s="8"/>
      <c r="Z383" s="7"/>
      <c r="AA383" s="8"/>
    </row>
    <row r="384" spans="4:27" ht="14.25" thickTop="1" thickBot="1">
      <c r="D384" s="66"/>
      <c r="E384" s="51" t="s">
        <v>1021</v>
      </c>
      <c r="F384" s="7"/>
      <c r="G384" s="8"/>
      <c r="H384" s="7"/>
      <c r="I384" s="6"/>
      <c r="J384" s="7"/>
      <c r="K384" s="8"/>
      <c r="L384" s="7"/>
      <c r="M384" s="8"/>
      <c r="N384" s="7"/>
      <c r="O384" s="8"/>
      <c r="P384" s="7"/>
      <c r="Q384" s="7"/>
      <c r="R384" s="8"/>
      <c r="S384" s="7"/>
      <c r="T384" s="9"/>
      <c r="U384" s="7"/>
      <c r="V384" s="8"/>
      <c r="W384" s="7"/>
      <c r="X384" s="7"/>
      <c r="Y384" s="8"/>
      <c r="Z384" s="7"/>
      <c r="AA384" s="8"/>
    </row>
    <row r="385" spans="4:27" ht="14.25" thickTop="1" thickBot="1">
      <c r="D385" s="66"/>
      <c r="E385" s="51" t="s">
        <v>1018</v>
      </c>
      <c r="F385" s="7"/>
      <c r="G385" s="8"/>
      <c r="H385" s="7"/>
      <c r="I385" s="6"/>
      <c r="J385" s="7"/>
      <c r="K385" s="8"/>
      <c r="L385" s="7"/>
      <c r="M385" s="8"/>
      <c r="N385" s="7"/>
      <c r="O385" s="8"/>
      <c r="P385" s="7"/>
      <c r="Q385" s="7"/>
      <c r="R385" s="8"/>
      <c r="S385" s="7"/>
      <c r="T385" s="9"/>
      <c r="U385" s="7"/>
      <c r="V385" s="8"/>
      <c r="W385" s="7"/>
      <c r="X385" s="7"/>
      <c r="Y385" s="8"/>
      <c r="Z385" s="7"/>
      <c r="AA385" s="8"/>
    </row>
    <row r="386" spans="4:27" ht="14.25" thickTop="1" thickBot="1">
      <c r="D386" s="66"/>
      <c r="E386" s="51" t="s">
        <v>744</v>
      </c>
      <c r="F386" s="7"/>
      <c r="G386" s="8"/>
      <c r="H386" s="7"/>
      <c r="I386" s="6"/>
      <c r="J386" s="7"/>
      <c r="K386" s="8"/>
      <c r="L386" s="7"/>
      <c r="M386" s="8"/>
      <c r="N386" s="7"/>
      <c r="O386" s="8"/>
      <c r="P386" s="7"/>
      <c r="Q386" s="7"/>
      <c r="R386" s="8"/>
      <c r="S386" s="7"/>
      <c r="T386" s="9"/>
      <c r="U386" s="7"/>
      <c r="V386" s="8"/>
      <c r="W386" s="7"/>
      <c r="X386" s="7"/>
      <c r="Y386" s="8"/>
      <c r="Z386" s="7"/>
      <c r="AA386" s="8"/>
    </row>
    <row r="387" spans="4:27" ht="14.25" thickTop="1" thickBot="1">
      <c r="D387" s="66"/>
      <c r="E387" s="51" t="s">
        <v>992</v>
      </c>
      <c r="F387" s="7"/>
      <c r="G387" s="8"/>
      <c r="H387" s="7"/>
      <c r="I387" s="6"/>
      <c r="J387" s="7"/>
      <c r="K387" s="8"/>
      <c r="L387" s="7"/>
      <c r="M387" s="8"/>
      <c r="N387" s="7"/>
      <c r="O387" s="8"/>
      <c r="P387" s="7"/>
      <c r="Q387" s="7"/>
      <c r="R387" s="8"/>
      <c r="S387" s="7"/>
      <c r="T387" s="9"/>
      <c r="U387" s="7"/>
      <c r="V387" s="8"/>
      <c r="W387" s="7"/>
      <c r="X387" s="7"/>
      <c r="Y387" s="8"/>
      <c r="Z387" s="7"/>
      <c r="AA387" s="8"/>
    </row>
    <row r="388" spans="4:27" ht="14.25" thickTop="1" thickBot="1">
      <c r="D388" s="66"/>
      <c r="E388" s="51" t="s">
        <v>990</v>
      </c>
      <c r="F388" s="7"/>
      <c r="G388" s="8"/>
      <c r="H388" s="7"/>
      <c r="I388" s="6"/>
      <c r="J388" s="7"/>
      <c r="K388" s="8"/>
      <c r="L388" s="7"/>
      <c r="M388" s="8"/>
      <c r="N388" s="7"/>
      <c r="O388" s="8"/>
      <c r="P388" s="7"/>
      <c r="Q388" s="7"/>
      <c r="R388" s="8"/>
      <c r="S388" s="7"/>
      <c r="T388" s="9"/>
      <c r="U388" s="7"/>
      <c r="V388" s="8"/>
      <c r="W388" s="7"/>
      <c r="X388" s="7"/>
      <c r="Y388" s="8"/>
      <c r="Z388" s="7"/>
      <c r="AA388" s="8"/>
    </row>
    <row r="389" spans="4:27" ht="14.25" thickTop="1" thickBot="1">
      <c r="D389" s="66"/>
      <c r="E389" s="51" t="s">
        <v>988</v>
      </c>
      <c r="F389" s="7"/>
      <c r="G389" s="8"/>
      <c r="H389" s="7"/>
      <c r="I389" s="6"/>
      <c r="J389" s="7"/>
      <c r="K389" s="8"/>
      <c r="L389" s="7"/>
      <c r="M389" s="8"/>
      <c r="N389" s="7"/>
      <c r="O389" s="8"/>
      <c r="P389" s="7"/>
      <c r="Q389" s="7"/>
      <c r="R389" s="8"/>
      <c r="S389" s="7"/>
      <c r="T389" s="9"/>
      <c r="U389" s="7"/>
      <c r="V389" s="8"/>
      <c r="W389" s="7"/>
      <c r="X389" s="7"/>
      <c r="Y389" s="8"/>
      <c r="Z389" s="7"/>
      <c r="AA389" s="8"/>
    </row>
    <row r="390" spans="4:27" ht="14.25" thickTop="1" thickBot="1">
      <c r="D390" s="66"/>
      <c r="E390" s="51" t="s">
        <v>989</v>
      </c>
      <c r="F390" s="7"/>
      <c r="G390" s="8"/>
      <c r="H390" s="7"/>
      <c r="I390" s="6"/>
      <c r="J390" s="7"/>
      <c r="K390" s="8"/>
      <c r="L390" s="7"/>
      <c r="M390" s="8"/>
      <c r="N390" s="7"/>
      <c r="O390" s="8"/>
      <c r="P390" s="7"/>
      <c r="Q390" s="7"/>
      <c r="R390" s="8"/>
      <c r="S390" s="7"/>
      <c r="T390" s="9"/>
      <c r="U390" s="7"/>
      <c r="V390" s="8"/>
      <c r="W390" s="7"/>
      <c r="X390" s="7"/>
      <c r="Y390" s="8"/>
      <c r="Z390" s="7"/>
      <c r="AA390" s="8"/>
    </row>
    <row r="391" spans="4:27" ht="14.25" thickTop="1" thickBot="1">
      <c r="D391" s="66"/>
      <c r="E391" s="51" t="s">
        <v>1300</v>
      </c>
      <c r="F391" s="7"/>
      <c r="G391" s="8"/>
      <c r="H391" s="7"/>
      <c r="I391" s="6"/>
      <c r="J391" s="7"/>
      <c r="K391" s="8"/>
      <c r="L391" s="7"/>
      <c r="M391" s="8"/>
      <c r="N391" s="7"/>
      <c r="O391" s="8"/>
      <c r="P391" s="7"/>
      <c r="Q391" s="7"/>
      <c r="R391" s="8"/>
      <c r="S391" s="7"/>
      <c r="T391" s="9"/>
      <c r="U391" s="7"/>
      <c r="V391" s="8"/>
      <c r="W391" s="7"/>
      <c r="X391" s="7"/>
      <c r="Y391" s="8"/>
      <c r="Z391" s="7"/>
      <c r="AA391" s="8"/>
    </row>
    <row r="392" spans="4:27" ht="14.25" thickTop="1" thickBot="1">
      <c r="D392" s="66"/>
      <c r="E392" s="51" t="s">
        <v>1052</v>
      </c>
      <c r="F392" s="7"/>
      <c r="G392" s="8"/>
      <c r="H392" s="7"/>
      <c r="I392" s="6"/>
      <c r="J392" s="7"/>
      <c r="K392" s="8"/>
      <c r="L392" s="7"/>
      <c r="M392" s="8"/>
      <c r="N392" s="7"/>
      <c r="O392" s="8"/>
      <c r="P392" s="7"/>
      <c r="Q392" s="7"/>
      <c r="R392" s="8"/>
      <c r="S392" s="7"/>
      <c r="T392" s="9"/>
      <c r="U392" s="7"/>
      <c r="V392" s="8"/>
      <c r="W392" s="7"/>
      <c r="X392" s="7"/>
      <c r="Y392" s="8"/>
      <c r="Z392" s="7"/>
      <c r="AA392" s="8"/>
    </row>
    <row r="393" spans="4:27" ht="14.25" thickTop="1" thickBot="1">
      <c r="D393" s="66"/>
      <c r="E393" s="51" t="s">
        <v>1050</v>
      </c>
      <c r="F393" s="7"/>
      <c r="G393" s="8"/>
      <c r="H393" s="7"/>
      <c r="I393" s="6"/>
      <c r="J393" s="7"/>
      <c r="K393" s="8"/>
      <c r="L393" s="7"/>
      <c r="M393" s="8"/>
      <c r="N393" s="7"/>
      <c r="O393" s="8"/>
      <c r="P393" s="7"/>
      <c r="Q393" s="7"/>
      <c r="R393" s="8"/>
      <c r="S393" s="7"/>
      <c r="T393" s="9"/>
      <c r="U393" s="7"/>
      <c r="V393" s="8"/>
      <c r="W393" s="7"/>
      <c r="X393" s="7"/>
      <c r="Y393" s="8"/>
      <c r="Z393" s="7"/>
      <c r="AA393" s="8"/>
    </row>
    <row r="394" spans="4:27" ht="14.25" thickTop="1" thickBot="1">
      <c r="D394" s="66"/>
      <c r="E394" s="51" t="s">
        <v>1051</v>
      </c>
      <c r="F394" s="7"/>
      <c r="G394" s="8"/>
      <c r="H394" s="7"/>
      <c r="I394" s="6"/>
      <c r="J394" s="7"/>
      <c r="K394" s="8"/>
      <c r="L394" s="7"/>
      <c r="M394" s="8"/>
      <c r="N394" s="7"/>
      <c r="O394" s="8"/>
      <c r="P394" s="7"/>
      <c r="Q394" s="7"/>
      <c r="R394" s="8"/>
      <c r="S394" s="7"/>
      <c r="T394" s="9"/>
      <c r="U394" s="7"/>
      <c r="V394" s="8"/>
      <c r="W394" s="7"/>
      <c r="X394" s="7"/>
      <c r="Y394" s="8"/>
      <c r="Z394" s="7"/>
      <c r="AA394" s="8"/>
    </row>
    <row r="395" spans="4:27" ht="14.25" thickTop="1" thickBot="1">
      <c r="D395" s="66"/>
      <c r="E395" s="51" t="s">
        <v>153</v>
      </c>
      <c r="F395" s="7"/>
      <c r="G395" s="8"/>
      <c r="H395" s="7"/>
      <c r="I395" s="6"/>
      <c r="J395" s="7"/>
      <c r="K395" s="8"/>
      <c r="L395" s="7"/>
      <c r="M395" s="8"/>
      <c r="N395" s="7"/>
      <c r="O395" s="8"/>
      <c r="P395" s="7"/>
      <c r="Q395" s="7"/>
      <c r="R395" s="8"/>
      <c r="S395" s="7"/>
      <c r="T395" s="9"/>
      <c r="U395" s="7"/>
      <c r="V395" s="8"/>
      <c r="W395" s="7"/>
      <c r="X395" s="7"/>
      <c r="Y395" s="8"/>
      <c r="Z395" s="7"/>
      <c r="AA395" s="8"/>
    </row>
    <row r="396" spans="4:27" ht="14.25" thickTop="1" thickBot="1">
      <c r="D396" s="66"/>
      <c r="E396" s="51" t="s">
        <v>225</v>
      </c>
      <c r="F396" s="7"/>
      <c r="G396" s="8"/>
      <c r="H396" s="7"/>
      <c r="I396" s="6"/>
      <c r="J396" s="7"/>
      <c r="K396" s="8"/>
      <c r="L396" s="7"/>
      <c r="M396" s="8"/>
      <c r="N396" s="7"/>
      <c r="O396" s="8"/>
      <c r="P396" s="7"/>
      <c r="Q396" s="7"/>
      <c r="R396" s="8"/>
      <c r="S396" s="7"/>
      <c r="T396" s="9"/>
      <c r="U396" s="7"/>
      <c r="V396" s="8"/>
      <c r="W396" s="7"/>
      <c r="X396" s="7"/>
      <c r="Y396" s="8"/>
      <c r="Z396" s="7"/>
      <c r="AA396" s="8"/>
    </row>
    <row r="397" spans="4:27" ht="14.25" thickTop="1" thickBot="1">
      <c r="D397" s="66"/>
      <c r="E397" s="51" t="s">
        <v>154</v>
      </c>
      <c r="F397" s="7"/>
      <c r="G397" s="8"/>
      <c r="H397" s="7"/>
      <c r="I397" s="6"/>
      <c r="J397" s="7"/>
      <c r="K397" s="8"/>
      <c r="L397" s="7"/>
      <c r="M397" s="8"/>
      <c r="N397" s="7"/>
      <c r="O397" s="8"/>
      <c r="P397" s="7"/>
      <c r="Q397" s="7"/>
      <c r="R397" s="8"/>
      <c r="S397" s="7"/>
      <c r="T397" s="9"/>
      <c r="U397" s="7"/>
      <c r="V397" s="8"/>
      <c r="W397" s="7"/>
      <c r="X397" s="7"/>
      <c r="Y397" s="8"/>
      <c r="Z397" s="7"/>
      <c r="AA397" s="8"/>
    </row>
    <row r="398" spans="4:27" ht="14.25" thickTop="1" thickBot="1">
      <c r="D398" s="66"/>
      <c r="E398" s="51" t="s">
        <v>155</v>
      </c>
      <c r="F398" s="7"/>
      <c r="G398" s="8"/>
      <c r="H398" s="7"/>
      <c r="I398" s="6"/>
      <c r="J398" s="7"/>
      <c r="K398" s="8"/>
      <c r="L398" s="7"/>
      <c r="M398" s="8"/>
      <c r="N398" s="7"/>
      <c r="O398" s="8"/>
      <c r="P398" s="7"/>
      <c r="Q398" s="7"/>
      <c r="R398" s="8"/>
      <c r="S398" s="7"/>
      <c r="T398" s="9"/>
      <c r="U398" s="7"/>
      <c r="V398" s="8"/>
      <c r="W398" s="7"/>
      <c r="X398" s="7"/>
      <c r="Y398" s="8"/>
      <c r="Z398" s="7"/>
      <c r="AA398" s="8"/>
    </row>
    <row r="399" spans="4:27" ht="14.25" thickTop="1" thickBot="1">
      <c r="D399" s="66"/>
      <c r="E399" s="51" t="s">
        <v>156</v>
      </c>
      <c r="F399" s="7"/>
      <c r="G399" s="8"/>
      <c r="H399" s="7"/>
      <c r="I399" s="6"/>
      <c r="J399" s="7"/>
      <c r="K399" s="8"/>
      <c r="L399" s="7"/>
      <c r="M399" s="8"/>
      <c r="N399" s="7"/>
      <c r="O399" s="8"/>
      <c r="P399" s="7"/>
      <c r="Q399" s="7"/>
      <c r="R399" s="8"/>
      <c r="S399" s="7"/>
      <c r="T399" s="9"/>
      <c r="U399" s="7"/>
      <c r="V399" s="8"/>
      <c r="W399" s="7"/>
      <c r="X399" s="7"/>
      <c r="Y399" s="8"/>
      <c r="Z399" s="7"/>
      <c r="AA399" s="8"/>
    </row>
    <row r="400" spans="4:27" ht="14.25" thickTop="1" thickBot="1">
      <c r="D400" s="66"/>
      <c r="E400" s="51" t="s">
        <v>157</v>
      </c>
      <c r="F400" s="7"/>
      <c r="G400" s="8"/>
      <c r="H400" s="7"/>
      <c r="I400" s="6"/>
      <c r="J400" s="7"/>
      <c r="K400" s="8"/>
      <c r="L400" s="7"/>
      <c r="M400" s="8"/>
      <c r="N400" s="7"/>
      <c r="O400" s="8"/>
      <c r="P400" s="7"/>
      <c r="Q400" s="7"/>
      <c r="R400" s="8"/>
      <c r="S400" s="7"/>
      <c r="T400" s="9"/>
      <c r="U400" s="7"/>
      <c r="V400" s="8"/>
      <c r="W400" s="7"/>
      <c r="X400" s="7"/>
      <c r="Y400" s="8"/>
      <c r="Z400" s="7"/>
      <c r="AA400" s="8"/>
    </row>
    <row r="401" spans="4:27" ht="14.25" thickTop="1" thickBot="1">
      <c r="D401" s="66"/>
      <c r="E401" s="51" t="s">
        <v>158</v>
      </c>
      <c r="F401" s="7"/>
      <c r="G401" s="8"/>
      <c r="H401" s="7"/>
      <c r="I401" s="6"/>
      <c r="J401" s="7"/>
      <c r="K401" s="8"/>
      <c r="L401" s="7"/>
      <c r="M401" s="8"/>
      <c r="N401" s="7"/>
      <c r="O401" s="8"/>
      <c r="P401" s="7"/>
      <c r="Q401" s="7"/>
      <c r="R401" s="8"/>
      <c r="S401" s="7"/>
      <c r="T401" s="9"/>
      <c r="U401" s="7"/>
      <c r="V401" s="8"/>
      <c r="W401" s="7"/>
      <c r="X401" s="7"/>
      <c r="Y401" s="8"/>
      <c r="Z401" s="7"/>
      <c r="AA401" s="8"/>
    </row>
    <row r="402" spans="4:27" ht="14.25" thickTop="1" thickBot="1">
      <c r="D402" s="66"/>
      <c r="E402" s="51" t="s">
        <v>255</v>
      </c>
      <c r="F402" s="7"/>
      <c r="G402" s="8"/>
      <c r="H402" s="7"/>
      <c r="I402" s="6"/>
      <c r="J402" s="7"/>
      <c r="K402" s="8"/>
      <c r="L402" s="7"/>
      <c r="M402" s="8"/>
      <c r="N402" s="7"/>
      <c r="O402" s="8"/>
      <c r="P402" s="7"/>
      <c r="Q402" s="7"/>
      <c r="R402" s="8"/>
      <c r="S402" s="7"/>
      <c r="T402" s="9"/>
      <c r="U402" s="7"/>
      <c r="V402" s="8"/>
      <c r="W402" s="7"/>
      <c r="X402" s="7"/>
      <c r="Y402" s="8"/>
      <c r="Z402" s="7"/>
      <c r="AA402" s="8"/>
    </row>
    <row r="403" spans="4:27" ht="14.25" thickTop="1" thickBot="1">
      <c r="D403" s="66"/>
      <c r="E403" s="51" t="s">
        <v>256</v>
      </c>
      <c r="F403" s="7"/>
      <c r="G403" s="8"/>
      <c r="H403" s="7"/>
      <c r="I403" s="6"/>
      <c r="J403" s="7"/>
      <c r="K403" s="8"/>
      <c r="L403" s="7"/>
      <c r="M403" s="8"/>
      <c r="N403" s="7"/>
      <c r="O403" s="8"/>
      <c r="P403" s="7"/>
      <c r="Q403" s="7"/>
      <c r="R403" s="8"/>
      <c r="S403" s="7"/>
      <c r="T403" s="9"/>
      <c r="U403" s="7"/>
      <c r="V403" s="8"/>
      <c r="W403" s="7"/>
      <c r="X403" s="7"/>
      <c r="Y403" s="8"/>
      <c r="Z403" s="7"/>
      <c r="AA403" s="8"/>
    </row>
    <row r="404" spans="4:27" ht="14.25" thickTop="1" thickBot="1">
      <c r="D404" s="66"/>
      <c r="E404" s="51" t="s">
        <v>226</v>
      </c>
      <c r="F404" s="7"/>
      <c r="G404" s="8"/>
      <c r="H404" s="7"/>
      <c r="I404" s="6"/>
      <c r="J404" s="7"/>
      <c r="K404" s="8"/>
      <c r="L404" s="7"/>
      <c r="M404" s="8"/>
      <c r="N404" s="7"/>
      <c r="O404" s="8"/>
      <c r="P404" s="7"/>
      <c r="Q404" s="7"/>
      <c r="R404" s="8"/>
      <c r="S404" s="7"/>
      <c r="T404" s="9"/>
      <c r="U404" s="7"/>
      <c r="V404" s="8"/>
      <c r="W404" s="7"/>
      <c r="X404" s="7"/>
      <c r="Y404" s="8"/>
      <c r="Z404" s="7"/>
      <c r="AA404" s="8"/>
    </row>
    <row r="405" spans="4:27" ht="14.25" thickTop="1" thickBot="1">
      <c r="D405" s="66"/>
      <c r="E405" s="51" t="s">
        <v>159</v>
      </c>
      <c r="F405" s="7"/>
      <c r="G405" s="8"/>
      <c r="H405" s="7"/>
      <c r="I405" s="6"/>
      <c r="J405" s="7"/>
      <c r="K405" s="8"/>
      <c r="L405" s="7"/>
      <c r="M405" s="8"/>
      <c r="N405" s="7"/>
      <c r="O405" s="8"/>
      <c r="P405" s="7"/>
      <c r="Q405" s="7"/>
      <c r="R405" s="8"/>
      <c r="S405" s="7"/>
      <c r="T405" s="9"/>
      <c r="U405" s="7"/>
      <c r="V405" s="8"/>
      <c r="W405" s="7"/>
      <c r="X405" s="7"/>
      <c r="Y405" s="8"/>
      <c r="Z405" s="7"/>
      <c r="AA405" s="8"/>
    </row>
    <row r="406" spans="4:27" ht="14.25" thickTop="1" thickBot="1">
      <c r="D406" s="66"/>
      <c r="E406" s="51" t="s">
        <v>227</v>
      </c>
      <c r="F406" s="7"/>
      <c r="G406" s="8"/>
      <c r="H406" s="7"/>
      <c r="I406" s="6"/>
      <c r="J406" s="7"/>
      <c r="K406" s="8"/>
      <c r="L406" s="7"/>
      <c r="M406" s="8"/>
      <c r="N406" s="7"/>
      <c r="O406" s="8"/>
      <c r="P406" s="7"/>
      <c r="Q406" s="7"/>
      <c r="R406" s="8"/>
      <c r="S406" s="7"/>
      <c r="T406" s="9"/>
      <c r="U406" s="7"/>
      <c r="V406" s="8"/>
      <c r="W406" s="7"/>
      <c r="X406" s="7"/>
      <c r="Y406" s="8"/>
      <c r="Z406" s="7"/>
      <c r="AA406" s="8"/>
    </row>
    <row r="407" spans="4:27" ht="14.25" thickTop="1" thickBot="1">
      <c r="D407" s="66"/>
      <c r="E407" s="51" t="s">
        <v>160</v>
      </c>
      <c r="F407" s="7"/>
      <c r="G407" s="8"/>
      <c r="H407" s="7"/>
      <c r="I407" s="6"/>
      <c r="J407" s="7"/>
      <c r="K407" s="8"/>
      <c r="L407" s="7"/>
      <c r="M407" s="8"/>
      <c r="N407" s="7"/>
      <c r="O407" s="8"/>
      <c r="P407" s="7"/>
      <c r="Q407" s="7"/>
      <c r="R407" s="8"/>
      <c r="S407" s="7"/>
      <c r="T407" s="9"/>
      <c r="U407" s="7"/>
      <c r="V407" s="8"/>
      <c r="W407" s="7"/>
      <c r="X407" s="7"/>
      <c r="Y407" s="8"/>
      <c r="Z407" s="7"/>
      <c r="AA407" s="8"/>
    </row>
    <row r="408" spans="4:27" ht="14.25" thickTop="1" thickBot="1">
      <c r="D408" s="66"/>
      <c r="E408" s="51" t="s">
        <v>257</v>
      </c>
      <c r="F408" s="7"/>
      <c r="G408" s="8"/>
      <c r="H408" s="7"/>
      <c r="I408" s="6"/>
      <c r="J408" s="7"/>
      <c r="K408" s="8"/>
      <c r="L408" s="7"/>
      <c r="M408" s="8"/>
      <c r="N408" s="7"/>
      <c r="O408" s="8"/>
      <c r="P408" s="7"/>
      <c r="Q408" s="7"/>
      <c r="R408" s="8"/>
      <c r="S408" s="7"/>
      <c r="T408" s="9"/>
      <c r="U408" s="7"/>
      <c r="V408" s="8"/>
      <c r="W408" s="7"/>
      <c r="X408" s="7"/>
      <c r="Y408" s="8"/>
      <c r="Z408" s="7"/>
      <c r="AA408" s="8"/>
    </row>
    <row r="409" spans="4:27" ht="14.25" thickTop="1" thickBot="1">
      <c r="D409" s="66"/>
      <c r="E409" s="51" t="s">
        <v>161</v>
      </c>
      <c r="F409" s="7"/>
      <c r="G409" s="8"/>
      <c r="H409" s="7"/>
      <c r="I409" s="6"/>
      <c r="J409" s="7"/>
      <c r="K409" s="8"/>
      <c r="L409" s="7"/>
      <c r="M409" s="8"/>
      <c r="N409" s="7"/>
      <c r="O409" s="8"/>
      <c r="P409" s="7"/>
      <c r="Q409" s="7"/>
      <c r="R409" s="8"/>
      <c r="S409" s="7"/>
      <c r="T409" s="9"/>
      <c r="U409" s="7"/>
      <c r="V409" s="8"/>
      <c r="W409" s="7"/>
      <c r="X409" s="7"/>
      <c r="Y409" s="8"/>
      <c r="Z409" s="7"/>
      <c r="AA409" s="8"/>
    </row>
    <row r="410" spans="4:27" ht="14.25" thickTop="1" thickBot="1">
      <c r="D410" s="66"/>
      <c r="E410" s="51" t="s">
        <v>1142</v>
      </c>
      <c r="F410" s="7"/>
      <c r="G410" s="8"/>
      <c r="H410" s="7"/>
      <c r="I410" s="6"/>
      <c r="J410" s="7"/>
      <c r="K410" s="8"/>
      <c r="L410" s="7"/>
      <c r="M410" s="8"/>
      <c r="N410" s="7"/>
      <c r="O410" s="8"/>
      <c r="P410" s="7"/>
      <c r="Q410" s="7"/>
      <c r="R410" s="8"/>
      <c r="S410" s="7"/>
      <c r="T410" s="9"/>
      <c r="U410" s="7"/>
      <c r="V410" s="8"/>
      <c r="W410" s="7"/>
      <c r="X410" s="7"/>
      <c r="Y410" s="8"/>
      <c r="Z410" s="7"/>
      <c r="AA410" s="8"/>
    </row>
    <row r="411" spans="4:27" ht="14.25" thickTop="1" thickBot="1">
      <c r="D411" s="66"/>
      <c r="E411" s="51" t="s">
        <v>162</v>
      </c>
      <c r="F411" s="7"/>
      <c r="G411" s="8"/>
      <c r="H411" s="7"/>
      <c r="I411" s="6"/>
      <c r="J411" s="7"/>
      <c r="K411" s="8"/>
      <c r="L411" s="7"/>
      <c r="M411" s="8"/>
      <c r="N411" s="7"/>
      <c r="O411" s="8"/>
      <c r="P411" s="7"/>
      <c r="Q411" s="7"/>
      <c r="R411" s="8"/>
      <c r="S411" s="7"/>
      <c r="T411" s="9"/>
      <c r="U411" s="7"/>
      <c r="V411" s="8"/>
      <c r="W411" s="7"/>
      <c r="X411" s="7"/>
      <c r="Y411" s="8"/>
      <c r="Z411" s="7"/>
      <c r="AA411" s="8"/>
    </row>
    <row r="412" spans="4:27" ht="14.25" thickTop="1" thickBot="1">
      <c r="D412" s="66"/>
      <c r="E412" s="51" t="s">
        <v>259</v>
      </c>
      <c r="F412" s="7"/>
      <c r="G412" s="8"/>
      <c r="H412" s="7"/>
      <c r="I412" s="6"/>
      <c r="J412" s="7"/>
      <c r="K412" s="8"/>
      <c r="L412" s="7"/>
      <c r="M412" s="8"/>
      <c r="N412" s="7"/>
      <c r="O412" s="8"/>
      <c r="P412" s="7"/>
      <c r="Q412" s="7"/>
      <c r="R412" s="8"/>
      <c r="S412" s="7"/>
      <c r="T412" s="9"/>
      <c r="U412" s="7"/>
      <c r="V412" s="8"/>
      <c r="W412" s="7"/>
      <c r="X412" s="7"/>
      <c r="Y412" s="8"/>
      <c r="Z412" s="7"/>
      <c r="AA412" s="8"/>
    </row>
    <row r="413" spans="4:27" ht="14.25" thickTop="1" thickBot="1">
      <c r="D413" s="66"/>
      <c r="E413" s="51" t="s">
        <v>163</v>
      </c>
      <c r="F413" s="7"/>
      <c r="G413" s="8"/>
      <c r="H413" s="7"/>
      <c r="I413" s="6"/>
      <c r="J413" s="7"/>
      <c r="K413" s="8"/>
      <c r="L413" s="7"/>
      <c r="M413" s="8"/>
      <c r="N413" s="7"/>
      <c r="O413" s="8"/>
      <c r="P413" s="7"/>
      <c r="Q413" s="7"/>
      <c r="R413" s="8"/>
      <c r="S413" s="7"/>
      <c r="T413" s="9"/>
      <c r="U413" s="7"/>
      <c r="V413" s="8"/>
      <c r="W413" s="7"/>
      <c r="X413" s="7"/>
      <c r="Y413" s="8"/>
      <c r="Z413" s="7"/>
      <c r="AA413" s="8"/>
    </row>
    <row r="414" spans="4:27" ht="14.25" thickTop="1" thickBot="1">
      <c r="D414" s="66"/>
      <c r="E414" s="51" t="s">
        <v>164</v>
      </c>
      <c r="F414" s="7"/>
      <c r="G414" s="8"/>
      <c r="H414" s="7"/>
      <c r="I414" s="6"/>
      <c r="J414" s="7"/>
      <c r="K414" s="8"/>
      <c r="L414" s="7"/>
      <c r="M414" s="8"/>
      <c r="N414" s="7"/>
      <c r="O414" s="8"/>
      <c r="P414" s="7"/>
      <c r="Q414" s="7"/>
      <c r="R414" s="8"/>
      <c r="S414" s="7"/>
      <c r="T414" s="9"/>
      <c r="U414" s="7"/>
      <c r="V414" s="8"/>
      <c r="W414" s="7"/>
      <c r="X414" s="7"/>
      <c r="Y414" s="8"/>
      <c r="Z414" s="7"/>
      <c r="AA414" s="8"/>
    </row>
    <row r="415" spans="4:27" ht="14.25" thickTop="1" thickBot="1">
      <c r="D415" s="66"/>
      <c r="E415" s="51" t="s">
        <v>1045</v>
      </c>
      <c r="F415" s="7"/>
      <c r="G415" s="8"/>
      <c r="H415" s="7"/>
      <c r="I415" s="6"/>
      <c r="J415" s="7"/>
      <c r="K415" s="8"/>
      <c r="L415" s="7"/>
      <c r="M415" s="8"/>
      <c r="N415" s="7"/>
      <c r="O415" s="8"/>
      <c r="P415" s="7"/>
      <c r="Q415" s="7"/>
      <c r="R415" s="8"/>
      <c r="S415" s="7"/>
      <c r="T415" s="9"/>
      <c r="U415" s="7"/>
      <c r="V415" s="8"/>
      <c r="W415" s="7"/>
      <c r="X415" s="7"/>
      <c r="Y415" s="8"/>
      <c r="Z415" s="7"/>
      <c r="AA415" s="8"/>
    </row>
    <row r="416" spans="4:27" ht="14.25" thickTop="1" thickBot="1">
      <c r="D416" s="66"/>
      <c r="E416" s="51" t="s">
        <v>978</v>
      </c>
      <c r="F416" s="7"/>
      <c r="G416" s="8"/>
      <c r="H416" s="7"/>
      <c r="I416" s="6"/>
      <c r="J416" s="7"/>
      <c r="K416" s="8"/>
      <c r="L416" s="7"/>
      <c r="M416" s="8"/>
      <c r="N416" s="7"/>
      <c r="O416" s="8"/>
      <c r="P416" s="7"/>
      <c r="Q416" s="7"/>
      <c r="R416" s="8"/>
      <c r="S416" s="7"/>
      <c r="T416" s="9"/>
      <c r="U416" s="7"/>
      <c r="V416" s="8"/>
      <c r="W416" s="7"/>
      <c r="X416" s="7"/>
      <c r="Y416" s="8"/>
      <c r="Z416" s="7"/>
      <c r="AA416" s="8"/>
    </row>
    <row r="417" spans="4:27" ht="14.25" thickTop="1" thickBot="1">
      <c r="D417" s="66"/>
      <c r="E417" s="51" t="s">
        <v>979</v>
      </c>
      <c r="F417" s="7"/>
      <c r="G417" s="8"/>
      <c r="H417" s="7"/>
      <c r="I417" s="6"/>
      <c r="J417" s="7"/>
      <c r="K417" s="8"/>
      <c r="L417" s="7"/>
      <c r="M417" s="8"/>
      <c r="N417" s="7"/>
      <c r="O417" s="8"/>
      <c r="P417" s="7"/>
      <c r="Q417" s="7"/>
      <c r="R417" s="8"/>
      <c r="S417" s="7"/>
      <c r="T417" s="9"/>
      <c r="U417" s="7"/>
      <c r="V417" s="8"/>
      <c r="W417" s="7"/>
      <c r="X417" s="7"/>
      <c r="Y417" s="8"/>
      <c r="Z417" s="7"/>
      <c r="AA417" s="8"/>
    </row>
    <row r="418" spans="4:27" ht="14.25" thickTop="1" thickBot="1">
      <c r="D418" s="66"/>
      <c r="E418" s="51" t="s">
        <v>712</v>
      </c>
      <c r="F418" s="7"/>
      <c r="G418" s="8"/>
      <c r="H418" s="7"/>
      <c r="I418" s="6"/>
      <c r="J418" s="7"/>
      <c r="K418" s="8"/>
      <c r="L418" s="7"/>
      <c r="M418" s="8"/>
      <c r="N418" s="7"/>
      <c r="O418" s="8"/>
      <c r="P418" s="7"/>
      <c r="Q418" s="7"/>
      <c r="R418" s="8"/>
      <c r="S418" s="7"/>
      <c r="T418" s="9"/>
      <c r="U418" s="7"/>
      <c r="V418" s="8"/>
      <c r="W418" s="7"/>
      <c r="X418" s="7"/>
      <c r="Y418" s="8"/>
      <c r="Z418" s="7"/>
      <c r="AA418" s="8"/>
    </row>
    <row r="419" spans="4:27" ht="14.25" thickTop="1" thickBot="1">
      <c r="D419" s="66"/>
      <c r="E419" s="51" t="s">
        <v>748</v>
      </c>
      <c r="F419" s="7"/>
      <c r="G419" s="8"/>
      <c r="H419" s="7"/>
      <c r="I419" s="6"/>
      <c r="J419" s="7"/>
      <c r="K419" s="8"/>
      <c r="L419" s="7"/>
      <c r="M419" s="8"/>
      <c r="N419" s="7"/>
      <c r="O419" s="8"/>
      <c r="P419" s="7"/>
      <c r="Q419" s="7"/>
      <c r="R419" s="8"/>
      <c r="S419" s="7"/>
      <c r="T419" s="9"/>
      <c r="U419" s="7"/>
      <c r="V419" s="8"/>
      <c r="W419" s="7"/>
      <c r="X419" s="7"/>
      <c r="Y419" s="8"/>
      <c r="Z419" s="7"/>
      <c r="AA419" s="8"/>
    </row>
    <row r="420" spans="4:27" ht="14.25" thickTop="1" thickBot="1">
      <c r="D420" s="66"/>
      <c r="E420" s="51" t="s">
        <v>702</v>
      </c>
      <c r="F420" s="7"/>
      <c r="G420" s="8"/>
      <c r="H420" s="7"/>
      <c r="I420" s="6"/>
      <c r="J420" s="7"/>
      <c r="K420" s="8"/>
      <c r="L420" s="7"/>
      <c r="M420" s="8"/>
      <c r="N420" s="7"/>
      <c r="O420" s="8"/>
      <c r="P420" s="7"/>
      <c r="Q420" s="7"/>
      <c r="R420" s="8"/>
      <c r="S420" s="7"/>
      <c r="T420" s="9"/>
      <c r="U420" s="7"/>
      <c r="V420" s="8"/>
      <c r="W420" s="7"/>
      <c r="X420" s="7"/>
      <c r="Y420" s="8"/>
      <c r="Z420" s="7"/>
      <c r="AA420" s="8"/>
    </row>
    <row r="421" spans="4:27" ht="14.25" thickTop="1" thickBot="1">
      <c r="D421" s="66"/>
      <c r="E421" s="51" t="s">
        <v>963</v>
      </c>
      <c r="F421" s="7"/>
      <c r="G421" s="8"/>
      <c r="H421" s="7"/>
      <c r="I421" s="6"/>
      <c r="J421" s="7"/>
      <c r="K421" s="8"/>
      <c r="L421" s="7"/>
      <c r="M421" s="8"/>
      <c r="N421" s="7"/>
      <c r="O421" s="8"/>
      <c r="P421" s="7"/>
      <c r="Q421" s="7"/>
      <c r="R421" s="8"/>
      <c r="S421" s="7"/>
      <c r="T421" s="9"/>
      <c r="U421" s="7"/>
      <c r="V421" s="8"/>
      <c r="W421" s="7"/>
      <c r="X421" s="7"/>
      <c r="Y421" s="8"/>
      <c r="Z421" s="7"/>
      <c r="AA421" s="8"/>
    </row>
    <row r="422" spans="4:27" ht="14.25" thickTop="1" thickBot="1">
      <c r="D422" s="66"/>
      <c r="E422" s="51" t="s">
        <v>1301</v>
      </c>
      <c r="F422" s="7"/>
      <c r="G422" s="8"/>
      <c r="H422" s="7"/>
      <c r="I422" s="6"/>
      <c r="J422" s="7"/>
      <c r="K422" s="8"/>
      <c r="L422" s="7"/>
      <c r="M422" s="8"/>
      <c r="N422" s="7"/>
      <c r="O422" s="8"/>
      <c r="P422" s="7"/>
      <c r="Q422" s="7"/>
      <c r="R422" s="8"/>
      <c r="S422" s="7"/>
      <c r="T422" s="9"/>
      <c r="U422" s="7"/>
      <c r="V422" s="8"/>
      <c r="W422" s="7"/>
      <c r="X422" s="7"/>
      <c r="Y422" s="8"/>
      <c r="Z422" s="7"/>
      <c r="AA422" s="8"/>
    </row>
    <row r="423" spans="4:27" ht="14.25" thickTop="1" thickBot="1">
      <c r="D423" s="66"/>
      <c r="E423" s="51" t="s">
        <v>1098</v>
      </c>
      <c r="F423" s="7"/>
      <c r="G423" s="8"/>
      <c r="H423" s="7"/>
      <c r="I423" s="6"/>
      <c r="J423" s="7"/>
      <c r="K423" s="8"/>
      <c r="L423" s="7"/>
      <c r="M423" s="8"/>
      <c r="N423" s="7"/>
      <c r="O423" s="8"/>
      <c r="P423" s="7"/>
      <c r="Q423" s="7"/>
      <c r="R423" s="8"/>
      <c r="S423" s="7"/>
      <c r="T423" s="9"/>
      <c r="U423" s="7"/>
      <c r="V423" s="8"/>
      <c r="W423" s="7"/>
      <c r="X423" s="7"/>
      <c r="Y423" s="8"/>
      <c r="Z423" s="7"/>
      <c r="AA423" s="8"/>
    </row>
    <row r="424" spans="4:27" ht="14.25" thickTop="1" thickBot="1">
      <c r="D424" s="66"/>
      <c r="E424" s="51" t="s">
        <v>166</v>
      </c>
      <c r="F424" s="7"/>
      <c r="G424" s="8"/>
      <c r="H424" s="7"/>
      <c r="I424" s="6"/>
      <c r="J424" s="7"/>
      <c r="K424" s="8"/>
      <c r="L424" s="7"/>
      <c r="M424" s="8"/>
      <c r="N424" s="7"/>
      <c r="O424" s="8"/>
      <c r="P424" s="7"/>
      <c r="Q424" s="7"/>
      <c r="R424" s="8"/>
      <c r="S424" s="7"/>
      <c r="T424" s="9"/>
      <c r="U424" s="7"/>
      <c r="V424" s="8"/>
      <c r="W424" s="7"/>
      <c r="X424" s="7"/>
      <c r="Y424" s="8"/>
      <c r="Z424" s="7"/>
      <c r="AA424" s="8"/>
    </row>
    <row r="425" spans="4:27" ht="14.25" thickTop="1" thickBot="1">
      <c r="D425" s="66"/>
      <c r="E425" s="51" t="s">
        <v>1123</v>
      </c>
      <c r="F425" s="7"/>
      <c r="G425" s="8"/>
      <c r="H425" s="7"/>
      <c r="I425" s="6"/>
      <c r="J425" s="7"/>
      <c r="K425" s="8"/>
      <c r="L425" s="7"/>
      <c r="M425" s="8"/>
      <c r="N425" s="7"/>
      <c r="O425" s="8"/>
      <c r="P425" s="7"/>
      <c r="Q425" s="7"/>
      <c r="R425" s="8"/>
      <c r="S425" s="7"/>
      <c r="T425" s="9"/>
      <c r="U425" s="7"/>
      <c r="V425" s="8"/>
      <c r="W425" s="7"/>
      <c r="X425" s="7"/>
      <c r="Y425" s="8"/>
      <c r="Z425" s="7"/>
      <c r="AA425" s="8"/>
    </row>
    <row r="426" spans="4:27" ht="14.25" thickTop="1" thickBot="1">
      <c r="D426" s="66"/>
      <c r="E426" s="51" t="s">
        <v>769</v>
      </c>
      <c r="F426" s="7"/>
      <c r="G426" s="8"/>
      <c r="H426" s="7"/>
      <c r="I426" s="6"/>
      <c r="J426" s="7"/>
      <c r="K426" s="8"/>
      <c r="L426" s="7"/>
      <c r="M426" s="8"/>
      <c r="N426" s="7"/>
      <c r="O426" s="8"/>
      <c r="P426" s="7"/>
      <c r="Q426" s="7"/>
      <c r="R426" s="8"/>
      <c r="S426" s="7"/>
      <c r="T426" s="9"/>
      <c r="U426" s="7"/>
      <c r="V426" s="8"/>
      <c r="W426" s="7"/>
      <c r="X426" s="7"/>
      <c r="Y426" s="8"/>
      <c r="Z426" s="7"/>
      <c r="AA426" s="8"/>
    </row>
    <row r="427" spans="4:27" ht="14.25" thickTop="1" thickBot="1">
      <c r="D427" s="66"/>
      <c r="E427" s="51" t="s">
        <v>207</v>
      </c>
      <c r="F427" s="7"/>
      <c r="G427" s="8"/>
      <c r="H427" s="7"/>
      <c r="I427" s="6"/>
      <c r="J427" s="7"/>
      <c r="K427" s="8"/>
      <c r="L427" s="7"/>
      <c r="M427" s="8"/>
      <c r="N427" s="7"/>
      <c r="O427" s="8"/>
      <c r="P427" s="7"/>
      <c r="Q427" s="7"/>
      <c r="R427" s="8"/>
      <c r="S427" s="7"/>
      <c r="T427" s="9"/>
      <c r="U427" s="7"/>
      <c r="V427" s="8"/>
      <c r="W427" s="7"/>
      <c r="X427" s="7"/>
      <c r="Y427" s="8"/>
      <c r="Z427" s="7"/>
      <c r="AA427" s="8"/>
    </row>
    <row r="428" spans="4:27" ht="14.25" thickTop="1" thickBot="1">
      <c r="D428" s="66"/>
      <c r="E428" s="51" t="s">
        <v>208</v>
      </c>
      <c r="F428" s="7"/>
      <c r="G428" s="8"/>
      <c r="H428" s="7"/>
      <c r="I428" s="6"/>
      <c r="J428" s="7"/>
      <c r="K428" s="8"/>
      <c r="L428" s="7"/>
      <c r="M428" s="8"/>
      <c r="N428" s="7"/>
      <c r="O428" s="8"/>
      <c r="P428" s="7"/>
      <c r="Q428" s="7"/>
      <c r="R428" s="8"/>
      <c r="S428" s="7"/>
      <c r="T428" s="9"/>
      <c r="U428" s="7"/>
      <c r="V428" s="8"/>
      <c r="W428" s="7"/>
      <c r="X428" s="7"/>
      <c r="Y428" s="8"/>
      <c r="Z428" s="7"/>
      <c r="AA428" s="8"/>
    </row>
    <row r="429" spans="4:27" ht="14.25" thickTop="1" thickBot="1">
      <c r="D429" s="66"/>
      <c r="E429" s="51" t="s">
        <v>1136</v>
      </c>
      <c r="F429" s="7"/>
      <c r="G429" s="8"/>
      <c r="H429" s="7"/>
      <c r="I429" s="6"/>
      <c r="J429" s="7"/>
      <c r="K429" s="8"/>
      <c r="L429" s="7"/>
      <c r="M429" s="8"/>
      <c r="N429" s="7"/>
      <c r="O429" s="8"/>
      <c r="P429" s="7"/>
      <c r="Q429" s="7"/>
      <c r="R429" s="8"/>
      <c r="S429" s="7"/>
      <c r="T429" s="9"/>
      <c r="U429" s="7"/>
      <c r="V429" s="8"/>
      <c r="W429" s="7"/>
      <c r="X429" s="7"/>
      <c r="Y429" s="8"/>
      <c r="Z429" s="7"/>
      <c r="AA429" s="8"/>
    </row>
    <row r="430" spans="4:27" ht="14.25" thickTop="1" thickBot="1">
      <c r="D430" s="66"/>
      <c r="E430" s="51" t="s">
        <v>1069</v>
      </c>
      <c r="F430" s="7"/>
      <c r="G430" s="8"/>
      <c r="H430" s="7"/>
      <c r="I430" s="6"/>
      <c r="J430" s="7"/>
      <c r="K430" s="8"/>
      <c r="L430" s="7"/>
      <c r="M430" s="8"/>
      <c r="N430" s="7"/>
      <c r="O430" s="8"/>
      <c r="P430" s="7"/>
      <c r="Q430" s="7"/>
      <c r="R430" s="8"/>
      <c r="S430" s="7"/>
      <c r="T430" s="9"/>
      <c r="U430" s="7"/>
      <c r="V430" s="8"/>
      <c r="W430" s="7"/>
      <c r="X430" s="7"/>
      <c r="Y430" s="8"/>
      <c r="Z430" s="7"/>
      <c r="AA430" s="8"/>
    </row>
    <row r="431" spans="4:27" ht="14.25" thickTop="1" thickBot="1">
      <c r="D431" s="66"/>
      <c r="E431" s="51" t="s">
        <v>1122</v>
      </c>
      <c r="F431" s="7"/>
      <c r="G431" s="8"/>
      <c r="H431" s="7"/>
      <c r="I431" s="6"/>
      <c r="J431" s="7"/>
      <c r="K431" s="8"/>
      <c r="L431" s="7"/>
      <c r="M431" s="8"/>
      <c r="N431" s="7"/>
      <c r="O431" s="8"/>
      <c r="P431" s="7"/>
      <c r="Q431" s="7"/>
      <c r="R431" s="8"/>
      <c r="S431" s="7"/>
      <c r="T431" s="9"/>
      <c r="U431" s="7"/>
      <c r="V431" s="8"/>
      <c r="W431" s="7"/>
      <c r="X431" s="7"/>
      <c r="Y431" s="8"/>
      <c r="Z431" s="7"/>
      <c r="AA431" s="8"/>
    </row>
    <row r="432" spans="4:27" ht="14.25" thickTop="1" thickBot="1">
      <c r="D432" s="66"/>
      <c r="E432" s="51" t="s">
        <v>228</v>
      </c>
      <c r="F432" s="7"/>
      <c r="G432" s="8"/>
      <c r="H432" s="7"/>
      <c r="I432" s="6"/>
      <c r="J432" s="7"/>
      <c r="K432" s="8"/>
      <c r="L432" s="7"/>
      <c r="M432" s="8"/>
      <c r="N432" s="7"/>
      <c r="O432" s="8"/>
      <c r="P432" s="7"/>
      <c r="Q432" s="7"/>
      <c r="R432" s="8"/>
      <c r="S432" s="7"/>
      <c r="T432" s="9"/>
      <c r="U432" s="7"/>
      <c r="V432" s="8"/>
      <c r="W432" s="7"/>
      <c r="X432" s="7"/>
      <c r="Y432" s="8"/>
      <c r="Z432" s="7"/>
      <c r="AA432" s="8"/>
    </row>
    <row r="433" spans="4:27" ht="14.25" thickTop="1" thickBot="1">
      <c r="D433" s="66"/>
      <c r="E433" s="51" t="s">
        <v>211</v>
      </c>
      <c r="F433" s="7"/>
      <c r="G433" s="8"/>
      <c r="H433" s="7"/>
      <c r="I433" s="6"/>
      <c r="J433" s="7"/>
      <c r="K433" s="8"/>
      <c r="L433" s="7"/>
      <c r="M433" s="8"/>
      <c r="N433" s="7"/>
      <c r="O433" s="8"/>
      <c r="P433" s="7"/>
      <c r="Q433" s="7"/>
      <c r="R433" s="8"/>
      <c r="S433" s="7"/>
      <c r="T433" s="9"/>
      <c r="U433" s="7"/>
      <c r="V433" s="8"/>
      <c r="W433" s="7"/>
      <c r="X433" s="7"/>
      <c r="Y433" s="8"/>
      <c r="Z433" s="7"/>
      <c r="AA433" s="8"/>
    </row>
    <row r="434" spans="4:27" ht="14.25" thickTop="1" thickBot="1">
      <c r="D434" s="66"/>
      <c r="E434" s="51" t="s">
        <v>212</v>
      </c>
      <c r="F434" s="7"/>
      <c r="G434" s="8"/>
      <c r="H434" s="7"/>
      <c r="I434" s="6"/>
      <c r="J434" s="7"/>
      <c r="K434" s="8"/>
      <c r="L434" s="7"/>
      <c r="M434" s="8"/>
      <c r="N434" s="7"/>
      <c r="O434" s="8"/>
      <c r="P434" s="7"/>
      <c r="Q434" s="7"/>
      <c r="R434" s="8"/>
      <c r="S434" s="7"/>
      <c r="T434" s="9"/>
      <c r="U434" s="7"/>
      <c r="V434" s="8"/>
      <c r="W434" s="7"/>
      <c r="X434" s="7"/>
      <c r="Y434" s="8"/>
      <c r="Z434" s="7"/>
      <c r="AA434" s="8"/>
    </row>
    <row r="435" spans="4:27" ht="14.25" thickTop="1" thickBot="1">
      <c r="D435" s="66"/>
      <c r="E435" s="51" t="s">
        <v>260</v>
      </c>
      <c r="F435" s="7"/>
      <c r="G435" s="8"/>
      <c r="H435" s="7"/>
      <c r="I435" s="6"/>
      <c r="J435" s="7"/>
      <c r="K435" s="8"/>
      <c r="L435" s="7"/>
      <c r="M435" s="8"/>
      <c r="N435" s="7"/>
      <c r="O435" s="8"/>
      <c r="P435" s="7"/>
      <c r="Q435" s="7"/>
      <c r="R435" s="8"/>
      <c r="S435" s="7"/>
      <c r="T435" s="9"/>
      <c r="U435" s="7"/>
      <c r="V435" s="8"/>
      <c r="W435" s="7"/>
      <c r="X435" s="7"/>
      <c r="Y435" s="8"/>
      <c r="Z435" s="7"/>
      <c r="AA435" s="8"/>
    </row>
    <row r="436" spans="4:27" ht="14.25" thickTop="1" thickBot="1">
      <c r="D436" s="66"/>
      <c r="E436" s="51" t="s">
        <v>167</v>
      </c>
      <c r="F436" s="7"/>
      <c r="G436" s="8"/>
      <c r="H436" s="7"/>
      <c r="I436" s="6"/>
      <c r="J436" s="7"/>
      <c r="K436" s="8"/>
      <c r="L436" s="7"/>
      <c r="M436" s="8"/>
      <c r="N436" s="7"/>
      <c r="O436" s="8"/>
      <c r="P436" s="7"/>
      <c r="Q436" s="7"/>
      <c r="R436" s="8"/>
      <c r="S436" s="7"/>
      <c r="T436" s="9"/>
      <c r="U436" s="7"/>
      <c r="V436" s="8"/>
      <c r="W436" s="7"/>
      <c r="X436" s="7"/>
      <c r="Y436" s="8"/>
      <c r="Z436" s="7"/>
      <c r="AA436" s="8"/>
    </row>
    <row r="437" spans="4:27" ht="14.25" thickTop="1" thickBot="1">
      <c r="D437" s="66"/>
      <c r="E437" s="51" t="s">
        <v>168</v>
      </c>
      <c r="F437" s="7"/>
      <c r="G437" s="8"/>
      <c r="H437" s="7"/>
      <c r="I437" s="6"/>
      <c r="J437" s="7"/>
      <c r="K437" s="8"/>
      <c r="L437" s="7"/>
      <c r="M437" s="8"/>
      <c r="N437" s="7"/>
      <c r="O437" s="8"/>
      <c r="P437" s="7"/>
      <c r="Q437" s="7"/>
      <c r="R437" s="8"/>
      <c r="S437" s="7"/>
      <c r="T437" s="9"/>
      <c r="U437" s="7"/>
      <c r="V437" s="8"/>
      <c r="W437" s="7"/>
      <c r="X437" s="7"/>
      <c r="Y437" s="8"/>
      <c r="Z437" s="7"/>
      <c r="AA437" s="8"/>
    </row>
    <row r="438" spans="4:27" ht="14.25" thickTop="1" thickBot="1">
      <c r="D438" s="66"/>
      <c r="E438" s="51" t="s">
        <v>169</v>
      </c>
      <c r="F438" s="7"/>
      <c r="G438" s="8"/>
      <c r="H438" s="7"/>
      <c r="I438" s="6"/>
      <c r="J438" s="7"/>
      <c r="K438" s="8"/>
      <c r="L438" s="7"/>
      <c r="M438" s="8"/>
      <c r="N438" s="7"/>
      <c r="O438" s="8"/>
      <c r="P438" s="7"/>
      <c r="Q438" s="7"/>
      <c r="R438" s="8"/>
      <c r="S438" s="7"/>
      <c r="T438" s="9"/>
      <c r="U438" s="7"/>
      <c r="V438" s="8"/>
      <c r="W438" s="7"/>
      <c r="X438" s="7"/>
      <c r="Y438" s="8"/>
      <c r="Z438" s="7"/>
      <c r="AA438" s="8"/>
    </row>
    <row r="439" spans="4:27" ht="14.25" thickTop="1" thickBot="1">
      <c r="D439" s="66"/>
      <c r="E439" s="51" t="s">
        <v>261</v>
      </c>
      <c r="F439" s="7"/>
      <c r="G439" s="8"/>
      <c r="H439" s="7"/>
      <c r="I439" s="6"/>
      <c r="J439" s="7"/>
      <c r="K439" s="8"/>
      <c r="L439" s="7"/>
      <c r="M439" s="8"/>
      <c r="N439" s="7"/>
      <c r="O439" s="8"/>
      <c r="P439" s="7"/>
      <c r="Q439" s="7"/>
      <c r="R439" s="8"/>
      <c r="S439" s="7"/>
      <c r="T439" s="9"/>
      <c r="U439" s="7"/>
      <c r="V439" s="8"/>
      <c r="W439" s="7"/>
      <c r="X439" s="7"/>
      <c r="Y439" s="8"/>
      <c r="Z439" s="7"/>
      <c r="AA439" s="8"/>
    </row>
    <row r="440" spans="4:27" ht="14.25" thickTop="1" thickBot="1">
      <c r="D440" s="66"/>
      <c r="E440" s="51" t="s">
        <v>229</v>
      </c>
      <c r="F440" s="7"/>
      <c r="G440" s="8"/>
      <c r="H440" s="7"/>
      <c r="I440" s="6"/>
      <c r="J440" s="7"/>
      <c r="K440" s="8"/>
      <c r="L440" s="7"/>
      <c r="M440" s="8"/>
      <c r="N440" s="7"/>
      <c r="O440" s="8"/>
      <c r="P440" s="7"/>
      <c r="Q440" s="7"/>
      <c r="R440" s="8"/>
      <c r="S440" s="7"/>
      <c r="T440" s="9"/>
      <c r="U440" s="7"/>
      <c r="V440" s="8"/>
      <c r="W440" s="7"/>
      <c r="X440" s="7"/>
      <c r="Y440" s="8"/>
      <c r="Z440" s="7"/>
      <c r="AA440" s="8"/>
    </row>
    <row r="441" spans="4:27" ht="14.25" thickTop="1" thickBot="1">
      <c r="D441" s="66"/>
      <c r="E441" s="51" t="s">
        <v>170</v>
      </c>
      <c r="F441" s="7"/>
      <c r="G441" s="8"/>
      <c r="H441" s="7"/>
      <c r="I441" s="6"/>
      <c r="J441" s="7"/>
      <c r="K441" s="8"/>
      <c r="L441" s="7"/>
      <c r="M441" s="8"/>
      <c r="N441" s="7"/>
      <c r="O441" s="8"/>
      <c r="P441" s="7"/>
      <c r="Q441" s="7"/>
      <c r="R441" s="8"/>
      <c r="S441" s="7"/>
      <c r="T441" s="9"/>
      <c r="U441" s="7"/>
      <c r="V441" s="8"/>
      <c r="W441" s="7"/>
      <c r="X441" s="7"/>
      <c r="Y441" s="8"/>
      <c r="Z441" s="7"/>
      <c r="AA441" s="8"/>
    </row>
    <row r="442" spans="4:27" ht="14.25" thickTop="1" thickBot="1">
      <c r="D442" s="66"/>
      <c r="E442" s="51" t="s">
        <v>171</v>
      </c>
      <c r="F442" s="7"/>
      <c r="G442" s="8"/>
      <c r="H442" s="7"/>
      <c r="I442" s="6"/>
      <c r="J442" s="7"/>
      <c r="K442" s="8"/>
      <c r="L442" s="7"/>
      <c r="M442" s="8"/>
      <c r="N442" s="7"/>
      <c r="O442" s="8"/>
      <c r="P442" s="7"/>
      <c r="Q442" s="7"/>
      <c r="R442" s="8"/>
      <c r="S442" s="7"/>
      <c r="T442" s="9"/>
      <c r="U442" s="7"/>
      <c r="V442" s="8"/>
      <c r="W442" s="7"/>
      <c r="X442" s="7"/>
      <c r="Y442" s="8"/>
      <c r="Z442" s="7"/>
      <c r="AA442" s="8"/>
    </row>
    <row r="443" spans="4:27" ht="14.25" thickTop="1" thickBot="1">
      <c r="D443" s="66"/>
      <c r="E443" s="51" t="s">
        <v>262</v>
      </c>
      <c r="F443" s="7"/>
      <c r="G443" s="8"/>
      <c r="H443" s="7"/>
      <c r="I443" s="6"/>
      <c r="J443" s="7"/>
      <c r="K443" s="8"/>
      <c r="L443" s="7"/>
      <c r="M443" s="8"/>
      <c r="N443" s="7"/>
      <c r="O443" s="8"/>
      <c r="P443" s="7"/>
      <c r="Q443" s="7"/>
      <c r="R443" s="8"/>
      <c r="S443" s="7"/>
      <c r="T443" s="9"/>
      <c r="U443" s="7"/>
      <c r="V443" s="8"/>
      <c r="W443" s="7"/>
      <c r="X443" s="7"/>
      <c r="Y443" s="8"/>
      <c r="Z443" s="7"/>
      <c r="AA443" s="8"/>
    </row>
    <row r="444" spans="4:27" ht="14.25" thickTop="1" thickBot="1">
      <c r="D444" s="66"/>
      <c r="E444" s="51" t="s">
        <v>1031</v>
      </c>
      <c r="F444" s="7"/>
      <c r="G444" s="8"/>
      <c r="H444" s="7"/>
      <c r="I444" s="6"/>
      <c r="J444" s="7"/>
      <c r="K444" s="8"/>
      <c r="L444" s="7"/>
      <c r="M444" s="8"/>
      <c r="N444" s="7"/>
      <c r="O444" s="8"/>
      <c r="P444" s="7"/>
      <c r="Q444" s="7"/>
      <c r="R444" s="8"/>
      <c r="S444" s="7"/>
      <c r="T444" s="9"/>
      <c r="U444" s="7"/>
      <c r="V444" s="8"/>
      <c r="W444" s="7"/>
      <c r="X444" s="7"/>
      <c r="Y444" s="8"/>
      <c r="Z444" s="7"/>
      <c r="AA444" s="8"/>
    </row>
    <row r="445" spans="4:27" ht="14.25" thickTop="1" thickBot="1">
      <c r="D445" s="66"/>
      <c r="E445" s="51" t="s">
        <v>230</v>
      </c>
      <c r="F445" s="7"/>
      <c r="G445" s="8"/>
      <c r="H445" s="7"/>
      <c r="I445" s="6"/>
      <c r="J445" s="7"/>
      <c r="K445" s="8"/>
      <c r="L445" s="7"/>
      <c r="M445" s="8"/>
      <c r="N445" s="7"/>
      <c r="O445" s="8"/>
      <c r="P445" s="7"/>
      <c r="Q445" s="7"/>
      <c r="R445" s="8"/>
      <c r="S445" s="7"/>
      <c r="T445" s="9"/>
      <c r="U445" s="7"/>
      <c r="V445" s="8"/>
      <c r="W445" s="7"/>
      <c r="X445" s="7"/>
      <c r="Y445" s="8"/>
      <c r="Z445" s="7"/>
      <c r="AA445" s="8"/>
    </row>
    <row r="446" spans="4:27" ht="14.25" thickTop="1" thickBot="1">
      <c r="D446" s="66"/>
      <c r="E446" s="51" t="s">
        <v>263</v>
      </c>
      <c r="F446" s="7"/>
      <c r="G446" s="8"/>
      <c r="H446" s="7"/>
      <c r="I446" s="6"/>
      <c r="J446" s="7"/>
      <c r="K446" s="8"/>
      <c r="L446" s="7"/>
      <c r="M446" s="8"/>
      <c r="N446" s="7"/>
      <c r="O446" s="8"/>
      <c r="P446" s="7"/>
      <c r="Q446" s="7"/>
      <c r="R446" s="8"/>
      <c r="S446" s="7"/>
      <c r="T446" s="9"/>
      <c r="U446" s="7"/>
      <c r="V446" s="8"/>
      <c r="W446" s="7"/>
      <c r="X446" s="7"/>
      <c r="Y446" s="8"/>
      <c r="Z446" s="7"/>
      <c r="AA446" s="8"/>
    </row>
    <row r="447" spans="4:27" ht="14.25" thickTop="1" thickBot="1">
      <c r="D447" s="66"/>
      <c r="E447" s="51" t="s">
        <v>173</v>
      </c>
      <c r="F447" s="7"/>
      <c r="G447" s="8"/>
      <c r="H447" s="7"/>
      <c r="I447" s="6"/>
      <c r="J447" s="7"/>
      <c r="K447" s="8"/>
      <c r="L447" s="7"/>
      <c r="M447" s="8"/>
      <c r="N447" s="7"/>
      <c r="O447" s="8"/>
      <c r="P447" s="7"/>
      <c r="Q447" s="7"/>
      <c r="R447" s="8"/>
      <c r="S447" s="7"/>
      <c r="T447" s="9"/>
      <c r="U447" s="7"/>
      <c r="V447" s="8"/>
      <c r="W447" s="7"/>
      <c r="X447" s="7"/>
      <c r="Y447" s="8"/>
      <c r="Z447" s="7"/>
      <c r="AA447" s="8"/>
    </row>
    <row r="448" spans="4:27" ht="14.25" thickTop="1" thickBot="1">
      <c r="D448" s="66"/>
      <c r="E448" s="51" t="s">
        <v>264</v>
      </c>
      <c r="F448" s="7"/>
      <c r="G448" s="8"/>
      <c r="H448" s="7"/>
      <c r="I448" s="6"/>
      <c r="J448" s="7"/>
      <c r="K448" s="8"/>
      <c r="L448" s="7"/>
      <c r="M448" s="8"/>
      <c r="N448" s="7"/>
      <c r="O448" s="8"/>
      <c r="P448" s="7"/>
      <c r="Q448" s="7"/>
      <c r="R448" s="8"/>
      <c r="S448" s="7"/>
      <c r="T448" s="9"/>
      <c r="U448" s="7"/>
      <c r="V448" s="8"/>
      <c r="W448" s="7"/>
      <c r="X448" s="7"/>
      <c r="Y448" s="8"/>
      <c r="Z448" s="7"/>
      <c r="AA448" s="8"/>
    </row>
    <row r="449" spans="4:27" ht="14.25" thickTop="1" thickBot="1">
      <c r="D449" s="66"/>
      <c r="E449" s="51" t="s">
        <v>265</v>
      </c>
      <c r="F449" s="7"/>
      <c r="G449" s="8"/>
      <c r="H449" s="7"/>
      <c r="I449" s="6"/>
      <c r="J449" s="7"/>
      <c r="K449" s="8"/>
      <c r="L449" s="7"/>
      <c r="M449" s="8"/>
      <c r="N449" s="7"/>
      <c r="O449" s="8"/>
      <c r="P449" s="7"/>
      <c r="Q449" s="7"/>
      <c r="R449" s="8"/>
      <c r="S449" s="7"/>
      <c r="T449" s="9"/>
      <c r="U449" s="7"/>
      <c r="V449" s="8"/>
      <c r="W449" s="7"/>
      <c r="X449" s="7"/>
      <c r="Y449" s="8"/>
      <c r="Z449" s="7"/>
      <c r="AA449" s="8"/>
    </row>
    <row r="450" spans="4:27" ht="14.25" thickTop="1" thickBot="1">
      <c r="D450" s="66"/>
      <c r="E450" s="51" t="s">
        <v>174</v>
      </c>
      <c r="F450" s="7"/>
      <c r="G450" s="8"/>
      <c r="H450" s="7"/>
      <c r="I450" s="6"/>
      <c r="J450" s="7"/>
      <c r="K450" s="8"/>
      <c r="L450" s="7"/>
      <c r="M450" s="8"/>
      <c r="N450" s="7"/>
      <c r="O450" s="8"/>
      <c r="P450" s="7"/>
      <c r="Q450" s="7"/>
      <c r="R450" s="8"/>
      <c r="S450" s="7"/>
      <c r="T450" s="9"/>
      <c r="U450" s="7"/>
      <c r="V450" s="8"/>
      <c r="W450" s="7"/>
      <c r="X450" s="7"/>
      <c r="Y450" s="8"/>
      <c r="Z450" s="7"/>
      <c r="AA450" s="8"/>
    </row>
    <row r="451" spans="4:27" ht="14.25" thickTop="1" thickBot="1">
      <c r="D451" s="66"/>
      <c r="E451" s="51" t="s">
        <v>266</v>
      </c>
      <c r="F451" s="7"/>
      <c r="G451" s="8"/>
      <c r="H451" s="7"/>
      <c r="I451" s="6"/>
      <c r="J451" s="7"/>
      <c r="K451" s="8"/>
      <c r="L451" s="7"/>
      <c r="M451" s="8"/>
      <c r="N451" s="7"/>
      <c r="O451" s="8"/>
      <c r="P451" s="7"/>
      <c r="Q451" s="7"/>
      <c r="R451" s="8"/>
      <c r="S451" s="7"/>
      <c r="T451" s="9"/>
      <c r="U451" s="7"/>
      <c r="V451" s="8"/>
      <c r="W451" s="7"/>
      <c r="X451" s="7"/>
      <c r="Y451" s="8"/>
      <c r="Z451" s="7"/>
      <c r="AA451" s="8"/>
    </row>
    <row r="452" spans="4:27" ht="14.25" thickTop="1" thickBot="1">
      <c r="D452" s="66"/>
      <c r="E452" s="51" t="s">
        <v>267</v>
      </c>
      <c r="F452" s="7"/>
      <c r="G452" s="8"/>
      <c r="H452" s="7"/>
      <c r="I452" s="6"/>
      <c r="J452" s="7"/>
      <c r="K452" s="8"/>
      <c r="L452" s="7"/>
      <c r="M452" s="8"/>
      <c r="N452" s="7"/>
      <c r="O452" s="8"/>
      <c r="P452" s="7"/>
      <c r="Q452" s="7"/>
      <c r="R452" s="8"/>
      <c r="S452" s="7"/>
      <c r="T452" s="9"/>
      <c r="U452" s="7"/>
      <c r="V452" s="8"/>
      <c r="W452" s="7"/>
      <c r="X452" s="7"/>
      <c r="Y452" s="8"/>
      <c r="Z452" s="7"/>
      <c r="AA452" s="8"/>
    </row>
    <row r="453" spans="4:27" ht="14.25" thickTop="1" thickBot="1">
      <c r="D453" s="66"/>
      <c r="E453" s="51" t="s">
        <v>1043</v>
      </c>
      <c r="F453" s="7"/>
      <c r="G453" s="8"/>
      <c r="H453" s="7"/>
      <c r="I453" s="6"/>
      <c r="J453" s="7"/>
      <c r="K453" s="8"/>
      <c r="L453" s="7"/>
      <c r="M453" s="8"/>
      <c r="N453" s="7"/>
      <c r="O453" s="8"/>
      <c r="P453" s="7"/>
      <c r="Q453" s="7"/>
      <c r="R453" s="8"/>
      <c r="S453" s="7"/>
      <c r="T453" s="9"/>
      <c r="U453" s="7"/>
      <c r="V453" s="8"/>
      <c r="W453" s="7"/>
      <c r="X453" s="7"/>
      <c r="Y453" s="8"/>
      <c r="Z453" s="7"/>
      <c r="AA453" s="8"/>
    </row>
    <row r="454" spans="4:27" ht="14.25" thickTop="1" thickBot="1">
      <c r="D454" s="66"/>
      <c r="E454" s="51" t="s">
        <v>213</v>
      </c>
      <c r="F454" s="7"/>
      <c r="G454" s="8"/>
      <c r="H454" s="7"/>
      <c r="I454" s="6"/>
      <c r="J454" s="7"/>
      <c r="K454" s="8"/>
      <c r="L454" s="7"/>
      <c r="M454" s="8"/>
      <c r="N454" s="7"/>
      <c r="O454" s="8"/>
      <c r="P454" s="7"/>
      <c r="Q454" s="7"/>
      <c r="R454" s="8"/>
      <c r="S454" s="7"/>
      <c r="T454" s="9"/>
      <c r="U454" s="7"/>
      <c r="V454" s="8"/>
      <c r="W454" s="7"/>
      <c r="X454" s="7"/>
      <c r="Y454" s="8"/>
      <c r="Z454" s="7"/>
      <c r="AA454" s="8"/>
    </row>
    <row r="455" spans="4:27" ht="14.25" thickTop="1" thickBot="1">
      <c r="D455" s="66"/>
      <c r="E455" s="51" t="s">
        <v>1302</v>
      </c>
      <c r="F455" s="7"/>
      <c r="G455" s="8"/>
      <c r="H455" s="7"/>
      <c r="I455" s="6"/>
      <c r="J455" s="7"/>
      <c r="K455" s="8"/>
      <c r="L455" s="7"/>
      <c r="M455" s="8"/>
      <c r="N455" s="7"/>
      <c r="O455" s="8"/>
      <c r="P455" s="7"/>
      <c r="Q455" s="7"/>
      <c r="R455" s="8"/>
      <c r="S455" s="7"/>
      <c r="T455" s="9"/>
      <c r="U455" s="7"/>
      <c r="V455" s="8"/>
      <c r="W455" s="7"/>
      <c r="X455" s="7"/>
      <c r="Y455" s="8"/>
      <c r="Z455" s="7"/>
      <c r="AA455" s="8"/>
    </row>
    <row r="456" spans="4:27" ht="14.25" thickTop="1" thickBot="1">
      <c r="D456" s="66"/>
      <c r="E456" s="51" t="s">
        <v>215</v>
      </c>
      <c r="F456" s="7"/>
      <c r="G456" s="8"/>
      <c r="H456" s="7"/>
      <c r="I456" s="6"/>
      <c r="J456" s="7"/>
      <c r="K456" s="8"/>
      <c r="L456" s="7"/>
      <c r="M456" s="8"/>
      <c r="N456" s="7"/>
      <c r="O456" s="8"/>
      <c r="P456" s="7"/>
      <c r="Q456" s="7"/>
      <c r="R456" s="8"/>
      <c r="S456" s="7"/>
      <c r="T456" s="9"/>
      <c r="U456" s="7"/>
      <c r="V456" s="8"/>
      <c r="W456" s="7"/>
      <c r="X456" s="7"/>
      <c r="Y456" s="8"/>
      <c r="Z456" s="7"/>
      <c r="AA456" s="8"/>
    </row>
    <row r="457" spans="4:27" ht="14.25" thickTop="1" thickBot="1">
      <c r="D457" s="66"/>
      <c r="E457" s="51" t="s">
        <v>1036</v>
      </c>
      <c r="F457" s="7"/>
      <c r="G457" s="8"/>
      <c r="H457" s="7"/>
      <c r="I457" s="6"/>
      <c r="J457" s="7"/>
      <c r="K457" s="8"/>
      <c r="L457" s="7"/>
      <c r="M457" s="8"/>
      <c r="N457" s="7"/>
      <c r="O457" s="8"/>
      <c r="P457" s="7"/>
      <c r="Q457" s="7"/>
      <c r="R457" s="8"/>
      <c r="S457" s="7"/>
      <c r="T457" s="9"/>
      <c r="U457" s="7"/>
      <c r="V457" s="8"/>
      <c r="W457" s="7"/>
      <c r="X457" s="7"/>
      <c r="Y457" s="8"/>
      <c r="Z457" s="7"/>
      <c r="AA457" s="8"/>
    </row>
    <row r="458" spans="4:27" ht="14.25" thickTop="1" thickBot="1">
      <c r="D458" s="66"/>
      <c r="F458" s="7"/>
      <c r="G458" s="8"/>
      <c r="H458" s="7"/>
      <c r="I458" s="6"/>
      <c r="J458" s="7"/>
      <c r="K458" s="8"/>
      <c r="L458" s="7"/>
      <c r="M458" s="8"/>
      <c r="N458" s="7"/>
      <c r="O458" s="8"/>
      <c r="P458" s="7"/>
      <c r="Q458" s="7"/>
      <c r="R458" s="8"/>
      <c r="S458" s="7"/>
      <c r="T458" s="9"/>
      <c r="U458" s="7"/>
      <c r="V458" s="8"/>
      <c r="W458" s="7"/>
      <c r="X458" s="7"/>
      <c r="Y458" s="8"/>
      <c r="Z458" s="7"/>
      <c r="AA458" s="8"/>
    </row>
    <row r="459" spans="4:27" ht="14.25" thickTop="1" thickBot="1">
      <c r="D459" s="66"/>
      <c r="F459" s="7"/>
      <c r="G459" s="8"/>
      <c r="H459" s="7"/>
      <c r="I459" s="6"/>
      <c r="J459" s="7"/>
      <c r="K459" s="8"/>
      <c r="L459" s="7"/>
      <c r="M459" s="8"/>
      <c r="N459" s="7"/>
      <c r="O459" s="8"/>
      <c r="P459" s="7"/>
      <c r="Q459" s="7"/>
      <c r="R459" s="8"/>
      <c r="S459" s="7"/>
      <c r="T459" s="9"/>
      <c r="U459" s="7"/>
      <c r="V459" s="8"/>
      <c r="W459" s="7"/>
      <c r="X459" s="7"/>
      <c r="Y459" s="8"/>
      <c r="Z459" s="7"/>
      <c r="AA459" s="8"/>
    </row>
    <row r="460" spans="4:27" ht="14.25" thickTop="1" thickBot="1">
      <c r="D460" s="66"/>
      <c r="F460" s="7"/>
      <c r="G460" s="8"/>
      <c r="H460" s="7"/>
      <c r="I460" s="6"/>
      <c r="J460" s="7"/>
      <c r="K460" s="8"/>
      <c r="L460" s="7"/>
      <c r="M460" s="8"/>
      <c r="N460" s="7"/>
      <c r="O460" s="8"/>
      <c r="P460" s="7"/>
      <c r="Q460" s="7"/>
      <c r="R460" s="8"/>
      <c r="S460" s="7"/>
      <c r="T460" s="9"/>
      <c r="U460" s="7"/>
      <c r="V460" s="8"/>
      <c r="W460" s="7"/>
      <c r="X460" s="7"/>
      <c r="Y460" s="8"/>
      <c r="Z460" s="7"/>
      <c r="AA460" s="8"/>
    </row>
    <row r="461" spans="4:27" ht="14.25" thickTop="1" thickBot="1">
      <c r="D461" s="66"/>
      <c r="F461" s="7"/>
      <c r="G461" s="8"/>
      <c r="H461" s="7"/>
      <c r="I461" s="6"/>
      <c r="J461" s="7"/>
      <c r="K461" s="8"/>
      <c r="L461" s="7"/>
      <c r="M461" s="8"/>
      <c r="N461" s="7"/>
      <c r="O461" s="8"/>
      <c r="P461" s="7"/>
      <c r="Q461" s="7"/>
      <c r="R461" s="8"/>
      <c r="S461" s="7"/>
      <c r="T461" s="9"/>
      <c r="U461" s="7"/>
      <c r="V461" s="8"/>
      <c r="W461" s="7"/>
      <c r="X461" s="7"/>
      <c r="Y461" s="8"/>
      <c r="Z461" s="7"/>
      <c r="AA461" s="8"/>
    </row>
    <row r="462" spans="4:27" ht="14.25" thickTop="1" thickBot="1">
      <c r="D462" s="66"/>
      <c r="F462" s="7"/>
      <c r="G462" s="8"/>
      <c r="H462" s="7"/>
      <c r="I462" s="6"/>
      <c r="J462" s="7"/>
      <c r="K462" s="8"/>
      <c r="L462" s="7"/>
      <c r="M462" s="8"/>
      <c r="N462" s="7"/>
      <c r="O462" s="8"/>
      <c r="P462" s="7"/>
      <c r="Q462" s="7"/>
      <c r="R462" s="8"/>
      <c r="S462" s="7"/>
      <c r="T462" s="9"/>
      <c r="U462" s="7"/>
      <c r="V462" s="8"/>
      <c r="W462" s="7"/>
      <c r="X462" s="7"/>
      <c r="Y462" s="8"/>
      <c r="Z462" s="7"/>
      <c r="AA462" s="8"/>
    </row>
    <row r="463" spans="4:27" ht="14.25" thickTop="1" thickBot="1">
      <c r="D463" s="66"/>
      <c r="F463" s="7"/>
      <c r="G463" s="8"/>
      <c r="H463" s="7"/>
      <c r="I463" s="6"/>
      <c r="J463" s="7"/>
      <c r="K463" s="8"/>
      <c r="L463" s="7"/>
      <c r="M463" s="8"/>
      <c r="N463" s="7"/>
      <c r="O463" s="8"/>
      <c r="P463" s="7"/>
      <c r="Q463" s="7"/>
      <c r="R463" s="8"/>
      <c r="S463" s="7"/>
      <c r="T463" s="9"/>
      <c r="U463" s="7"/>
      <c r="V463" s="8"/>
      <c r="W463" s="7"/>
      <c r="X463" s="7"/>
      <c r="Y463" s="8"/>
      <c r="Z463" s="7"/>
      <c r="AA463" s="8"/>
    </row>
    <row r="464" spans="4:27" ht="14.25" thickTop="1" thickBot="1">
      <c r="D464" s="66"/>
      <c r="F464" s="7"/>
      <c r="G464" s="8"/>
      <c r="H464" s="7"/>
      <c r="I464" s="6"/>
      <c r="J464" s="7"/>
      <c r="K464" s="8"/>
      <c r="L464" s="7"/>
      <c r="M464" s="8"/>
      <c r="N464" s="7"/>
      <c r="O464" s="8"/>
      <c r="P464" s="7"/>
      <c r="Q464" s="7"/>
      <c r="R464" s="8"/>
      <c r="S464" s="7"/>
      <c r="T464" s="9"/>
      <c r="U464" s="7"/>
      <c r="V464" s="8"/>
      <c r="W464" s="7"/>
      <c r="X464" s="7"/>
      <c r="Y464" s="8"/>
      <c r="Z464" s="7"/>
      <c r="AA464" s="8"/>
    </row>
    <row r="465" spans="4:27" ht="14.25" thickTop="1" thickBot="1">
      <c r="D465" s="66"/>
      <c r="F465" s="7"/>
      <c r="G465" s="8"/>
      <c r="H465" s="7"/>
      <c r="I465" s="6"/>
      <c r="J465" s="7"/>
      <c r="K465" s="8"/>
      <c r="L465" s="7"/>
      <c r="M465" s="8"/>
      <c r="N465" s="7"/>
      <c r="O465" s="8"/>
      <c r="P465" s="7"/>
      <c r="Q465" s="7"/>
      <c r="R465" s="8"/>
      <c r="S465" s="7"/>
      <c r="T465" s="9"/>
      <c r="U465" s="7"/>
      <c r="V465" s="8"/>
      <c r="W465" s="7"/>
      <c r="X465" s="7"/>
      <c r="Y465" s="8"/>
      <c r="Z465" s="7"/>
      <c r="AA465" s="8"/>
    </row>
    <row r="466" spans="4:27" ht="14.25" thickTop="1" thickBot="1">
      <c r="D466" s="66"/>
      <c r="F466" s="7"/>
      <c r="G466" s="8"/>
      <c r="H466" s="7"/>
      <c r="I466" s="6"/>
      <c r="J466" s="7"/>
      <c r="K466" s="8"/>
      <c r="L466" s="7"/>
      <c r="M466" s="8"/>
      <c r="N466" s="7"/>
      <c r="O466" s="8"/>
      <c r="P466" s="7"/>
      <c r="Q466" s="7"/>
      <c r="R466" s="8"/>
      <c r="S466" s="7"/>
      <c r="T466" s="9"/>
      <c r="U466" s="7"/>
      <c r="V466" s="8"/>
      <c r="W466" s="7"/>
      <c r="X466" s="7"/>
      <c r="Y466" s="8"/>
      <c r="Z466" s="7"/>
      <c r="AA466" s="8"/>
    </row>
    <row r="467" spans="4:27" ht="14.25" thickTop="1" thickBot="1">
      <c r="D467" s="66"/>
      <c r="F467" s="7"/>
      <c r="G467" s="8"/>
      <c r="H467" s="7"/>
      <c r="I467" s="6"/>
      <c r="J467" s="7"/>
      <c r="K467" s="8"/>
      <c r="L467" s="7"/>
      <c r="M467" s="8"/>
      <c r="N467" s="7"/>
      <c r="O467" s="8"/>
      <c r="P467" s="7"/>
      <c r="Q467" s="7"/>
      <c r="R467" s="8"/>
      <c r="S467" s="7"/>
      <c r="T467" s="9"/>
      <c r="U467" s="7"/>
      <c r="V467" s="8"/>
      <c r="W467" s="7"/>
      <c r="X467" s="7"/>
      <c r="Y467" s="8"/>
      <c r="Z467" s="7"/>
      <c r="AA467" s="8"/>
    </row>
    <row r="468" spans="4:27" ht="14.25" thickTop="1" thickBot="1">
      <c r="D468" s="66"/>
      <c r="F468" s="7"/>
      <c r="G468" s="8"/>
      <c r="H468" s="7"/>
      <c r="I468" s="6"/>
      <c r="J468" s="7"/>
      <c r="K468" s="8"/>
      <c r="L468" s="7"/>
      <c r="M468" s="8"/>
      <c r="N468" s="7"/>
      <c r="O468" s="8"/>
      <c r="P468" s="7"/>
      <c r="Q468" s="7"/>
      <c r="R468" s="8"/>
      <c r="S468" s="7"/>
      <c r="T468" s="9"/>
      <c r="U468" s="7"/>
      <c r="V468" s="8"/>
      <c r="W468" s="7"/>
      <c r="X468" s="7"/>
      <c r="Y468" s="8"/>
      <c r="Z468" s="7"/>
      <c r="AA468" s="8"/>
    </row>
    <row r="469" spans="4:27" ht="14.25" thickTop="1" thickBot="1">
      <c r="D469" s="66"/>
      <c r="F469" s="7"/>
      <c r="G469" s="8"/>
      <c r="H469" s="7"/>
      <c r="I469" s="6"/>
      <c r="J469" s="7"/>
      <c r="K469" s="8"/>
      <c r="L469" s="7"/>
      <c r="M469" s="8"/>
      <c r="N469" s="7"/>
      <c r="O469" s="8"/>
      <c r="P469" s="7"/>
      <c r="Q469" s="7"/>
      <c r="R469" s="8"/>
      <c r="S469" s="7"/>
      <c r="T469" s="9"/>
      <c r="U469" s="7"/>
      <c r="V469" s="8"/>
      <c r="W469" s="7"/>
      <c r="X469" s="7"/>
      <c r="Y469" s="8"/>
      <c r="Z469" s="7"/>
      <c r="AA469" s="8"/>
    </row>
    <row r="470" spans="4:27" ht="14.25" thickTop="1" thickBot="1">
      <c r="D470" s="66"/>
      <c r="F470" s="7"/>
      <c r="G470" s="8"/>
      <c r="H470" s="7"/>
      <c r="I470" s="6"/>
      <c r="J470" s="7"/>
      <c r="K470" s="8"/>
      <c r="L470" s="7"/>
      <c r="M470" s="8"/>
      <c r="N470" s="7"/>
      <c r="O470" s="8"/>
      <c r="P470" s="7"/>
      <c r="Q470" s="7"/>
      <c r="R470" s="8"/>
      <c r="S470" s="7"/>
      <c r="T470" s="9"/>
      <c r="U470" s="7"/>
      <c r="V470" s="8"/>
      <c r="W470" s="7"/>
      <c r="X470" s="7"/>
      <c r="Y470" s="8"/>
      <c r="Z470" s="7"/>
      <c r="AA470" s="8"/>
    </row>
    <row r="471" spans="4:27" ht="14.25" thickTop="1" thickBot="1">
      <c r="D471" s="66"/>
      <c r="F471" s="7"/>
      <c r="G471" s="8"/>
      <c r="H471" s="7"/>
      <c r="I471" s="6"/>
      <c r="J471" s="7"/>
      <c r="K471" s="8"/>
      <c r="L471" s="7"/>
      <c r="M471" s="8"/>
      <c r="N471" s="7"/>
      <c r="O471" s="8"/>
      <c r="P471" s="7"/>
      <c r="Q471" s="7"/>
      <c r="R471" s="8"/>
      <c r="S471" s="7"/>
      <c r="T471" s="9"/>
      <c r="U471" s="7"/>
      <c r="V471" s="8"/>
      <c r="W471" s="7"/>
      <c r="X471" s="7"/>
      <c r="Y471" s="8"/>
      <c r="Z471" s="7"/>
      <c r="AA471" s="8"/>
    </row>
    <row r="472" spans="4:27" ht="14.25" thickTop="1" thickBot="1">
      <c r="D472" s="66"/>
      <c r="F472" s="7"/>
      <c r="G472" s="8"/>
      <c r="H472" s="7"/>
      <c r="I472" s="6"/>
      <c r="J472" s="7"/>
      <c r="K472" s="8"/>
      <c r="L472" s="7"/>
      <c r="M472" s="8"/>
      <c r="N472" s="7"/>
      <c r="O472" s="8"/>
      <c r="P472" s="7"/>
      <c r="Q472" s="7"/>
      <c r="R472" s="8"/>
      <c r="S472" s="7"/>
      <c r="T472" s="9"/>
      <c r="U472" s="7"/>
      <c r="V472" s="8"/>
      <c r="W472" s="7"/>
      <c r="X472" s="7"/>
      <c r="Y472" s="8"/>
      <c r="Z472" s="7"/>
      <c r="AA472" s="8"/>
    </row>
    <row r="473" spans="4:27" ht="14.25" thickTop="1" thickBot="1">
      <c r="D473" s="66"/>
      <c r="F473" s="7"/>
      <c r="G473" s="8"/>
      <c r="H473" s="7"/>
      <c r="I473" s="6"/>
      <c r="J473" s="7"/>
      <c r="K473" s="8"/>
      <c r="L473" s="7"/>
      <c r="M473" s="8"/>
      <c r="N473" s="7"/>
      <c r="O473" s="8"/>
      <c r="P473" s="7"/>
      <c r="Q473" s="7"/>
      <c r="R473" s="8"/>
      <c r="S473" s="7"/>
      <c r="T473" s="9"/>
      <c r="U473" s="7"/>
      <c r="V473" s="8"/>
      <c r="W473" s="7"/>
      <c r="X473" s="7"/>
      <c r="Y473" s="8"/>
      <c r="Z473" s="7"/>
      <c r="AA473" s="8"/>
    </row>
    <row r="474" spans="4:27" ht="14.25" thickTop="1" thickBot="1">
      <c r="D474" s="66"/>
      <c r="F474" s="7"/>
      <c r="G474" s="8"/>
      <c r="H474" s="7"/>
      <c r="I474" s="6"/>
      <c r="J474" s="7"/>
      <c r="K474" s="8"/>
      <c r="L474" s="7"/>
      <c r="M474" s="8"/>
      <c r="N474" s="7"/>
      <c r="O474" s="8"/>
      <c r="P474" s="7"/>
      <c r="Q474" s="7"/>
      <c r="R474" s="8"/>
      <c r="S474" s="7"/>
      <c r="T474" s="9"/>
      <c r="U474" s="7"/>
      <c r="V474" s="8"/>
      <c r="W474" s="7"/>
      <c r="X474" s="7"/>
      <c r="Y474" s="8"/>
      <c r="Z474" s="7"/>
      <c r="AA474" s="8"/>
    </row>
    <row r="475" spans="4:27" ht="14.25" thickTop="1" thickBot="1">
      <c r="D475" s="66"/>
      <c r="F475" s="7"/>
      <c r="G475" s="8"/>
      <c r="H475" s="7"/>
      <c r="I475" s="6"/>
      <c r="J475" s="7"/>
      <c r="K475" s="8"/>
      <c r="L475" s="7"/>
      <c r="M475" s="8"/>
      <c r="N475" s="7"/>
      <c r="O475" s="8"/>
      <c r="P475" s="7"/>
      <c r="Q475" s="7"/>
      <c r="R475" s="8"/>
      <c r="S475" s="7"/>
      <c r="T475" s="9"/>
      <c r="U475" s="7"/>
      <c r="V475" s="8"/>
      <c r="W475" s="7"/>
      <c r="X475" s="7"/>
      <c r="Y475" s="8"/>
      <c r="Z475" s="7"/>
      <c r="AA475" s="8"/>
    </row>
    <row r="476" spans="4:27" ht="14.25" thickTop="1" thickBot="1">
      <c r="D476" s="66"/>
      <c r="F476" s="7"/>
      <c r="G476" s="8"/>
      <c r="H476" s="7"/>
      <c r="I476" s="6"/>
      <c r="J476" s="7"/>
      <c r="K476" s="8"/>
      <c r="L476" s="7"/>
      <c r="M476" s="8"/>
      <c r="N476" s="7"/>
      <c r="O476" s="8"/>
      <c r="P476" s="7"/>
      <c r="Q476" s="7"/>
      <c r="R476" s="8"/>
      <c r="S476" s="7"/>
      <c r="T476" s="9"/>
      <c r="U476" s="7"/>
      <c r="V476" s="8"/>
      <c r="W476" s="7"/>
      <c r="X476" s="7"/>
      <c r="Y476" s="8"/>
      <c r="Z476" s="7"/>
      <c r="AA476" s="8"/>
    </row>
    <row r="477" spans="4:27" ht="14.25" thickTop="1" thickBot="1">
      <c r="D477" s="66"/>
      <c r="F477" s="7"/>
      <c r="G477" s="8"/>
      <c r="H477" s="7"/>
      <c r="I477" s="6"/>
      <c r="J477" s="7"/>
      <c r="K477" s="8"/>
      <c r="L477" s="7"/>
      <c r="M477" s="8"/>
      <c r="N477" s="7"/>
      <c r="O477" s="8"/>
      <c r="P477" s="7"/>
      <c r="Q477" s="7"/>
      <c r="R477" s="8"/>
      <c r="S477" s="7"/>
      <c r="T477" s="9"/>
      <c r="U477" s="7"/>
      <c r="V477" s="8"/>
      <c r="W477" s="7"/>
      <c r="X477" s="7"/>
      <c r="Y477" s="8"/>
      <c r="Z477" s="7"/>
      <c r="AA477" s="8"/>
    </row>
    <row r="478" spans="4:27" ht="14.25" thickTop="1" thickBot="1">
      <c r="D478" s="66"/>
      <c r="F478" s="7"/>
      <c r="G478" s="8"/>
      <c r="H478" s="7"/>
      <c r="I478" s="6"/>
      <c r="J478" s="7"/>
      <c r="K478" s="8"/>
      <c r="L478" s="7"/>
      <c r="M478" s="8"/>
      <c r="N478" s="7"/>
      <c r="O478" s="8"/>
      <c r="P478" s="7"/>
      <c r="Q478" s="7"/>
      <c r="R478" s="8"/>
      <c r="S478" s="7"/>
      <c r="T478" s="9"/>
      <c r="U478" s="7"/>
      <c r="V478" s="8"/>
      <c r="W478" s="7"/>
      <c r="X478" s="7"/>
      <c r="Y478" s="8"/>
      <c r="Z478" s="7"/>
      <c r="AA478" s="8"/>
    </row>
    <row r="479" spans="4:27" ht="14.25" thickTop="1" thickBot="1">
      <c r="D479" s="66"/>
      <c r="F479" s="7"/>
      <c r="G479" s="8"/>
      <c r="H479" s="7"/>
      <c r="I479" s="6"/>
      <c r="J479" s="7"/>
      <c r="K479" s="8"/>
      <c r="L479" s="7"/>
      <c r="M479" s="8"/>
      <c r="N479" s="7"/>
      <c r="O479" s="8"/>
      <c r="P479" s="7"/>
      <c r="Q479" s="7"/>
      <c r="R479" s="8"/>
      <c r="S479" s="7"/>
      <c r="T479" s="9"/>
      <c r="U479" s="7"/>
      <c r="V479" s="8"/>
      <c r="W479" s="7"/>
      <c r="X479" s="7"/>
      <c r="Y479" s="8"/>
      <c r="Z479" s="7"/>
      <c r="AA479" s="8"/>
    </row>
    <row r="480" spans="4:27" ht="14.25" thickTop="1" thickBot="1">
      <c r="D480" s="66"/>
      <c r="F480" s="7"/>
      <c r="G480" s="8"/>
      <c r="H480" s="7"/>
      <c r="I480" s="6"/>
      <c r="J480" s="7"/>
      <c r="K480" s="8"/>
      <c r="L480" s="7"/>
      <c r="M480" s="8"/>
      <c r="N480" s="7"/>
      <c r="O480" s="8"/>
      <c r="P480" s="7"/>
      <c r="Q480" s="7"/>
      <c r="R480" s="8"/>
      <c r="S480" s="7"/>
      <c r="T480" s="9"/>
      <c r="U480" s="7"/>
      <c r="V480" s="8"/>
      <c r="W480" s="7"/>
      <c r="X480" s="7"/>
      <c r="Y480" s="8"/>
      <c r="Z480" s="7"/>
      <c r="AA480" s="8"/>
    </row>
    <row r="481" spans="4:27" ht="14.25" thickTop="1" thickBot="1">
      <c r="D481" s="66"/>
      <c r="F481" s="7"/>
      <c r="G481" s="8"/>
      <c r="H481" s="7"/>
      <c r="I481" s="6"/>
      <c r="J481" s="7"/>
      <c r="K481" s="8"/>
      <c r="L481" s="7"/>
      <c r="M481" s="8"/>
      <c r="N481" s="7"/>
      <c r="O481" s="8"/>
      <c r="P481" s="7"/>
      <c r="Q481" s="7"/>
      <c r="R481" s="8"/>
      <c r="S481" s="7"/>
      <c r="T481" s="9"/>
      <c r="U481" s="7"/>
      <c r="V481" s="8"/>
      <c r="W481" s="7"/>
      <c r="X481" s="7"/>
      <c r="Y481" s="8"/>
      <c r="Z481" s="7"/>
      <c r="AA481" s="8"/>
    </row>
    <row r="482" spans="4:27" ht="14.25" thickTop="1" thickBot="1">
      <c r="D482" s="66"/>
      <c r="F482" s="7"/>
      <c r="G482" s="8"/>
      <c r="H482" s="7"/>
      <c r="I482" s="6"/>
      <c r="J482" s="7"/>
      <c r="K482" s="8"/>
      <c r="L482" s="7"/>
      <c r="M482" s="8"/>
      <c r="N482" s="7"/>
      <c r="O482" s="8"/>
      <c r="P482" s="7"/>
      <c r="Q482" s="7"/>
      <c r="R482" s="8"/>
      <c r="S482" s="7"/>
      <c r="T482" s="9"/>
      <c r="U482" s="7"/>
      <c r="V482" s="8"/>
      <c r="W482" s="7"/>
      <c r="X482" s="7"/>
      <c r="Y482" s="8"/>
      <c r="Z482" s="7"/>
      <c r="AA482" s="8"/>
    </row>
    <row r="483" spans="4:27" ht="14.25" thickTop="1" thickBot="1">
      <c r="D483" s="66"/>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6"/>
      <c r="U484" s="7"/>
      <c r="V484" s="8"/>
    </row>
    <row r="485" spans="4:27">
      <c r="D485" s="66"/>
    </row>
    <row r="486" spans="4:27">
      <c r="D486" s="66"/>
    </row>
    <row r="487" spans="4:27">
      <c r="D487" s="66"/>
    </row>
    <row r="488" spans="4:27">
      <c r="D488" s="66"/>
    </row>
    <row r="489" spans="4:27">
      <c r="D489" s="66"/>
    </row>
    <row r="490" spans="4:27">
      <c r="D490" s="66"/>
    </row>
    <row r="491" spans="4:27">
      <c r="D491" s="66"/>
    </row>
    <row r="492" spans="4:27">
      <c r="D492" s="66"/>
    </row>
    <row r="493" spans="4:27">
      <c r="D493" s="66"/>
    </row>
    <row r="494" spans="4:27">
      <c r="D494" s="66"/>
    </row>
    <row r="495" spans="4:27">
      <c r="D495" s="66"/>
    </row>
    <row r="496" spans="4:27">
      <c r="D496" s="66"/>
    </row>
    <row r="497" spans="4:4">
      <c r="D497" s="66"/>
    </row>
    <row r="498" spans="4:4">
      <c r="D498" s="66"/>
    </row>
    <row r="499" spans="4:4">
      <c r="D499" s="66"/>
    </row>
    <row r="500" spans="4:4">
      <c r="D500" s="66"/>
    </row>
    <row r="501" spans="4:4">
      <c r="D501" s="66"/>
    </row>
    <row r="502" spans="4:4">
      <c r="D502" s="66"/>
    </row>
    <row r="503" spans="4:4">
      <c r="D503" s="66"/>
    </row>
    <row r="504" spans="4:4">
      <c r="D504" s="66"/>
    </row>
    <row r="505" spans="4:4">
      <c r="D505" s="66"/>
    </row>
    <row r="506" spans="4:4">
      <c r="D506" s="66"/>
    </row>
    <row r="507" spans="4:4">
      <c r="D507" s="66"/>
    </row>
    <row r="508" spans="4:4">
      <c r="D508" s="66"/>
    </row>
    <row r="509" spans="4:4">
      <c r="D509" s="66"/>
    </row>
    <row r="510" spans="4:4">
      <c r="D510" s="66"/>
    </row>
    <row r="511" spans="4:4">
      <c r="D511" s="66"/>
    </row>
    <row r="512" spans="4:4">
      <c r="D512" s="66"/>
    </row>
    <row r="513" spans="4:4">
      <c r="D513" s="66"/>
    </row>
    <row r="514" spans="4:4">
      <c r="D514" s="66"/>
    </row>
    <row r="515" spans="4:4">
      <c r="D515" s="66"/>
    </row>
    <row r="516" spans="4:4">
      <c r="D516" s="66"/>
    </row>
    <row r="517" spans="4:4">
      <c r="D517" s="66"/>
    </row>
    <row r="518" spans="4:4">
      <c r="D518" s="66"/>
    </row>
    <row r="519" spans="4:4">
      <c r="D519" s="66"/>
    </row>
    <row r="520" spans="4:4">
      <c r="D520" s="66"/>
    </row>
    <row r="521" spans="4:4">
      <c r="D521" s="66"/>
    </row>
    <row r="522" spans="4:4">
      <c r="D522" s="66"/>
    </row>
    <row r="523" spans="4:4">
      <c r="D523" s="66"/>
    </row>
    <row r="524" spans="4:4">
      <c r="D524" s="66"/>
    </row>
    <row r="525" spans="4:4">
      <c r="D525" s="66"/>
    </row>
    <row r="526" spans="4:4">
      <c r="D526" s="66"/>
    </row>
    <row r="527" spans="4:4">
      <c r="D527" s="66"/>
    </row>
    <row r="528" spans="4:4">
      <c r="D528" s="66"/>
    </row>
    <row r="529" spans="4:4">
      <c r="D529" s="66"/>
    </row>
    <row r="530" spans="4:4">
      <c r="D530" s="66"/>
    </row>
    <row r="531" spans="4:4">
      <c r="D531" s="66"/>
    </row>
    <row r="532" spans="4:4">
      <c r="D532" s="66"/>
    </row>
    <row r="533" spans="4:4">
      <c r="D533" s="66"/>
    </row>
    <row r="534" spans="4:4">
      <c r="D534" s="66"/>
    </row>
    <row r="535" spans="4:4">
      <c r="D535" s="66"/>
    </row>
    <row r="536" spans="4:4">
      <c r="D536" s="66"/>
    </row>
    <row r="537" spans="4:4">
      <c r="D537" s="66"/>
    </row>
    <row r="538" spans="4:4">
      <c r="D538" s="66"/>
    </row>
    <row r="539" spans="4:4">
      <c r="D539" s="66"/>
    </row>
    <row r="540" spans="4:4">
      <c r="D540" s="66"/>
    </row>
    <row r="541" spans="4:4">
      <c r="D541" s="66"/>
    </row>
    <row r="542" spans="4:4">
      <c r="D542" s="66"/>
    </row>
    <row r="543" spans="4:4">
      <c r="D543" s="66"/>
    </row>
    <row r="544" spans="4:4">
      <c r="D544" s="66"/>
    </row>
    <row r="545" spans="4:4">
      <c r="D545" s="66"/>
    </row>
    <row r="546" spans="4:4">
      <c r="D546" s="66"/>
    </row>
    <row r="547" spans="4:4">
      <c r="D547" s="66"/>
    </row>
    <row r="548" spans="4:4">
      <c r="D548" s="66"/>
    </row>
    <row r="549" spans="4:4">
      <c r="D549" s="66"/>
    </row>
    <row r="550" spans="4:4">
      <c r="D550" s="66"/>
    </row>
    <row r="551" spans="4:4">
      <c r="D551" s="66"/>
    </row>
    <row r="552" spans="4:4">
      <c r="D552" s="66"/>
    </row>
    <row r="553" spans="4:4">
      <c r="D553" s="66"/>
    </row>
    <row r="554" spans="4:4">
      <c r="D554" s="66"/>
    </row>
    <row r="555" spans="4:4">
      <c r="D555" s="66"/>
    </row>
    <row r="556" spans="4:4">
      <c r="D556" s="66"/>
    </row>
    <row r="557" spans="4:4">
      <c r="D557" s="66"/>
    </row>
    <row r="558" spans="4:4">
      <c r="D558" s="66"/>
    </row>
    <row r="559" spans="4:4">
      <c r="D559" s="66"/>
    </row>
    <row r="560" spans="4:4">
      <c r="D560" s="66"/>
    </row>
    <row r="561" spans="4:4">
      <c r="D561" s="66"/>
    </row>
    <row r="562" spans="4:4">
      <c r="D562" s="66"/>
    </row>
    <row r="563" spans="4:4">
      <c r="D563" s="66"/>
    </row>
    <row r="564" spans="4:4">
      <c r="D564" s="66"/>
    </row>
    <row r="565" spans="4:4">
      <c r="D565" s="66"/>
    </row>
    <row r="566" spans="4:4">
      <c r="D566" s="66"/>
    </row>
    <row r="567" spans="4:4">
      <c r="D567" s="66"/>
    </row>
    <row r="568" spans="4:4">
      <c r="D568" s="66"/>
    </row>
    <row r="569" spans="4:4">
      <c r="D569" s="66"/>
    </row>
    <row r="570" spans="4:4">
      <c r="D570" s="66"/>
    </row>
    <row r="571" spans="4:4">
      <c r="D571" s="66"/>
    </row>
    <row r="572" spans="4:4">
      <c r="D572" s="66"/>
    </row>
    <row r="573" spans="4:4">
      <c r="D573" s="66"/>
    </row>
    <row r="574" spans="4:4">
      <c r="D574" s="66"/>
    </row>
    <row r="575" spans="4:4">
      <c r="D575" s="66"/>
    </row>
    <row r="576" spans="4:4">
      <c r="D576" s="66"/>
    </row>
    <row r="577" spans="4:4">
      <c r="D577" s="66"/>
    </row>
    <row r="578" spans="4:4">
      <c r="D578" s="66"/>
    </row>
    <row r="579" spans="4:4">
      <c r="D579" s="66"/>
    </row>
    <row r="580" spans="4:4">
      <c r="D580" s="66"/>
    </row>
    <row r="581" spans="4:4">
      <c r="D581" s="66"/>
    </row>
    <row r="582" spans="4:4">
      <c r="D582" s="66"/>
    </row>
    <row r="583" spans="4:4">
      <c r="D583" s="66"/>
    </row>
    <row r="584" spans="4:4">
      <c r="D584" s="66"/>
    </row>
    <row r="585" spans="4:4">
      <c r="D585" s="66"/>
    </row>
    <row r="586" spans="4:4">
      <c r="D586" s="66"/>
    </row>
    <row r="587" spans="4:4">
      <c r="D587" s="66"/>
    </row>
    <row r="588" spans="4:4">
      <c r="D588" s="66"/>
    </row>
    <row r="589" spans="4:4">
      <c r="D589" s="66"/>
    </row>
    <row r="590" spans="4:4">
      <c r="D590" s="66"/>
    </row>
    <row r="591" spans="4:4">
      <c r="D591" s="66"/>
    </row>
    <row r="592" spans="4:4">
      <c r="D592" s="66"/>
    </row>
    <row r="593" spans="4:4">
      <c r="D593" s="66"/>
    </row>
    <row r="594" spans="4:4">
      <c r="D594" s="66"/>
    </row>
    <row r="595" spans="4:4">
      <c r="D595" s="66"/>
    </row>
    <row r="596" spans="4:4">
      <c r="D596" s="66"/>
    </row>
    <row r="597" spans="4:4">
      <c r="D597" s="66"/>
    </row>
    <row r="598" spans="4:4">
      <c r="D598" s="66"/>
    </row>
    <row r="599" spans="4:4">
      <c r="D599" s="66"/>
    </row>
    <row r="600" spans="4:4">
      <c r="D600" s="66"/>
    </row>
    <row r="601" spans="4:4">
      <c r="D601" s="66"/>
    </row>
    <row r="602" spans="4:4">
      <c r="D602" s="66"/>
    </row>
    <row r="603" spans="4:4">
      <c r="D603" s="66"/>
    </row>
    <row r="604" spans="4:4">
      <c r="D604" s="66"/>
    </row>
    <row r="605" spans="4:4">
      <c r="D605" s="66"/>
    </row>
    <row r="606" spans="4:4">
      <c r="D606" s="66"/>
    </row>
    <row r="607" spans="4:4">
      <c r="D607" s="66"/>
    </row>
    <row r="608" spans="4:4">
      <c r="D608" s="66"/>
    </row>
    <row r="609" spans="4:4">
      <c r="D609" s="66"/>
    </row>
    <row r="610" spans="4:4">
      <c r="D610" s="66"/>
    </row>
    <row r="611" spans="4:4">
      <c r="D611" s="66"/>
    </row>
    <row r="612" spans="4:4">
      <c r="D612" s="66"/>
    </row>
    <row r="613" spans="4:4">
      <c r="D613" s="66"/>
    </row>
    <row r="614" spans="4:4">
      <c r="D614" s="66"/>
    </row>
    <row r="615" spans="4:4">
      <c r="D615" s="66"/>
    </row>
    <row r="616" spans="4:4">
      <c r="D616" s="66"/>
    </row>
    <row r="617" spans="4:4">
      <c r="D617" s="66"/>
    </row>
    <row r="618" spans="4:4">
      <c r="D618" s="66"/>
    </row>
    <row r="619" spans="4:4">
      <c r="D619" s="66"/>
    </row>
    <row r="620" spans="4:4">
      <c r="D620" s="66"/>
    </row>
    <row r="621" spans="4:4">
      <c r="D621" s="66"/>
    </row>
    <row r="622" spans="4:4">
      <c r="D622" s="66"/>
    </row>
    <row r="623" spans="4:4">
      <c r="D623" s="66"/>
    </row>
    <row r="624" spans="4:4">
      <c r="D624" s="66"/>
    </row>
    <row r="625" spans="4:4">
      <c r="D625" s="66"/>
    </row>
    <row r="626" spans="4:4">
      <c r="D626" s="66"/>
    </row>
    <row r="627" spans="4:4">
      <c r="D627" s="66"/>
    </row>
    <row r="628" spans="4:4">
      <c r="D628" s="66"/>
    </row>
    <row r="629" spans="4:4">
      <c r="D629" s="66"/>
    </row>
    <row r="630" spans="4:4">
      <c r="D630" s="66"/>
    </row>
    <row r="631" spans="4:4">
      <c r="D631" s="66"/>
    </row>
    <row r="632" spans="4:4">
      <c r="D632" s="66"/>
    </row>
    <row r="633" spans="4:4">
      <c r="D633" s="66"/>
    </row>
    <row r="634" spans="4:4">
      <c r="D634" s="66"/>
    </row>
    <row r="635" spans="4:4">
      <c r="D635" s="66"/>
    </row>
    <row r="636" spans="4:4">
      <c r="D636" s="66"/>
    </row>
    <row r="637" spans="4:4">
      <c r="D637" s="66"/>
    </row>
    <row r="638" spans="4:4">
      <c r="D638" s="66"/>
    </row>
    <row r="639" spans="4:4">
      <c r="D639" s="66"/>
    </row>
    <row r="640" spans="4:4">
      <c r="D640" s="66"/>
    </row>
    <row r="641" spans="4:4">
      <c r="D641" s="66"/>
    </row>
    <row r="642" spans="4:4">
      <c r="D642" s="66"/>
    </row>
    <row r="643" spans="4:4">
      <c r="D643" s="66"/>
    </row>
    <row r="644" spans="4:4">
      <c r="D644" s="66"/>
    </row>
    <row r="645" spans="4:4">
      <c r="D645" s="66"/>
    </row>
    <row r="646" spans="4:4">
      <c r="D646" s="66"/>
    </row>
    <row r="647" spans="4:4">
      <c r="D647" s="66"/>
    </row>
    <row r="648" spans="4:4">
      <c r="D648" s="66"/>
    </row>
    <row r="649" spans="4:4">
      <c r="D649" s="66"/>
    </row>
    <row r="650" spans="4:4">
      <c r="D650" s="66"/>
    </row>
    <row r="651" spans="4:4">
      <c r="D651" s="66"/>
    </row>
    <row r="652" spans="4:4">
      <c r="D652" s="66"/>
    </row>
    <row r="653" spans="4:4">
      <c r="D653" s="66"/>
    </row>
    <row r="654" spans="4:4">
      <c r="D654" s="66"/>
    </row>
    <row r="655" spans="4:4">
      <c r="D655" s="66"/>
    </row>
    <row r="656" spans="4:4">
      <c r="D656" s="66"/>
    </row>
    <row r="657" spans="4:4">
      <c r="D657" s="66"/>
    </row>
    <row r="658" spans="4:4">
      <c r="D658" s="66"/>
    </row>
    <row r="659" spans="4:4">
      <c r="D659" s="66"/>
    </row>
    <row r="660" spans="4:4">
      <c r="D660" s="66"/>
    </row>
    <row r="661" spans="4:4">
      <c r="D661" s="66"/>
    </row>
    <row r="662" spans="4:4">
      <c r="D662" s="66"/>
    </row>
    <row r="663" spans="4:4">
      <c r="D663" s="66"/>
    </row>
    <row r="664" spans="4:4">
      <c r="D664" s="66"/>
    </row>
    <row r="665" spans="4:4">
      <c r="D665" s="66"/>
    </row>
    <row r="666" spans="4:4">
      <c r="D666" s="66"/>
    </row>
    <row r="667" spans="4:4">
      <c r="D667" s="66"/>
    </row>
    <row r="668" spans="4:4">
      <c r="D668" s="66"/>
    </row>
    <row r="669" spans="4:4">
      <c r="D669" s="66"/>
    </row>
    <row r="670" spans="4:4">
      <c r="D670" s="66"/>
    </row>
    <row r="671" spans="4:4">
      <c r="D671" s="66"/>
    </row>
    <row r="672" spans="4:4">
      <c r="D672" s="66"/>
    </row>
    <row r="673" spans="4:4">
      <c r="D673" s="66"/>
    </row>
    <row r="674" spans="4:4">
      <c r="D674" s="66"/>
    </row>
    <row r="675" spans="4:4">
      <c r="D675" s="66"/>
    </row>
    <row r="676" spans="4:4">
      <c r="D676" s="66"/>
    </row>
    <row r="677" spans="4:4">
      <c r="D677" s="66"/>
    </row>
    <row r="678" spans="4:4">
      <c r="D678" s="66"/>
    </row>
    <row r="679" spans="4:4">
      <c r="D679" s="66"/>
    </row>
    <row r="680" spans="4:4">
      <c r="D680" s="66"/>
    </row>
    <row r="681" spans="4:4">
      <c r="D681" s="66"/>
    </row>
    <row r="682" spans="4:4">
      <c r="D682" s="66"/>
    </row>
    <row r="683" spans="4:4">
      <c r="D683" s="66"/>
    </row>
    <row r="684" spans="4:4">
      <c r="D684" s="66"/>
    </row>
    <row r="685" spans="4:4">
      <c r="D685" s="66"/>
    </row>
    <row r="686" spans="4:4">
      <c r="D686" s="66"/>
    </row>
    <row r="687" spans="4:4">
      <c r="D687" s="66"/>
    </row>
    <row r="688" spans="4:4">
      <c r="D688" s="66"/>
    </row>
    <row r="689" spans="4:4">
      <c r="D689" s="66"/>
    </row>
    <row r="690" spans="4:4">
      <c r="D690" s="66"/>
    </row>
    <row r="691" spans="4:4">
      <c r="D691" s="66"/>
    </row>
    <row r="692" spans="4:4">
      <c r="D692" s="66"/>
    </row>
    <row r="693" spans="4:4">
      <c r="D693" s="66"/>
    </row>
    <row r="694" spans="4:4">
      <c r="D694" s="66"/>
    </row>
    <row r="695" spans="4:4">
      <c r="D695" s="66"/>
    </row>
    <row r="696" spans="4:4">
      <c r="D696" s="66"/>
    </row>
    <row r="697" spans="4:4">
      <c r="D697" s="66"/>
    </row>
    <row r="698" spans="4:4">
      <c r="D698" s="66"/>
    </row>
    <row r="699" spans="4:4">
      <c r="D699" s="66"/>
    </row>
    <row r="700" spans="4:4">
      <c r="D700" s="66"/>
    </row>
    <row r="701" spans="4:4">
      <c r="D701" s="66"/>
    </row>
    <row r="702" spans="4:4">
      <c r="D702" s="66"/>
    </row>
    <row r="703" spans="4:4">
      <c r="D703" s="66"/>
    </row>
    <row r="704" spans="4:4">
      <c r="D704" s="66"/>
    </row>
    <row r="705" spans="4:4">
      <c r="D705" s="66"/>
    </row>
    <row r="706" spans="4:4">
      <c r="D706" s="66"/>
    </row>
    <row r="707" spans="4:4">
      <c r="D707" s="66"/>
    </row>
    <row r="708" spans="4:4">
      <c r="D708" s="66"/>
    </row>
    <row r="709" spans="4:4">
      <c r="D709" s="66"/>
    </row>
    <row r="710" spans="4:4">
      <c r="D710" s="66"/>
    </row>
    <row r="711" spans="4:4">
      <c r="D711" s="66"/>
    </row>
    <row r="712" spans="4:4">
      <c r="D712" s="66"/>
    </row>
    <row r="713" spans="4:4">
      <c r="D713" s="66"/>
    </row>
    <row r="714" spans="4:4">
      <c r="D714" s="66"/>
    </row>
    <row r="715" spans="4:4">
      <c r="D715" s="66"/>
    </row>
    <row r="716" spans="4:4">
      <c r="D716" s="66"/>
    </row>
    <row r="717" spans="4:4">
      <c r="D717" s="66"/>
    </row>
    <row r="718" spans="4:4">
      <c r="D718" s="66"/>
    </row>
    <row r="719" spans="4:4">
      <c r="D719" s="66"/>
    </row>
    <row r="720" spans="4:4">
      <c r="D720" s="66"/>
    </row>
    <row r="721" spans="4:4">
      <c r="D721" s="66"/>
    </row>
    <row r="722" spans="4:4">
      <c r="D722" s="66"/>
    </row>
    <row r="723" spans="4:4">
      <c r="D723" s="66"/>
    </row>
    <row r="724" spans="4:4">
      <c r="D724" s="66"/>
    </row>
    <row r="725" spans="4:4">
      <c r="D725" s="66"/>
    </row>
    <row r="726" spans="4:4">
      <c r="D726" s="66"/>
    </row>
    <row r="727" spans="4:4">
      <c r="D727" s="66"/>
    </row>
    <row r="728" spans="4:4">
      <c r="D728" s="66"/>
    </row>
    <row r="729" spans="4:4">
      <c r="D729" s="66"/>
    </row>
    <row r="730" spans="4:4">
      <c r="D730" s="66"/>
    </row>
    <row r="731" spans="4:4">
      <c r="D731" s="66"/>
    </row>
    <row r="732" spans="4:4">
      <c r="D732" s="66"/>
    </row>
    <row r="733" spans="4:4">
      <c r="D733" s="66"/>
    </row>
    <row r="734" spans="4:4">
      <c r="D734" s="66"/>
    </row>
    <row r="735" spans="4:4">
      <c r="D735" s="66"/>
    </row>
    <row r="736" spans="4:4">
      <c r="D736" s="66"/>
    </row>
    <row r="737" spans="4:4">
      <c r="D737" s="66"/>
    </row>
    <row r="738" spans="4:4">
      <c r="D738" s="66"/>
    </row>
    <row r="739" spans="4:4">
      <c r="D739" s="66"/>
    </row>
    <row r="740" spans="4:4">
      <c r="D740" s="66"/>
    </row>
    <row r="741" spans="4:4">
      <c r="D741" s="66"/>
    </row>
    <row r="742" spans="4:4">
      <c r="D742" s="66"/>
    </row>
    <row r="743" spans="4:4">
      <c r="D743" s="66"/>
    </row>
    <row r="744" spans="4:4">
      <c r="D744" s="66"/>
    </row>
    <row r="745" spans="4:4">
      <c r="D745" s="66"/>
    </row>
    <row r="746" spans="4:4">
      <c r="D746" s="66"/>
    </row>
    <row r="747" spans="4:4">
      <c r="D747" s="66"/>
    </row>
    <row r="748" spans="4:4">
      <c r="D748" s="66"/>
    </row>
    <row r="749" spans="4:4">
      <c r="D749" s="66"/>
    </row>
    <row r="750" spans="4:4">
      <c r="D750" s="66"/>
    </row>
    <row r="751" spans="4:4">
      <c r="D751" s="66"/>
    </row>
    <row r="752" spans="4:4">
      <c r="D752" s="66"/>
    </row>
    <row r="753" spans="4:4">
      <c r="D753" s="66"/>
    </row>
    <row r="754" spans="4:4">
      <c r="D754" s="66"/>
    </row>
    <row r="755" spans="4:4">
      <c r="D755" s="66"/>
    </row>
    <row r="756" spans="4:4">
      <c r="D756" s="66"/>
    </row>
    <row r="757" spans="4:4">
      <c r="D757" s="66"/>
    </row>
    <row r="758" spans="4:4">
      <c r="D758" s="66"/>
    </row>
    <row r="759" spans="4:4">
      <c r="D759" s="66"/>
    </row>
    <row r="760" spans="4:4">
      <c r="D760" s="66"/>
    </row>
    <row r="761" spans="4:4">
      <c r="D761" s="66"/>
    </row>
    <row r="762" spans="4:4">
      <c r="D762" s="66"/>
    </row>
    <row r="763" spans="4:4">
      <c r="D763" s="66"/>
    </row>
    <row r="764" spans="4:4">
      <c r="D764" s="66"/>
    </row>
    <row r="765" spans="4:4">
      <c r="D765" s="66"/>
    </row>
    <row r="766" spans="4:4">
      <c r="D766" s="66"/>
    </row>
    <row r="767" spans="4:4">
      <c r="D767" s="66"/>
    </row>
    <row r="768" spans="4:4">
      <c r="D768" s="66"/>
    </row>
    <row r="769" spans="4:4">
      <c r="D769" s="66"/>
    </row>
    <row r="770" spans="4:4">
      <c r="D770" s="66"/>
    </row>
    <row r="771" spans="4:4">
      <c r="D771" s="66"/>
    </row>
    <row r="772" spans="4:4">
      <c r="D772" s="66"/>
    </row>
    <row r="773" spans="4:4">
      <c r="D773" s="66"/>
    </row>
    <row r="774" spans="4:4">
      <c r="D774" s="66"/>
    </row>
    <row r="775" spans="4:4">
      <c r="D775" s="66"/>
    </row>
    <row r="776" spans="4:4">
      <c r="D776" s="66"/>
    </row>
    <row r="777" spans="4:4">
      <c r="D777" s="66"/>
    </row>
    <row r="778" spans="4:4">
      <c r="D778" s="66"/>
    </row>
    <row r="779" spans="4:4">
      <c r="D779" s="66"/>
    </row>
    <row r="780" spans="4:4">
      <c r="D780" s="66"/>
    </row>
    <row r="781" spans="4:4">
      <c r="D781" s="66"/>
    </row>
    <row r="782" spans="4:4">
      <c r="D782" s="66"/>
    </row>
    <row r="783" spans="4:4">
      <c r="D783" s="66"/>
    </row>
    <row r="784" spans="4:4">
      <c r="D784" s="66"/>
    </row>
    <row r="785" spans="4:4">
      <c r="D785" s="66"/>
    </row>
    <row r="786" spans="4:4">
      <c r="D786" s="66"/>
    </row>
    <row r="787" spans="4:4">
      <c r="D787" s="66"/>
    </row>
    <row r="788" spans="4:4">
      <c r="D788" s="66"/>
    </row>
    <row r="789" spans="4:4">
      <c r="D789" s="66"/>
    </row>
    <row r="790" spans="4:4">
      <c r="D790" s="66"/>
    </row>
    <row r="791" spans="4:4">
      <c r="D791" s="66"/>
    </row>
    <row r="792" spans="4:4">
      <c r="D792" s="66"/>
    </row>
    <row r="793" spans="4:4">
      <c r="D793" s="66"/>
    </row>
    <row r="794" spans="4:4">
      <c r="D794" s="66"/>
    </row>
    <row r="795" spans="4:4">
      <c r="D795" s="66"/>
    </row>
    <row r="796" spans="4:4">
      <c r="D796" s="66"/>
    </row>
    <row r="797" spans="4:4">
      <c r="D797" s="66"/>
    </row>
    <row r="798" spans="4:4">
      <c r="D798" s="66"/>
    </row>
    <row r="799" spans="4:4">
      <c r="D799" s="66"/>
    </row>
    <row r="800" spans="4:4">
      <c r="D800" s="66"/>
    </row>
    <row r="801" spans="4:4">
      <c r="D801" s="66"/>
    </row>
    <row r="802" spans="4:4">
      <c r="D802" s="66"/>
    </row>
    <row r="803" spans="4:4">
      <c r="D803" s="66"/>
    </row>
    <row r="804" spans="4:4">
      <c r="D804" s="66"/>
    </row>
    <row r="805" spans="4:4">
      <c r="D805" s="66"/>
    </row>
    <row r="806" spans="4:4">
      <c r="D806" s="66"/>
    </row>
    <row r="807" spans="4:4">
      <c r="D807" s="66"/>
    </row>
    <row r="808" spans="4:4">
      <c r="D808" s="66"/>
    </row>
    <row r="809" spans="4:4">
      <c r="D809" s="66"/>
    </row>
    <row r="810" spans="4:4">
      <c r="D810" s="66"/>
    </row>
    <row r="811" spans="4:4">
      <c r="D811" s="66"/>
    </row>
    <row r="812" spans="4:4">
      <c r="D812" s="66"/>
    </row>
    <row r="813" spans="4:4">
      <c r="D813" s="66"/>
    </row>
    <row r="814" spans="4:4">
      <c r="D814" s="66"/>
    </row>
    <row r="815" spans="4:4">
      <c r="D815" s="66"/>
    </row>
    <row r="816" spans="4:4">
      <c r="D816" s="66"/>
    </row>
    <row r="817" spans="4:4">
      <c r="D817" s="66"/>
    </row>
    <row r="818" spans="4:4">
      <c r="D818" s="66"/>
    </row>
    <row r="819" spans="4:4">
      <c r="D819" s="66"/>
    </row>
    <row r="820" spans="4:4">
      <c r="D820" s="66"/>
    </row>
    <row r="821" spans="4:4">
      <c r="D821" s="66"/>
    </row>
    <row r="822" spans="4:4">
      <c r="D822" s="66"/>
    </row>
    <row r="823" spans="4:4">
      <c r="D823" s="66"/>
    </row>
    <row r="824" spans="4:4">
      <c r="D824" s="66"/>
    </row>
    <row r="825" spans="4:4">
      <c r="D825" s="66"/>
    </row>
    <row r="826" spans="4:4">
      <c r="D826" s="66"/>
    </row>
    <row r="827" spans="4:4">
      <c r="D827" s="66"/>
    </row>
    <row r="828" spans="4:4">
      <c r="D828" s="66"/>
    </row>
    <row r="829" spans="4:4">
      <c r="D829" s="66"/>
    </row>
    <row r="830" spans="4:4">
      <c r="D830" s="66"/>
    </row>
    <row r="831" spans="4:4">
      <c r="D831" s="66"/>
    </row>
    <row r="832" spans="4:4">
      <c r="D832" s="66"/>
    </row>
    <row r="833" spans="4:4">
      <c r="D833" s="66"/>
    </row>
    <row r="834" spans="4:4">
      <c r="D834" s="66"/>
    </row>
    <row r="835" spans="4:4">
      <c r="D835" s="66"/>
    </row>
    <row r="836" spans="4:4">
      <c r="D836" s="66"/>
    </row>
    <row r="837" spans="4:4">
      <c r="D837" s="66"/>
    </row>
    <row r="838" spans="4:4">
      <c r="D838" s="66"/>
    </row>
    <row r="839" spans="4:4">
      <c r="D839" s="66"/>
    </row>
    <row r="840" spans="4:4">
      <c r="D840" s="66"/>
    </row>
    <row r="841" spans="4:4">
      <c r="D841" s="66"/>
    </row>
    <row r="842" spans="4:4">
      <c r="D842" s="66"/>
    </row>
    <row r="843" spans="4:4">
      <c r="D843" s="66"/>
    </row>
    <row r="844" spans="4:4">
      <c r="D844" s="66"/>
    </row>
    <row r="845" spans="4:4">
      <c r="D845" s="66"/>
    </row>
    <row r="846" spans="4:4">
      <c r="D846" s="66"/>
    </row>
    <row r="847" spans="4:4">
      <c r="D847" s="66"/>
    </row>
    <row r="848" spans="4:4">
      <c r="D848" s="66"/>
    </row>
    <row r="849" spans="4:4">
      <c r="D849" s="66"/>
    </row>
    <row r="850" spans="4:4">
      <c r="D850" s="66"/>
    </row>
    <row r="851" spans="4:4">
      <c r="D851" s="66"/>
    </row>
    <row r="852" spans="4:4">
      <c r="D852" s="66"/>
    </row>
    <row r="853" spans="4:4">
      <c r="D853" s="66"/>
    </row>
    <row r="854" spans="4:4">
      <c r="D854" s="66"/>
    </row>
    <row r="855" spans="4:4">
      <c r="D855" s="66"/>
    </row>
    <row r="856" spans="4:4">
      <c r="D856" s="66"/>
    </row>
    <row r="857" spans="4:4">
      <c r="D857" s="66"/>
    </row>
    <row r="858" spans="4:4">
      <c r="D858" s="66"/>
    </row>
    <row r="859" spans="4:4">
      <c r="D859" s="66"/>
    </row>
    <row r="860" spans="4:4">
      <c r="D860" s="66"/>
    </row>
    <row r="861" spans="4:4">
      <c r="D861" s="66"/>
    </row>
    <row r="862" spans="4:4">
      <c r="D862" s="66"/>
    </row>
    <row r="863" spans="4:4">
      <c r="D863" s="66"/>
    </row>
    <row r="864" spans="4:4">
      <c r="D864" s="66"/>
    </row>
    <row r="865" spans="4:4">
      <c r="D865" s="66"/>
    </row>
    <row r="866" spans="4:4">
      <c r="D866" s="66"/>
    </row>
    <row r="867" spans="4:4">
      <c r="D867" s="66"/>
    </row>
    <row r="868" spans="4:4">
      <c r="D868" s="66"/>
    </row>
    <row r="869" spans="4:4">
      <c r="D869" s="66"/>
    </row>
    <row r="870" spans="4:4">
      <c r="D870" s="66"/>
    </row>
    <row r="871" spans="4:4">
      <c r="D871" s="66"/>
    </row>
    <row r="872" spans="4:4">
      <c r="D872" s="66"/>
    </row>
    <row r="873" spans="4:4">
      <c r="D873" s="66"/>
    </row>
    <row r="874" spans="4:4">
      <c r="D874" s="66"/>
    </row>
    <row r="875" spans="4:4">
      <c r="D875" s="66"/>
    </row>
    <row r="876" spans="4:4">
      <c r="D876" s="66"/>
    </row>
    <row r="877" spans="4:4">
      <c r="D877" s="66"/>
    </row>
    <row r="878" spans="4:4">
      <c r="D878" s="66"/>
    </row>
    <row r="879" spans="4:4">
      <c r="D879" s="66"/>
    </row>
    <row r="880" spans="4:4">
      <c r="D880" s="66"/>
    </row>
    <row r="881" spans="4:4">
      <c r="D881" s="66"/>
    </row>
    <row r="882" spans="4:4">
      <c r="D882" s="66"/>
    </row>
    <row r="883" spans="4:4">
      <c r="D883" s="66"/>
    </row>
    <row r="884" spans="4:4">
      <c r="D884" s="66"/>
    </row>
    <row r="885" spans="4:4">
      <c r="D885" s="66"/>
    </row>
    <row r="886" spans="4:4">
      <c r="D886" s="66"/>
    </row>
    <row r="887" spans="4:4">
      <c r="D887" s="66"/>
    </row>
    <row r="888" spans="4:4">
      <c r="D888" s="66"/>
    </row>
    <row r="889" spans="4:4">
      <c r="D889" s="66"/>
    </row>
    <row r="890" spans="4:4">
      <c r="D890" s="66"/>
    </row>
    <row r="891" spans="4:4">
      <c r="D891" s="66"/>
    </row>
    <row r="892" spans="4:4">
      <c r="D892" s="66"/>
    </row>
    <row r="893" spans="4:4">
      <c r="D893" s="66"/>
    </row>
    <row r="894" spans="4:4">
      <c r="D894" s="66"/>
    </row>
    <row r="895" spans="4:4">
      <c r="D895" s="66"/>
    </row>
    <row r="896" spans="4:4">
      <c r="D896" s="66"/>
    </row>
    <row r="897" spans="4:4">
      <c r="D897" s="66"/>
    </row>
    <row r="898" spans="4:4">
      <c r="D898" s="66"/>
    </row>
    <row r="899" spans="4:4">
      <c r="D899" s="66"/>
    </row>
    <row r="900" spans="4:4">
      <c r="D900" s="66"/>
    </row>
    <row r="901" spans="4:4">
      <c r="D901" s="66"/>
    </row>
    <row r="902" spans="4:4">
      <c r="D902" s="66"/>
    </row>
    <row r="903" spans="4:4">
      <c r="D903" s="66"/>
    </row>
    <row r="904" spans="4:4">
      <c r="D904" s="66"/>
    </row>
    <row r="905" spans="4:4">
      <c r="D905" s="66"/>
    </row>
    <row r="906" spans="4:4">
      <c r="D906" s="66"/>
    </row>
    <row r="907" spans="4:4">
      <c r="D907" s="66"/>
    </row>
    <row r="908" spans="4:4">
      <c r="D908" s="66"/>
    </row>
    <row r="909" spans="4:4">
      <c r="D909" s="66"/>
    </row>
    <row r="910" spans="4:4">
      <c r="D910" s="66"/>
    </row>
    <row r="911" spans="4:4">
      <c r="D911" s="66"/>
    </row>
    <row r="912" spans="4:4">
      <c r="D912" s="66"/>
    </row>
    <row r="913" spans="4:4">
      <c r="D913" s="66"/>
    </row>
    <row r="914" spans="4:4">
      <c r="D914" s="66"/>
    </row>
    <row r="915" spans="4:4">
      <c r="D915" s="66"/>
    </row>
    <row r="916" spans="4:4">
      <c r="D916" s="66"/>
    </row>
    <row r="917" spans="4:4">
      <c r="D917" s="66"/>
    </row>
    <row r="918" spans="4:4">
      <c r="D918" s="66"/>
    </row>
    <row r="919" spans="4:4">
      <c r="D919" s="66"/>
    </row>
    <row r="920" spans="4:4">
      <c r="D920" s="66"/>
    </row>
    <row r="921" spans="4:4">
      <c r="D921" s="66"/>
    </row>
    <row r="922" spans="4:4">
      <c r="D922" s="66"/>
    </row>
    <row r="923" spans="4:4">
      <c r="D923" s="66"/>
    </row>
    <row r="924" spans="4:4">
      <c r="D924" s="66"/>
    </row>
    <row r="925" spans="4:4">
      <c r="D925" s="66"/>
    </row>
    <row r="926" spans="4:4">
      <c r="D926" s="66"/>
    </row>
    <row r="927" spans="4:4">
      <c r="D927" s="66"/>
    </row>
    <row r="928" spans="4:4">
      <c r="D928" s="66"/>
    </row>
    <row r="929" spans="4:4">
      <c r="D929" s="66"/>
    </row>
    <row r="930" spans="4:4">
      <c r="D930" s="66"/>
    </row>
    <row r="931" spans="4:4">
      <c r="D931" s="66"/>
    </row>
    <row r="932" spans="4:4">
      <c r="D932" s="66"/>
    </row>
    <row r="933" spans="4:4">
      <c r="D933" s="66"/>
    </row>
    <row r="934" spans="4:4">
      <c r="D934" s="66"/>
    </row>
    <row r="935" spans="4:4">
      <c r="D935" s="66"/>
    </row>
    <row r="936" spans="4:4">
      <c r="D936" s="66"/>
    </row>
    <row r="937" spans="4:4">
      <c r="D937" s="66"/>
    </row>
    <row r="938" spans="4:4">
      <c r="D938" s="66"/>
    </row>
    <row r="939" spans="4:4">
      <c r="D939" s="66"/>
    </row>
    <row r="940" spans="4:4">
      <c r="D940" s="66"/>
    </row>
    <row r="941" spans="4:4">
      <c r="D941" s="66"/>
    </row>
    <row r="942" spans="4:4">
      <c r="D942" s="66"/>
    </row>
    <row r="943" spans="4:4">
      <c r="D943" s="66"/>
    </row>
    <row r="944" spans="4:4">
      <c r="D944" s="66"/>
    </row>
    <row r="945" spans="4:4">
      <c r="D945" s="66"/>
    </row>
    <row r="946" spans="4:4">
      <c r="D946" s="66"/>
    </row>
    <row r="947" spans="4:4">
      <c r="D947" s="66"/>
    </row>
    <row r="948" spans="4:4">
      <c r="D948" s="66"/>
    </row>
    <row r="949" spans="4:4">
      <c r="D949" s="66"/>
    </row>
    <row r="950" spans="4:4">
      <c r="D950" s="66"/>
    </row>
    <row r="951" spans="4:4">
      <c r="D951" s="66"/>
    </row>
    <row r="952" spans="4:4">
      <c r="D952" s="66"/>
    </row>
    <row r="953" spans="4:4">
      <c r="D953" s="66"/>
    </row>
    <row r="954" spans="4:4">
      <c r="D954" s="66"/>
    </row>
    <row r="955" spans="4:4">
      <c r="D955" s="66"/>
    </row>
    <row r="956" spans="4:4">
      <c r="D956" s="66"/>
    </row>
    <row r="957" spans="4:4">
      <c r="D957" s="66"/>
    </row>
    <row r="958" spans="4:4">
      <c r="D958" s="66"/>
    </row>
    <row r="959" spans="4:4">
      <c r="D959" s="66"/>
    </row>
    <row r="960" spans="4:4">
      <c r="D960" s="66"/>
    </row>
    <row r="961" spans="4:4">
      <c r="D961" s="66"/>
    </row>
    <row r="962" spans="4:4">
      <c r="D962" s="66"/>
    </row>
    <row r="963" spans="4:4">
      <c r="D963" s="66"/>
    </row>
    <row r="964" spans="4:4">
      <c r="D964" s="66"/>
    </row>
    <row r="965" spans="4:4">
      <c r="D965" s="66"/>
    </row>
    <row r="966" spans="4:4">
      <c r="D966" s="66"/>
    </row>
    <row r="967" spans="4:4">
      <c r="D967" s="66"/>
    </row>
    <row r="968" spans="4:4">
      <c r="D968" s="66"/>
    </row>
    <row r="969" spans="4:4">
      <c r="D969" s="66"/>
    </row>
    <row r="970" spans="4:4">
      <c r="D970" s="66"/>
    </row>
    <row r="971" spans="4:4">
      <c r="D971" s="66"/>
    </row>
    <row r="972" spans="4:4">
      <c r="D972" s="66"/>
    </row>
    <row r="973" spans="4:4">
      <c r="D973" s="66"/>
    </row>
    <row r="974" spans="4:4">
      <c r="D974" s="66"/>
    </row>
    <row r="975" spans="4:4">
      <c r="D975" s="66"/>
    </row>
    <row r="976" spans="4:4">
      <c r="D976" s="66"/>
    </row>
    <row r="977" spans="4:4">
      <c r="D977" s="66"/>
    </row>
    <row r="978" spans="4:4">
      <c r="D978" s="66"/>
    </row>
    <row r="979" spans="4:4">
      <c r="D979" s="66"/>
    </row>
    <row r="980" spans="4:4">
      <c r="D980" s="66"/>
    </row>
    <row r="981" spans="4:4">
      <c r="D981" s="66"/>
    </row>
    <row r="982" spans="4:4">
      <c r="D982" s="66"/>
    </row>
    <row r="983" spans="4:4">
      <c r="D983" s="66"/>
    </row>
    <row r="984" spans="4:4">
      <c r="D984" s="66"/>
    </row>
    <row r="985" spans="4:4">
      <c r="D985" s="66"/>
    </row>
    <row r="986" spans="4:4">
      <c r="D986" s="66"/>
    </row>
    <row r="987" spans="4:4">
      <c r="D987" s="66"/>
    </row>
    <row r="988" spans="4:4">
      <c r="D988" s="66"/>
    </row>
    <row r="989" spans="4:4">
      <c r="D989" s="66"/>
    </row>
    <row r="990" spans="4:4">
      <c r="D990" s="66"/>
    </row>
    <row r="991" spans="4:4">
      <c r="D991" s="66"/>
    </row>
    <row r="992" spans="4:4">
      <c r="D992" s="66"/>
    </row>
    <row r="993" spans="4:4">
      <c r="D993" s="66"/>
    </row>
    <row r="994" spans="4:4">
      <c r="D994" s="66"/>
    </row>
    <row r="995" spans="4:4">
      <c r="D995" s="66"/>
    </row>
    <row r="996" spans="4:4">
      <c r="D996" s="66"/>
    </row>
    <row r="997" spans="4:4">
      <c r="D997" s="66"/>
    </row>
    <row r="998" spans="4:4">
      <c r="D998" s="66"/>
    </row>
    <row r="999" spans="4:4">
      <c r="D999" s="66"/>
    </row>
    <row r="1000" spans="4:4">
      <c r="D1000" s="66"/>
    </row>
    <row r="1001" spans="4:4">
      <c r="D1001" s="66"/>
    </row>
    <row r="1002" spans="4:4">
      <c r="D1002" s="66"/>
    </row>
    <row r="1003" spans="4:4">
      <c r="D1003" s="66"/>
    </row>
    <row r="1004" spans="4:4">
      <c r="D1004" s="66"/>
    </row>
    <row r="1005" spans="4:4">
      <c r="D1005" s="66"/>
    </row>
    <row r="1006" spans="4:4">
      <c r="D1006" s="66"/>
    </row>
    <row r="1007" spans="4:4">
      <c r="D1007" s="66"/>
    </row>
    <row r="1008" spans="4:4">
      <c r="D1008" s="66"/>
    </row>
    <row r="1009" spans="4:4">
      <c r="D1009" s="66"/>
    </row>
    <row r="1010" spans="4:4">
      <c r="D1010" s="66"/>
    </row>
    <row r="1011" spans="4:4">
      <c r="D1011" s="66"/>
    </row>
    <row r="1012" spans="4:4">
      <c r="D1012" s="66"/>
    </row>
    <row r="1013" spans="4:4">
      <c r="D1013" s="66"/>
    </row>
    <row r="1014" spans="4:4">
      <c r="D1014" s="66"/>
    </row>
    <row r="1015" spans="4:4">
      <c r="D1015" s="66"/>
    </row>
    <row r="1016" spans="4:4">
      <c r="D1016" s="66"/>
    </row>
    <row r="1017" spans="4:4">
      <c r="D1017" s="66"/>
    </row>
    <row r="1018" spans="4:4">
      <c r="D1018" s="66"/>
    </row>
    <row r="1019" spans="4:4">
      <c r="D1019" s="66"/>
    </row>
    <row r="1020" spans="4:4">
      <c r="D1020" s="66"/>
    </row>
    <row r="1021" spans="4:4">
      <c r="D1021" s="66"/>
    </row>
    <row r="1022" spans="4:4">
      <c r="D1022" s="66"/>
    </row>
    <row r="1023" spans="4:4">
      <c r="D1023" s="66"/>
    </row>
    <row r="1024" spans="4:4">
      <c r="D1024" s="66"/>
    </row>
    <row r="1025" spans="4:4">
      <c r="D1025" s="66"/>
    </row>
    <row r="1026" spans="4:4">
      <c r="D1026" s="66"/>
    </row>
    <row r="1027" spans="4:4">
      <c r="D1027" s="66"/>
    </row>
    <row r="1028" spans="4:4">
      <c r="D1028" s="66"/>
    </row>
    <row r="1029" spans="4:4">
      <c r="D1029" s="66"/>
    </row>
    <row r="1030" spans="4:4">
      <c r="D1030" s="66"/>
    </row>
    <row r="1031" spans="4:4">
      <c r="D1031" s="66"/>
    </row>
    <row r="1032" spans="4:4">
      <c r="D1032" s="66"/>
    </row>
    <row r="1033" spans="4:4">
      <c r="D1033" s="66"/>
    </row>
    <row r="1034" spans="4:4">
      <c r="D1034" s="66"/>
    </row>
    <row r="1035" spans="4:4">
      <c r="D1035" s="66"/>
    </row>
    <row r="1036" spans="4:4">
      <c r="D1036" s="66"/>
    </row>
    <row r="1037" spans="4:4">
      <c r="D1037" s="66"/>
    </row>
    <row r="1038" spans="4:4">
      <c r="D1038" s="66"/>
    </row>
    <row r="1039" spans="4:4">
      <c r="D1039" s="66"/>
    </row>
    <row r="1040" spans="4:4">
      <c r="D1040" s="66"/>
    </row>
    <row r="1041" spans="4:4">
      <c r="D1041" s="66"/>
    </row>
    <row r="1042" spans="4:4">
      <c r="D1042" s="66"/>
    </row>
    <row r="1043" spans="4:4">
      <c r="D1043" s="66"/>
    </row>
    <row r="1044" spans="4:4">
      <c r="D1044" s="66"/>
    </row>
    <row r="1045" spans="4:4">
      <c r="D1045" s="66"/>
    </row>
    <row r="1046" spans="4:4">
      <c r="D1046" s="66"/>
    </row>
    <row r="1047" spans="4:4">
      <c r="D1047" s="66"/>
    </row>
    <row r="1048" spans="4:4">
      <c r="D1048" s="66"/>
    </row>
    <row r="1049" spans="4:4">
      <c r="D1049" s="66"/>
    </row>
    <row r="1050" spans="4:4">
      <c r="D1050" s="66"/>
    </row>
    <row r="1051" spans="4:4">
      <c r="D1051" s="66"/>
    </row>
    <row r="1052" spans="4:4">
      <c r="D1052" s="66"/>
    </row>
    <row r="1053" spans="4:4">
      <c r="D1053" s="66"/>
    </row>
    <row r="1054" spans="4:4">
      <c r="D1054" s="66"/>
    </row>
    <row r="1055" spans="4:4">
      <c r="D1055" s="66"/>
    </row>
    <row r="1056" spans="4:4">
      <c r="D1056" s="66"/>
    </row>
    <row r="1057" spans="4:4">
      <c r="D1057" s="66"/>
    </row>
    <row r="1058" spans="4:4">
      <c r="D1058" s="66"/>
    </row>
    <row r="1059" spans="4:4">
      <c r="D1059" s="66"/>
    </row>
    <row r="1060" spans="4:4">
      <c r="D1060" s="66"/>
    </row>
    <row r="1061" spans="4:4">
      <c r="D1061" s="66"/>
    </row>
    <row r="1062" spans="4:4">
      <c r="D1062" s="66"/>
    </row>
    <row r="1063" spans="4:4">
      <c r="D1063" s="66"/>
    </row>
    <row r="1064" spans="4:4">
      <c r="D1064" s="66"/>
    </row>
    <row r="1065" spans="4:4">
      <c r="D1065" s="66"/>
    </row>
    <row r="1066" spans="4:4">
      <c r="D1066" s="66"/>
    </row>
    <row r="1067" spans="4:4">
      <c r="D1067" s="66"/>
    </row>
    <row r="1068" spans="4:4">
      <c r="D1068" s="66"/>
    </row>
    <row r="1069" spans="4:4">
      <c r="D1069" s="66"/>
    </row>
    <row r="1070" spans="4:4">
      <c r="D1070" s="66"/>
    </row>
    <row r="1071" spans="4:4">
      <c r="D1071" s="66"/>
    </row>
    <row r="1072" spans="4:4">
      <c r="D1072" s="66"/>
    </row>
    <row r="1073" spans="4:4">
      <c r="D1073" s="66"/>
    </row>
    <row r="1074" spans="4:4">
      <c r="D1074" s="66"/>
    </row>
    <row r="1075" spans="4:4">
      <c r="D1075" s="66"/>
    </row>
    <row r="1076" spans="4:4">
      <c r="D1076" s="66"/>
    </row>
    <row r="1077" spans="4:4">
      <c r="D1077" s="66"/>
    </row>
    <row r="1078" spans="4:4">
      <c r="D1078" s="66"/>
    </row>
    <row r="1079" spans="4:4">
      <c r="D1079" s="66"/>
    </row>
    <row r="1080" spans="4:4">
      <c r="D1080" s="66"/>
    </row>
    <row r="1081" spans="4:4">
      <c r="D1081" s="66"/>
    </row>
    <row r="1082" spans="4:4">
      <c r="D1082" s="66"/>
    </row>
    <row r="1083" spans="4:4">
      <c r="D1083" s="66"/>
    </row>
    <row r="1084" spans="4:4">
      <c r="D1084" s="66"/>
    </row>
    <row r="1085" spans="4:4">
      <c r="D1085" s="66"/>
    </row>
    <row r="1086" spans="4:4">
      <c r="D1086" s="66"/>
    </row>
    <row r="1087" spans="4:4">
      <c r="D1087" s="66"/>
    </row>
    <row r="1088" spans="4:4">
      <c r="D1088" s="66"/>
    </row>
    <row r="1089" spans="4:4">
      <c r="D1089" s="66"/>
    </row>
    <row r="1090" spans="4:4">
      <c r="D1090" s="66"/>
    </row>
    <row r="1091" spans="4:4">
      <c r="D1091" s="66"/>
    </row>
    <row r="1092" spans="4:4">
      <c r="D1092" s="66"/>
    </row>
    <row r="1093" spans="4:4">
      <c r="D1093" s="66"/>
    </row>
    <row r="1094" spans="4:4">
      <c r="D1094" s="66"/>
    </row>
    <row r="1095" spans="4:4">
      <c r="D1095" s="66"/>
    </row>
    <row r="1096" spans="4:4">
      <c r="D1096" s="66"/>
    </row>
    <row r="1097" spans="4:4">
      <c r="D1097" s="66"/>
    </row>
    <row r="1098" spans="4:4">
      <c r="D1098" s="66"/>
    </row>
    <row r="1099" spans="4:4">
      <c r="D1099" s="66"/>
    </row>
    <row r="1100" spans="4:4">
      <c r="D1100" s="66"/>
    </row>
    <row r="1101" spans="4:4">
      <c r="D1101" s="66"/>
    </row>
    <row r="1102" spans="4:4">
      <c r="D1102" s="66"/>
    </row>
    <row r="1103" spans="4:4">
      <c r="D1103" s="66"/>
    </row>
    <row r="1104" spans="4:4">
      <c r="D1104" s="66"/>
    </row>
    <row r="1105" spans="4:4">
      <c r="D1105" s="66"/>
    </row>
    <row r="1106" spans="4:4">
      <c r="D1106" s="66"/>
    </row>
    <row r="1107" spans="4:4">
      <c r="D1107" s="66"/>
    </row>
    <row r="1108" spans="4:4">
      <c r="D1108" s="66"/>
    </row>
    <row r="1109" spans="4:4">
      <c r="D1109" s="66"/>
    </row>
    <row r="1110" spans="4:4">
      <c r="D1110" s="66"/>
    </row>
    <row r="1111" spans="4:4">
      <c r="D1111" s="66"/>
    </row>
    <row r="1112" spans="4:4">
      <c r="D1112" s="66"/>
    </row>
    <row r="1113" spans="4:4">
      <c r="D1113" s="66"/>
    </row>
    <row r="1114" spans="4:4">
      <c r="D1114" s="66"/>
    </row>
    <row r="1115" spans="4:4">
      <c r="D1115" s="66"/>
    </row>
    <row r="1116" spans="4:4">
      <c r="D1116" s="66"/>
    </row>
    <row r="1117" spans="4:4">
      <c r="D1117" s="66"/>
    </row>
    <row r="1118" spans="4:4">
      <c r="D1118" s="66"/>
    </row>
    <row r="1119" spans="4:4">
      <c r="D1119" s="66"/>
    </row>
    <row r="1120" spans="4:4">
      <c r="D1120" s="66"/>
    </row>
    <row r="1121" spans="4:4">
      <c r="D1121" s="66"/>
    </row>
    <row r="1122" spans="4:4">
      <c r="D1122" s="66"/>
    </row>
    <row r="1123" spans="4:4">
      <c r="D1123" s="66"/>
    </row>
    <row r="1124" spans="4:4">
      <c r="D1124" s="66"/>
    </row>
    <row r="1125" spans="4:4">
      <c r="D1125" s="66"/>
    </row>
    <row r="1126" spans="4:4">
      <c r="D1126" s="66"/>
    </row>
    <row r="1127" spans="4:4">
      <c r="D1127" s="66"/>
    </row>
    <row r="1128" spans="4:4">
      <c r="D1128" s="66"/>
    </row>
    <row r="1129" spans="4:4">
      <c r="D1129" s="66"/>
    </row>
    <row r="1130" spans="4:4">
      <c r="D1130" s="66"/>
    </row>
    <row r="1131" spans="4:4">
      <c r="D1131" s="66"/>
    </row>
    <row r="1132" spans="4:4">
      <c r="D1132" s="66"/>
    </row>
    <row r="1133" spans="4:4">
      <c r="D1133" s="66"/>
    </row>
    <row r="1134" spans="4:4">
      <c r="D1134" s="66"/>
    </row>
    <row r="1135" spans="4:4">
      <c r="D1135" s="66"/>
    </row>
    <row r="1136" spans="4:4">
      <c r="D1136" s="66"/>
    </row>
    <row r="1137" spans="4:4">
      <c r="D1137" s="66"/>
    </row>
    <row r="1138" spans="4:4">
      <c r="D1138" s="66"/>
    </row>
    <row r="1139" spans="4:4">
      <c r="D1139" s="66"/>
    </row>
    <row r="1140" spans="4:4">
      <c r="D1140" s="66"/>
    </row>
    <row r="1141" spans="4:4">
      <c r="D1141" s="66"/>
    </row>
    <row r="1142" spans="4:4">
      <c r="D1142" s="66"/>
    </row>
    <row r="1143" spans="4:4">
      <c r="D1143" s="66"/>
    </row>
    <row r="1144" spans="4:4">
      <c r="D1144" s="66"/>
    </row>
    <row r="1145" spans="4:4">
      <c r="D1145" s="66"/>
    </row>
    <row r="1146" spans="4:4">
      <c r="D1146" s="66"/>
    </row>
    <row r="1147" spans="4:4">
      <c r="D1147" s="66"/>
    </row>
    <row r="1148" spans="4:4">
      <c r="D1148" s="66"/>
    </row>
    <row r="1149" spans="4:4">
      <c r="D1149" s="66"/>
    </row>
    <row r="1150" spans="4:4">
      <c r="D1150" s="66"/>
    </row>
    <row r="1151" spans="4:4">
      <c r="D1151" s="66"/>
    </row>
    <row r="1152" spans="4:4">
      <c r="D1152" s="66"/>
    </row>
    <row r="1153" spans="4:4">
      <c r="D1153" s="66"/>
    </row>
    <row r="1154" spans="4:4">
      <c r="D1154" s="66"/>
    </row>
    <row r="1155" spans="4:4">
      <c r="D1155" s="66"/>
    </row>
    <row r="1156" spans="4:4">
      <c r="D1156" s="66"/>
    </row>
    <row r="1157" spans="4:4">
      <c r="D1157" s="66"/>
    </row>
    <row r="1158" spans="4:4">
      <c r="D1158" s="66"/>
    </row>
    <row r="1159" spans="4:4">
      <c r="D1159" s="66"/>
    </row>
    <row r="1160" spans="4:4">
      <c r="D1160" s="66"/>
    </row>
    <row r="1161" spans="4:4">
      <c r="D1161" s="66"/>
    </row>
    <row r="1162" spans="4:4">
      <c r="D1162" s="66"/>
    </row>
    <row r="1163" spans="4:4">
      <c r="D1163" s="66"/>
    </row>
    <row r="1164" spans="4:4">
      <c r="D1164" s="66"/>
    </row>
    <row r="1165" spans="4:4">
      <c r="D1165" s="66"/>
    </row>
    <row r="1166" spans="4:4">
      <c r="D1166" s="66"/>
    </row>
    <row r="1167" spans="4:4">
      <c r="D1167" s="66"/>
    </row>
    <row r="1168" spans="4:4">
      <c r="D1168" s="66"/>
    </row>
    <row r="1169" spans="4:4">
      <c r="D1169" s="66"/>
    </row>
    <row r="1170" spans="4:4">
      <c r="D1170" s="66"/>
    </row>
    <row r="1171" spans="4:4">
      <c r="D1171" s="66"/>
    </row>
    <row r="1172" spans="4:4">
      <c r="D1172" s="66"/>
    </row>
    <row r="1173" spans="4:4">
      <c r="D1173" s="66"/>
    </row>
    <row r="1174" spans="4:4">
      <c r="D1174" s="66"/>
    </row>
    <row r="1175" spans="4:4">
      <c r="D1175" s="66"/>
    </row>
    <row r="1176" spans="4:4">
      <c r="D1176" s="66"/>
    </row>
    <row r="1177" spans="4:4">
      <c r="D1177" s="66"/>
    </row>
    <row r="1178" spans="4:4">
      <c r="D1178" s="66"/>
    </row>
    <row r="1179" spans="4:4">
      <c r="D1179" s="66"/>
    </row>
    <row r="1180" spans="4:4">
      <c r="D1180" s="66"/>
    </row>
    <row r="1181" spans="4:4">
      <c r="D1181" s="66"/>
    </row>
    <row r="1182" spans="4:4">
      <c r="D1182" s="66"/>
    </row>
    <row r="1183" spans="4:4">
      <c r="D1183" s="66"/>
    </row>
    <row r="1184" spans="4:4">
      <c r="D1184" s="66"/>
    </row>
    <row r="1185" spans="4:4">
      <c r="D1185" s="66"/>
    </row>
    <row r="1186" spans="4:4">
      <c r="D1186" s="66"/>
    </row>
    <row r="1187" spans="4:4">
      <c r="D1187" s="66"/>
    </row>
    <row r="1188" spans="4:4">
      <c r="D1188" s="66"/>
    </row>
    <row r="1189" spans="4:4">
      <c r="D1189" s="66"/>
    </row>
    <row r="1190" spans="4:4">
      <c r="D1190" s="66"/>
    </row>
    <row r="1191" spans="4:4">
      <c r="D1191" s="66"/>
    </row>
    <row r="1192" spans="4:4">
      <c r="D1192" s="66"/>
    </row>
    <row r="1193" spans="4:4">
      <c r="D1193" s="66"/>
    </row>
    <row r="1194" spans="4:4">
      <c r="D1194" s="66"/>
    </row>
    <row r="1195" spans="4:4">
      <c r="D1195" s="66"/>
    </row>
    <row r="1196" spans="4:4">
      <c r="D1196" s="66"/>
    </row>
    <row r="1197" spans="4:4">
      <c r="D1197" s="66"/>
    </row>
    <row r="1198" spans="4:4">
      <c r="D1198" s="66"/>
    </row>
    <row r="1199" spans="4:4">
      <c r="D1199" s="66"/>
    </row>
    <row r="1200" spans="4:4">
      <c r="D1200" s="66"/>
    </row>
    <row r="1201" spans="4:4">
      <c r="D1201" s="66"/>
    </row>
    <row r="1202" spans="4:4">
      <c r="D1202" s="66"/>
    </row>
    <row r="1203" spans="4:4">
      <c r="D1203" s="66"/>
    </row>
    <row r="1204" spans="4:4">
      <c r="D1204" s="66"/>
    </row>
    <row r="1205" spans="4:4">
      <c r="D1205" s="66"/>
    </row>
    <row r="1206" spans="4:4">
      <c r="D1206" s="66"/>
    </row>
    <row r="1207" spans="4:4">
      <c r="D1207" s="66"/>
    </row>
    <row r="1208" spans="4:4">
      <c r="D1208" s="66"/>
    </row>
    <row r="1209" spans="4:4">
      <c r="D1209" s="66"/>
    </row>
    <row r="1210" spans="4:4">
      <c r="D1210" s="66"/>
    </row>
    <row r="1211" spans="4:4">
      <c r="D1211" s="66"/>
    </row>
    <row r="1212" spans="4:4">
      <c r="D1212" s="66"/>
    </row>
    <row r="1213" spans="4:4">
      <c r="D1213" s="66"/>
    </row>
    <row r="1214" spans="4:4">
      <c r="D1214" s="66"/>
    </row>
    <row r="1215" spans="4:4">
      <c r="D1215" s="66"/>
    </row>
    <row r="1216" spans="4:4">
      <c r="D1216" s="66"/>
    </row>
    <row r="1217" spans="4:4">
      <c r="D1217" s="66"/>
    </row>
    <row r="1218" spans="4:4">
      <c r="D1218" s="66"/>
    </row>
    <row r="1219" spans="4:4">
      <c r="D1219" s="66"/>
    </row>
    <row r="1220" spans="4:4">
      <c r="D1220" s="66"/>
    </row>
    <row r="1221" spans="4:4">
      <c r="D1221" s="66"/>
    </row>
    <row r="1222" spans="4:4">
      <c r="D1222" s="66"/>
    </row>
    <row r="1223" spans="4:4">
      <c r="D1223" s="66"/>
    </row>
    <row r="1224" spans="4:4">
      <c r="D1224" s="66"/>
    </row>
    <row r="1225" spans="4:4">
      <c r="D1225" s="66"/>
    </row>
    <row r="1226" spans="4:4">
      <c r="D1226" s="66"/>
    </row>
    <row r="1227" spans="4:4">
      <c r="D1227" s="66"/>
    </row>
    <row r="1228" spans="4:4">
      <c r="D1228" s="66"/>
    </row>
    <row r="1229" spans="4:4">
      <c r="D1229" s="66"/>
    </row>
    <row r="1230" spans="4:4">
      <c r="D1230" s="66"/>
    </row>
    <row r="1231" spans="4:4">
      <c r="D1231" s="66"/>
    </row>
    <row r="1232" spans="4:4">
      <c r="D1232" s="66"/>
    </row>
    <row r="1233" spans="4:4">
      <c r="D1233" s="66"/>
    </row>
    <row r="1234" spans="4:4">
      <c r="D1234" s="66"/>
    </row>
    <row r="1235" spans="4:4">
      <c r="D1235" s="66"/>
    </row>
    <row r="1236" spans="4:4">
      <c r="D1236" s="66"/>
    </row>
    <row r="1237" spans="4:4">
      <c r="D1237" s="66"/>
    </row>
    <row r="1238" spans="4:4">
      <c r="D1238" s="66"/>
    </row>
    <row r="1239" spans="4:4">
      <c r="D1239" s="66"/>
    </row>
    <row r="1240" spans="4:4">
      <c r="D1240" s="66"/>
    </row>
    <row r="1241" spans="4:4">
      <c r="D1241" s="66"/>
    </row>
    <row r="1242" spans="4:4">
      <c r="D1242" s="66"/>
    </row>
    <row r="1243" spans="4:4">
      <c r="D1243" s="66"/>
    </row>
    <row r="1244" spans="4:4">
      <c r="D1244" s="66"/>
    </row>
    <row r="1245" spans="4:4">
      <c r="D1245" s="66"/>
    </row>
    <row r="1246" spans="4:4">
      <c r="D1246" s="66"/>
    </row>
    <row r="1247" spans="4:4">
      <c r="D1247" s="66"/>
    </row>
    <row r="1248" spans="4:4">
      <c r="D1248" s="66"/>
    </row>
    <row r="1249" spans="4:4">
      <c r="D1249" s="66"/>
    </row>
    <row r="1250" spans="4:4">
      <c r="D1250" s="66"/>
    </row>
    <row r="1251" spans="4:4">
      <c r="D1251" s="66"/>
    </row>
    <row r="1252" spans="4:4">
      <c r="D1252" s="66"/>
    </row>
    <row r="1253" spans="4:4">
      <c r="D1253" s="66"/>
    </row>
    <row r="1254" spans="4:4">
      <c r="D1254" s="66"/>
    </row>
    <row r="1255" spans="4:4">
      <c r="D1255" s="66"/>
    </row>
    <row r="1256" spans="4:4">
      <c r="D1256" s="66"/>
    </row>
    <row r="1257" spans="4:4">
      <c r="D1257" s="66"/>
    </row>
    <row r="1258" spans="4:4">
      <c r="D1258" s="66"/>
    </row>
    <row r="1259" spans="4:4">
      <c r="D1259" s="66"/>
    </row>
    <row r="1260" spans="4:4">
      <c r="D1260" s="66"/>
    </row>
    <row r="1261" spans="4:4">
      <c r="D1261" s="66"/>
    </row>
    <row r="1262" spans="4:4">
      <c r="D1262" s="66"/>
    </row>
    <row r="1263" spans="4:4">
      <c r="D1263" s="66"/>
    </row>
    <row r="1264" spans="4:4">
      <c r="D1264" s="66"/>
    </row>
    <row r="1265" spans="4:4">
      <c r="D1265" s="66"/>
    </row>
    <row r="1266" spans="4:4">
      <c r="D1266" s="66"/>
    </row>
    <row r="1267" spans="4:4">
      <c r="D1267" s="66"/>
    </row>
    <row r="1268" spans="4:4">
      <c r="D1268" s="66"/>
    </row>
    <row r="1269" spans="4:4">
      <c r="D1269" s="66"/>
    </row>
    <row r="1270" spans="4:4">
      <c r="D1270" s="66"/>
    </row>
    <row r="1271" spans="4:4">
      <c r="D1271" s="66"/>
    </row>
    <row r="1272" spans="4:4">
      <c r="D1272" s="66"/>
    </row>
    <row r="1273" spans="4:4">
      <c r="D1273" s="66"/>
    </row>
    <row r="1274" spans="4:4">
      <c r="D1274" s="66"/>
    </row>
    <row r="1275" spans="4:4">
      <c r="D1275" s="66"/>
    </row>
    <row r="1276" spans="4:4">
      <c r="D1276" s="66"/>
    </row>
    <row r="1277" spans="4:4">
      <c r="D1277" s="66"/>
    </row>
    <row r="1278" spans="4:4">
      <c r="D1278" s="66"/>
    </row>
    <row r="1279" spans="4:4">
      <c r="D1279" s="66"/>
    </row>
    <row r="1280" spans="4:4">
      <c r="D1280" s="66"/>
    </row>
    <row r="1281" spans="4:4">
      <c r="D1281" s="66"/>
    </row>
    <row r="1282" spans="4:4">
      <c r="D1282" s="66"/>
    </row>
    <row r="1283" spans="4:4">
      <c r="D1283" s="66"/>
    </row>
    <row r="1284" spans="4:4">
      <c r="D1284" s="66"/>
    </row>
    <row r="1285" spans="4:4">
      <c r="D1285" s="66"/>
    </row>
    <row r="1286" spans="4:4">
      <c r="D1286" s="66"/>
    </row>
    <row r="1287" spans="4:4">
      <c r="D1287" s="66"/>
    </row>
    <row r="1288" spans="4:4">
      <c r="D1288" s="66"/>
    </row>
    <row r="1289" spans="4:4">
      <c r="D1289" s="66"/>
    </row>
    <row r="1290" spans="4:4">
      <c r="D1290" s="66"/>
    </row>
    <row r="1291" spans="4:4">
      <c r="D1291" s="66"/>
    </row>
    <row r="1292" spans="4:4">
      <c r="D1292" s="66"/>
    </row>
    <row r="1293" spans="4:4">
      <c r="D1293" s="66"/>
    </row>
    <row r="1294" spans="4:4">
      <c r="D1294" s="66"/>
    </row>
    <row r="1295" spans="4:4">
      <c r="D1295" s="66"/>
    </row>
    <row r="1296" spans="4:4">
      <c r="D1296" s="66"/>
    </row>
    <row r="1297" spans="4:4">
      <c r="D1297" s="66"/>
    </row>
    <row r="1298" spans="4:4">
      <c r="D1298" s="66"/>
    </row>
    <row r="1299" spans="4:4">
      <c r="D1299" s="66"/>
    </row>
    <row r="1300" spans="4:4">
      <c r="D1300" s="66"/>
    </row>
    <row r="1301" spans="4:4">
      <c r="D1301" s="66"/>
    </row>
    <row r="1302" spans="4:4">
      <c r="D1302" s="66"/>
    </row>
    <row r="1303" spans="4:4">
      <c r="D1303" s="66"/>
    </row>
    <row r="1304" spans="4:4">
      <c r="D1304" s="66"/>
    </row>
    <row r="1305" spans="4:4">
      <c r="D1305" s="66"/>
    </row>
    <row r="1306" spans="4:4">
      <c r="D1306" s="66"/>
    </row>
    <row r="1307" spans="4:4">
      <c r="D1307" s="66"/>
    </row>
    <row r="1308" spans="4:4">
      <c r="D1308" s="66"/>
    </row>
    <row r="1309" spans="4:4">
      <c r="D1309" s="66"/>
    </row>
    <row r="1310" spans="4:4">
      <c r="D1310" s="66"/>
    </row>
    <row r="1311" spans="4:4">
      <c r="D1311" s="66"/>
    </row>
    <row r="1312" spans="4:4">
      <c r="D1312" s="66"/>
    </row>
    <row r="1313" spans="4:4">
      <c r="D1313" s="66"/>
    </row>
    <row r="1314" spans="4:4">
      <c r="D1314" s="66"/>
    </row>
    <row r="1315" spans="4:4">
      <c r="D1315" s="66"/>
    </row>
    <row r="1316" spans="4:4">
      <c r="D1316" s="66"/>
    </row>
    <row r="1317" spans="4:4">
      <c r="D1317" s="66"/>
    </row>
    <row r="1318" spans="4:4">
      <c r="D1318" s="66"/>
    </row>
    <row r="1319" spans="4:4">
      <c r="D1319" s="66"/>
    </row>
    <row r="1320" spans="4:4">
      <c r="D1320" s="66"/>
    </row>
    <row r="1321" spans="4:4">
      <c r="D1321" s="66"/>
    </row>
    <row r="1322" spans="4:4">
      <c r="D1322" s="66"/>
    </row>
    <row r="1323" spans="4:4">
      <c r="D1323" s="66"/>
    </row>
    <row r="1324" spans="4:4">
      <c r="D1324" s="66"/>
    </row>
    <row r="1325" spans="4:4">
      <c r="D1325" s="66"/>
    </row>
    <row r="1326" spans="4:4">
      <c r="D1326" s="66"/>
    </row>
    <row r="1327" spans="4:4">
      <c r="D1327" s="66"/>
    </row>
    <row r="1328" spans="4:4">
      <c r="D1328" s="66"/>
    </row>
    <row r="1329" spans="4:4">
      <c r="D1329" s="66"/>
    </row>
    <row r="1330" spans="4:4">
      <c r="D1330" s="66"/>
    </row>
    <row r="1331" spans="4:4">
      <c r="D1331" s="66"/>
    </row>
    <row r="1332" spans="4:4">
      <c r="D1332" s="66"/>
    </row>
    <row r="1333" spans="4:4">
      <c r="D1333" s="66"/>
    </row>
    <row r="1334" spans="4:4">
      <c r="D1334" s="66"/>
    </row>
    <row r="1335" spans="4:4">
      <c r="D1335" s="66"/>
    </row>
    <row r="1336" spans="4:4">
      <c r="D1336" s="66"/>
    </row>
    <row r="1337" spans="4:4">
      <c r="D1337" s="66"/>
    </row>
    <row r="1338" spans="4:4">
      <c r="D1338" s="66"/>
    </row>
    <row r="1339" spans="4:4">
      <c r="D1339" s="66"/>
    </row>
    <row r="1340" spans="4:4">
      <c r="D1340" s="66"/>
    </row>
    <row r="1341" spans="4:4">
      <c r="D1341" s="66"/>
    </row>
    <row r="1342" spans="4:4">
      <c r="D1342" s="66"/>
    </row>
    <row r="1343" spans="4:4">
      <c r="D1343" s="66"/>
    </row>
    <row r="1344" spans="4:4">
      <c r="D1344" s="66"/>
    </row>
    <row r="1345" spans="4:4">
      <c r="D1345" s="66"/>
    </row>
    <row r="1346" spans="4:4">
      <c r="D1346" s="66"/>
    </row>
    <row r="1347" spans="4:4">
      <c r="D1347" s="66"/>
    </row>
    <row r="1348" spans="4:4">
      <c r="D1348" s="66"/>
    </row>
    <row r="1349" spans="4:4">
      <c r="D1349" s="66"/>
    </row>
    <row r="1350" spans="4:4">
      <c r="D1350" s="66"/>
    </row>
    <row r="1351" spans="4:4">
      <c r="D1351" s="66"/>
    </row>
    <row r="1352" spans="4:4">
      <c r="D1352" s="66"/>
    </row>
    <row r="1353" spans="4:4">
      <c r="D1353" s="66"/>
    </row>
    <row r="1354" spans="4:4">
      <c r="D1354" s="66"/>
    </row>
    <row r="1355" spans="4:4">
      <c r="D1355" s="66"/>
    </row>
    <row r="1356" spans="4:4">
      <c r="D1356" s="66"/>
    </row>
    <row r="1357" spans="4:4">
      <c r="D1357" s="66"/>
    </row>
    <row r="1358" spans="4:4">
      <c r="D1358" s="66"/>
    </row>
    <row r="1359" spans="4:4">
      <c r="D1359" s="66"/>
    </row>
    <row r="1360" spans="4:4">
      <c r="D1360" s="66"/>
    </row>
    <row r="1361" spans="4:4">
      <c r="D1361" s="66"/>
    </row>
    <row r="1362" spans="4:4">
      <c r="D1362" s="66"/>
    </row>
    <row r="1363" spans="4:4">
      <c r="D1363" s="66"/>
    </row>
    <row r="1364" spans="4:4">
      <c r="D1364" s="66"/>
    </row>
    <row r="1365" spans="4:4">
      <c r="D1365" s="66"/>
    </row>
    <row r="1366" spans="4:4">
      <c r="D1366" s="66"/>
    </row>
    <row r="1367" spans="4:4">
      <c r="D1367" s="66"/>
    </row>
    <row r="1368" spans="4:4">
      <c r="D1368" s="66"/>
    </row>
    <row r="1369" spans="4:4">
      <c r="D1369" s="66"/>
    </row>
    <row r="1370" spans="4:4">
      <c r="D1370" s="66"/>
    </row>
    <row r="1371" spans="4:4">
      <c r="D1371" s="66"/>
    </row>
    <row r="1372" spans="4:4">
      <c r="D1372" s="66"/>
    </row>
    <row r="1373" spans="4:4">
      <c r="D1373" s="66"/>
    </row>
    <row r="1374" spans="4:4">
      <c r="D1374" s="66"/>
    </row>
    <row r="1375" spans="4:4">
      <c r="D1375" s="66"/>
    </row>
    <row r="1376" spans="4:4">
      <c r="D1376" s="66"/>
    </row>
    <row r="1377" spans="4:4">
      <c r="D1377" s="66"/>
    </row>
    <row r="1378" spans="4:4">
      <c r="D1378" s="66"/>
    </row>
    <row r="1379" spans="4:4">
      <c r="D1379" s="66"/>
    </row>
    <row r="1380" spans="4:4">
      <c r="D1380" s="66"/>
    </row>
    <row r="1381" spans="4:4">
      <c r="D1381" s="66"/>
    </row>
    <row r="1382" spans="4:4">
      <c r="D1382" s="66"/>
    </row>
    <row r="1383" spans="4:4">
      <c r="D1383" s="66"/>
    </row>
    <row r="1384" spans="4:4">
      <c r="D1384" s="66"/>
    </row>
    <row r="1385" spans="4:4">
      <c r="D1385" s="66"/>
    </row>
    <row r="1386" spans="4:4">
      <c r="D1386" s="66"/>
    </row>
    <row r="1387" spans="4:4">
      <c r="D1387" s="66"/>
    </row>
    <row r="1388" spans="4:4">
      <c r="D1388" s="66"/>
    </row>
    <row r="1389" spans="4:4">
      <c r="D1389" s="66"/>
    </row>
    <row r="1390" spans="4:4">
      <c r="D1390" s="66"/>
    </row>
    <row r="1391" spans="4:4">
      <c r="D1391" s="66"/>
    </row>
    <row r="1392" spans="4:4">
      <c r="D1392" s="66"/>
    </row>
    <row r="1393" spans="4:4">
      <c r="D1393" s="66"/>
    </row>
    <row r="1394" spans="4:4">
      <c r="D1394" s="66"/>
    </row>
    <row r="1395" spans="4:4">
      <c r="D1395" s="66"/>
    </row>
    <row r="1396" spans="4:4">
      <c r="D1396" s="66"/>
    </row>
    <row r="1397" spans="4:4">
      <c r="D1397" s="66"/>
    </row>
    <row r="1398" spans="4:4">
      <c r="D1398" s="66"/>
    </row>
    <row r="1399" spans="4:4">
      <c r="D1399" s="66"/>
    </row>
    <row r="1400" spans="4:4">
      <c r="D1400" s="66"/>
    </row>
    <row r="1401" spans="4:4">
      <c r="D1401" s="66"/>
    </row>
    <row r="1402" spans="4:4">
      <c r="D1402" s="66"/>
    </row>
    <row r="1403" spans="4:4">
      <c r="D1403" s="66"/>
    </row>
    <row r="1404" spans="4:4">
      <c r="D1404" s="66"/>
    </row>
    <row r="1405" spans="4:4">
      <c r="D1405" s="66"/>
    </row>
    <row r="1406" spans="4:4">
      <c r="D1406" s="66"/>
    </row>
    <row r="1407" spans="4:4">
      <c r="D1407" s="66"/>
    </row>
    <row r="1408" spans="4:4">
      <c r="D1408" s="66"/>
    </row>
    <row r="1409" spans="4:4">
      <c r="D1409" s="66"/>
    </row>
    <row r="1410" spans="4:4">
      <c r="D1410" s="66"/>
    </row>
    <row r="1411" spans="4:4">
      <c r="D1411" s="66"/>
    </row>
    <row r="1412" spans="4:4">
      <c r="D1412" s="66"/>
    </row>
    <row r="1413" spans="4:4">
      <c r="D1413" s="66"/>
    </row>
    <row r="1414" spans="4:4">
      <c r="D1414" s="66"/>
    </row>
    <row r="1415" spans="4:4">
      <c r="D1415" s="66"/>
    </row>
    <row r="1416" spans="4:4">
      <c r="D1416" s="66"/>
    </row>
    <row r="1417" spans="4:4">
      <c r="D1417" s="66"/>
    </row>
    <row r="1418" spans="4:4">
      <c r="D1418" s="66"/>
    </row>
    <row r="1419" spans="4:4">
      <c r="D1419" s="66"/>
    </row>
    <row r="1420" spans="4:4">
      <c r="D1420" s="66"/>
    </row>
    <row r="1421" spans="4:4">
      <c r="D1421" s="66"/>
    </row>
    <row r="1422" spans="4:4">
      <c r="D1422" s="66"/>
    </row>
    <row r="1423" spans="4:4">
      <c r="D1423" s="66"/>
    </row>
    <row r="1424" spans="4:4">
      <c r="D1424" s="66"/>
    </row>
    <row r="1425" spans="4:4">
      <c r="D1425" s="66"/>
    </row>
    <row r="1426" spans="4:4">
      <c r="D1426" s="66"/>
    </row>
    <row r="1427" spans="4:4">
      <c r="D1427" s="66"/>
    </row>
    <row r="1428" spans="4:4">
      <c r="D1428" s="66"/>
    </row>
    <row r="1429" spans="4:4">
      <c r="D1429" s="66"/>
    </row>
    <row r="1430" spans="4:4">
      <c r="D1430" s="66"/>
    </row>
    <row r="1431" spans="4:4">
      <c r="D1431" s="66"/>
    </row>
    <row r="1432" spans="4:4">
      <c r="D1432" s="66"/>
    </row>
    <row r="1433" spans="4:4">
      <c r="D1433" s="66"/>
    </row>
    <row r="1434" spans="4:4">
      <c r="D1434" s="66"/>
    </row>
    <row r="1435" spans="4:4">
      <c r="D1435" s="66"/>
    </row>
    <row r="1436" spans="4:4">
      <c r="D1436" s="66"/>
    </row>
    <row r="1437" spans="4:4">
      <c r="D1437" s="66"/>
    </row>
    <row r="1438" spans="4:4">
      <c r="D1438" s="66"/>
    </row>
    <row r="1439" spans="4:4">
      <c r="D1439" s="66"/>
    </row>
    <row r="1440" spans="4:4">
      <c r="D1440" s="66"/>
    </row>
    <row r="1441" spans="4:4">
      <c r="D1441" s="66"/>
    </row>
    <row r="1442" spans="4:4">
      <c r="D1442" s="66"/>
    </row>
    <row r="1443" spans="4:4">
      <c r="D1443" s="66"/>
    </row>
    <row r="1444" spans="4:4">
      <c r="D1444" s="66"/>
    </row>
    <row r="1445" spans="4:4">
      <c r="D1445" s="66"/>
    </row>
    <row r="1446" spans="4:4">
      <c r="D1446" s="66"/>
    </row>
    <row r="1447" spans="4:4">
      <c r="D1447" s="66"/>
    </row>
    <row r="1448" spans="4:4">
      <c r="D1448" s="66"/>
    </row>
    <row r="1449" spans="4:4">
      <c r="D1449" s="66"/>
    </row>
    <row r="1450" spans="4:4">
      <c r="D1450" s="66"/>
    </row>
    <row r="1451" spans="4:4">
      <c r="D1451" s="66"/>
    </row>
    <row r="1452" spans="4:4">
      <c r="D1452" s="66"/>
    </row>
    <row r="1453" spans="4:4">
      <c r="D1453" s="66"/>
    </row>
    <row r="1454" spans="4:4">
      <c r="D1454" s="66"/>
    </row>
    <row r="1455" spans="4:4">
      <c r="D1455" s="66"/>
    </row>
    <row r="1456" spans="4:4">
      <c r="D1456" s="66"/>
    </row>
    <row r="1457" spans="4:4">
      <c r="D1457" s="66"/>
    </row>
    <row r="1458" spans="4:4">
      <c r="D1458" s="66"/>
    </row>
    <row r="1459" spans="4:4">
      <c r="D1459" s="66"/>
    </row>
    <row r="1460" spans="4:4">
      <c r="D1460" s="66"/>
    </row>
    <row r="1461" spans="4:4">
      <c r="D1461" s="66"/>
    </row>
    <row r="1462" spans="4:4">
      <c r="D1462" s="66"/>
    </row>
    <row r="1463" spans="4:4">
      <c r="D1463" s="66"/>
    </row>
    <row r="1464" spans="4:4">
      <c r="D1464" s="66"/>
    </row>
    <row r="1465" spans="4:4">
      <c r="D1465" s="66"/>
    </row>
    <row r="1466" spans="4:4">
      <c r="D1466" s="66"/>
    </row>
    <row r="1467" spans="4:4">
      <c r="D1467" s="66"/>
    </row>
    <row r="1468" spans="4:4">
      <c r="D1468" s="66"/>
    </row>
    <row r="1469" spans="4:4">
      <c r="D1469" s="66"/>
    </row>
    <row r="1470" spans="4:4">
      <c r="D1470" s="66"/>
    </row>
    <row r="1471" spans="4:4">
      <c r="D1471" s="66"/>
    </row>
    <row r="1472" spans="4:4">
      <c r="D1472" s="66"/>
    </row>
    <row r="1473" spans="4:4">
      <c r="D1473" s="66"/>
    </row>
    <row r="1474" spans="4:4">
      <c r="D1474" s="66"/>
    </row>
    <row r="1475" spans="4:4">
      <c r="D1475" s="66"/>
    </row>
    <row r="1476" spans="4:4">
      <c r="D1476" s="66"/>
    </row>
    <row r="1477" spans="4:4">
      <c r="D1477" s="66"/>
    </row>
    <row r="1478" spans="4:4">
      <c r="D1478" s="66"/>
    </row>
    <row r="1479" spans="4:4">
      <c r="D1479" s="66"/>
    </row>
    <row r="1480" spans="4:4">
      <c r="D1480" s="66"/>
    </row>
    <row r="1481" spans="4:4">
      <c r="D1481" s="66"/>
    </row>
    <row r="1482" spans="4:4">
      <c r="D1482" s="66"/>
    </row>
    <row r="1483" spans="4:4">
      <c r="D1483" s="66"/>
    </row>
    <row r="1484" spans="4:4">
      <c r="D1484" s="66"/>
    </row>
    <row r="1485" spans="4:4">
      <c r="D1485" s="66"/>
    </row>
    <row r="1486" spans="4:4">
      <c r="D1486" s="66"/>
    </row>
    <row r="1487" spans="4:4">
      <c r="D1487" s="66"/>
    </row>
    <row r="1488" spans="4:4">
      <c r="D1488" s="66"/>
    </row>
    <row r="1489" spans="4:4">
      <c r="D1489" s="66"/>
    </row>
    <row r="1490" spans="4:4">
      <c r="D1490" s="66"/>
    </row>
    <row r="1491" spans="4:4">
      <c r="D1491" s="66"/>
    </row>
    <row r="1492" spans="4:4">
      <c r="D1492" s="66"/>
    </row>
    <row r="1493" spans="4:4">
      <c r="D1493" s="66"/>
    </row>
    <row r="1494" spans="4:4">
      <c r="D1494" s="66"/>
    </row>
    <row r="1495" spans="4:4">
      <c r="D1495" s="66"/>
    </row>
    <row r="1496" spans="4:4">
      <c r="D1496" s="66"/>
    </row>
    <row r="1497" spans="4:4">
      <c r="D1497" s="66"/>
    </row>
    <row r="1498" spans="4:4">
      <c r="D1498" s="66"/>
    </row>
    <row r="1499" spans="4:4">
      <c r="D1499" s="66"/>
    </row>
    <row r="1500" spans="4:4">
      <c r="D1500" s="66"/>
    </row>
    <row r="1501" spans="4:4">
      <c r="D1501" s="66"/>
    </row>
    <row r="1502" spans="4:4">
      <c r="D1502" s="66"/>
    </row>
    <row r="1503" spans="4:4">
      <c r="D1503" s="66"/>
    </row>
    <row r="1504" spans="4:4">
      <c r="D1504" s="66"/>
    </row>
    <row r="1505" spans="4:4">
      <c r="D1505" s="66"/>
    </row>
    <row r="1506" spans="4:4">
      <c r="D1506" s="66"/>
    </row>
    <row r="1507" spans="4:4">
      <c r="D1507" s="66"/>
    </row>
    <row r="1508" spans="4:4">
      <c r="D1508" s="66"/>
    </row>
    <row r="1509" spans="4:4">
      <c r="D1509" s="66"/>
    </row>
    <row r="1510" spans="4:4">
      <c r="D1510" s="66"/>
    </row>
    <row r="1511" spans="4:4">
      <c r="D1511" s="66"/>
    </row>
    <row r="1512" spans="4:4">
      <c r="D1512" s="66"/>
    </row>
    <row r="1513" spans="4:4">
      <c r="D1513" s="66"/>
    </row>
    <row r="1514" spans="4:4">
      <c r="D1514" s="66"/>
    </row>
    <row r="1515" spans="4:4">
      <c r="D1515" s="66"/>
    </row>
    <row r="1516" spans="4:4">
      <c r="D1516" s="66"/>
    </row>
    <row r="1517" spans="4:4">
      <c r="D1517" s="66"/>
    </row>
    <row r="1518" spans="4:4">
      <c r="D1518" s="66"/>
    </row>
    <row r="1519" spans="4:4">
      <c r="D1519" s="66"/>
    </row>
    <row r="1520" spans="4:4">
      <c r="D1520" s="66"/>
    </row>
    <row r="1521" spans="4:4">
      <c r="D1521" s="66"/>
    </row>
    <row r="1522" spans="4:4">
      <c r="D1522" s="66"/>
    </row>
    <row r="1523" spans="4:4">
      <c r="D1523" s="66"/>
    </row>
    <row r="1524" spans="4:4">
      <c r="D1524" s="66"/>
    </row>
    <row r="1525" spans="4:4">
      <c r="D1525" s="66"/>
    </row>
    <row r="1526" spans="4:4">
      <c r="D1526" s="66"/>
    </row>
    <row r="1527" spans="4:4">
      <c r="D1527" s="66"/>
    </row>
    <row r="1528" spans="4:4">
      <c r="D1528" s="66"/>
    </row>
    <row r="1529" spans="4:4">
      <c r="D1529" s="66"/>
    </row>
    <row r="1530" spans="4:4">
      <c r="D1530" s="66"/>
    </row>
    <row r="1531" spans="4:4">
      <c r="D1531" s="66"/>
    </row>
    <row r="1532" spans="4:4">
      <c r="D1532" s="66"/>
    </row>
    <row r="1533" spans="4:4">
      <c r="D1533" s="66"/>
    </row>
    <row r="1534" spans="4:4">
      <c r="D1534" s="66"/>
    </row>
    <row r="1535" spans="4:4">
      <c r="D1535" s="66"/>
    </row>
    <row r="1536" spans="4:4">
      <c r="D1536" s="66"/>
    </row>
    <row r="1537" spans="4:4">
      <c r="D1537" s="66"/>
    </row>
    <row r="1538" spans="4:4">
      <c r="D1538" s="66"/>
    </row>
    <row r="1539" spans="4:4">
      <c r="D1539" s="66"/>
    </row>
    <row r="1540" spans="4:4">
      <c r="D1540" s="66"/>
    </row>
    <row r="1541" spans="4:4">
      <c r="D1541" s="66"/>
    </row>
    <row r="1542" spans="4:4">
      <c r="D1542" s="66"/>
    </row>
    <row r="1543" spans="4:4">
      <c r="D1543" s="66"/>
    </row>
    <row r="1544" spans="4:4">
      <c r="D1544" s="66"/>
    </row>
    <row r="1545" spans="4:4">
      <c r="D1545" s="66"/>
    </row>
    <row r="1546" spans="4:4">
      <c r="D1546" s="66"/>
    </row>
    <row r="1547" spans="4:4">
      <c r="D1547" s="66"/>
    </row>
    <row r="1548" spans="4:4">
      <c r="D1548" s="66"/>
    </row>
    <row r="1549" spans="4:4">
      <c r="D1549" s="66"/>
    </row>
    <row r="1550" spans="4:4">
      <c r="D1550" s="66"/>
    </row>
    <row r="1551" spans="4:4">
      <c r="D1551" s="66"/>
    </row>
    <row r="1552" spans="4:4">
      <c r="D1552" s="66"/>
    </row>
    <row r="1553" spans="4:4">
      <c r="D1553" s="66"/>
    </row>
    <row r="1554" spans="4:4">
      <c r="D1554" s="66"/>
    </row>
    <row r="1555" spans="4:4">
      <c r="D1555" s="66"/>
    </row>
    <row r="1556" spans="4:4">
      <c r="D1556" s="66"/>
    </row>
    <row r="1557" spans="4:4">
      <c r="D1557" s="66"/>
    </row>
    <row r="1558" spans="4:4">
      <c r="D1558" s="66"/>
    </row>
    <row r="1559" spans="4:4">
      <c r="D1559" s="66"/>
    </row>
    <row r="1560" spans="4:4">
      <c r="D1560" s="66"/>
    </row>
    <row r="1561" spans="4:4">
      <c r="D1561" s="66"/>
    </row>
    <row r="1562" spans="4:4">
      <c r="D1562" s="66"/>
    </row>
    <row r="1563" spans="4:4">
      <c r="D1563" s="66"/>
    </row>
    <row r="1564" spans="4:4">
      <c r="D1564" s="66"/>
    </row>
    <row r="1565" spans="4:4">
      <c r="D1565" s="66"/>
    </row>
    <row r="1566" spans="4:4">
      <c r="D1566" s="66"/>
    </row>
    <row r="1567" spans="4:4">
      <c r="D1567" s="66"/>
    </row>
    <row r="1568" spans="4:4">
      <c r="D1568" s="66"/>
    </row>
    <row r="1569" spans="4:4">
      <c r="D1569" s="66"/>
    </row>
    <row r="1570" spans="4:4">
      <c r="D1570" s="66"/>
    </row>
    <row r="1571" spans="4:4">
      <c r="D1571" s="66"/>
    </row>
    <row r="1572" spans="4:4">
      <c r="D1572" s="66"/>
    </row>
    <row r="1573" spans="4:4">
      <c r="D1573" s="66"/>
    </row>
    <row r="1574" spans="4:4">
      <c r="D1574" s="66"/>
    </row>
    <row r="1575" spans="4:4">
      <c r="D1575" s="66"/>
    </row>
    <row r="1576" spans="4:4">
      <c r="D1576" s="66"/>
    </row>
    <row r="1577" spans="4:4">
      <c r="D1577" s="66"/>
    </row>
    <row r="1578" spans="4:4">
      <c r="D1578" s="66"/>
    </row>
    <row r="1579" spans="4:4">
      <c r="D1579" s="66"/>
    </row>
    <row r="1580" spans="4:4">
      <c r="D1580" s="66"/>
    </row>
    <row r="1581" spans="4:4">
      <c r="D1581" s="66"/>
    </row>
    <row r="1582" spans="4:4">
      <c r="D1582" s="66"/>
    </row>
    <row r="1583" spans="4:4">
      <c r="D1583" s="66"/>
    </row>
    <row r="1584" spans="4:4">
      <c r="D1584" s="66"/>
    </row>
    <row r="1585" spans="4:4">
      <c r="D1585" s="66"/>
    </row>
    <row r="1586" spans="4:4">
      <c r="D1586" s="66"/>
    </row>
    <row r="1587" spans="4:4">
      <c r="D1587" s="66"/>
    </row>
    <row r="1588" spans="4:4">
      <c r="D1588" s="66"/>
    </row>
    <row r="1589" spans="4:4">
      <c r="D1589" s="66"/>
    </row>
    <row r="1590" spans="4:4">
      <c r="D1590" s="66"/>
    </row>
    <row r="1591" spans="4:4">
      <c r="D1591" s="66"/>
    </row>
    <row r="1592" spans="4:4">
      <c r="D1592" s="66"/>
    </row>
    <row r="1593" spans="4:4">
      <c r="D1593" s="66"/>
    </row>
    <row r="1594" spans="4:4">
      <c r="D1594" s="66"/>
    </row>
    <row r="1595" spans="4:4">
      <c r="D1595" s="66"/>
    </row>
    <row r="1596" spans="4:4">
      <c r="D1596" s="66"/>
    </row>
    <row r="1597" spans="4:4">
      <c r="D1597" s="66"/>
    </row>
    <row r="1598" spans="4:4">
      <c r="D1598" s="66"/>
    </row>
    <row r="1599" spans="4:4">
      <c r="D1599" s="66"/>
    </row>
    <row r="1600" spans="4:4">
      <c r="D1600" s="66"/>
    </row>
    <row r="1601" spans="4:4">
      <c r="D1601" s="66"/>
    </row>
    <row r="1602" spans="4:4">
      <c r="D1602" s="66"/>
    </row>
    <row r="1603" spans="4:4">
      <c r="D1603" s="66"/>
    </row>
    <row r="1604" spans="4:4">
      <c r="D1604" s="66"/>
    </row>
    <row r="1605" spans="4:4">
      <c r="D1605" s="66"/>
    </row>
    <row r="1606" spans="4:4">
      <c r="D1606" s="66"/>
    </row>
    <row r="1607" spans="4:4">
      <c r="D1607" s="66"/>
    </row>
    <row r="1608" spans="4:4">
      <c r="D1608" s="66"/>
    </row>
    <row r="1609" spans="4:4">
      <c r="D1609" s="66"/>
    </row>
    <row r="1610" spans="4:4">
      <c r="D1610" s="66"/>
    </row>
    <row r="1611" spans="4:4">
      <c r="D1611" s="66"/>
    </row>
    <row r="1612" spans="4:4">
      <c r="D1612" s="66"/>
    </row>
    <row r="1613" spans="4:4">
      <c r="D1613" s="66"/>
    </row>
    <row r="1614" spans="4:4">
      <c r="D1614" s="66"/>
    </row>
    <row r="1615" spans="4:4">
      <c r="D1615" s="66"/>
    </row>
    <row r="1616" spans="4:4">
      <c r="D1616" s="66"/>
    </row>
    <row r="1617" spans="4:4">
      <c r="D1617" s="66"/>
    </row>
    <row r="1618" spans="4:4">
      <c r="D1618" s="66"/>
    </row>
    <row r="1619" spans="4:4">
      <c r="D1619" s="66"/>
    </row>
    <row r="1620" spans="4:4">
      <c r="D1620" s="66"/>
    </row>
    <row r="1621" spans="4:4">
      <c r="D1621" s="66"/>
    </row>
    <row r="1622" spans="4:4">
      <c r="D1622" s="66"/>
    </row>
    <row r="1623" spans="4:4">
      <c r="D1623" s="66"/>
    </row>
    <row r="1624" spans="4:4">
      <c r="D1624" s="66"/>
    </row>
    <row r="1625" spans="4:4">
      <c r="D1625" s="66"/>
    </row>
    <row r="1626" spans="4:4">
      <c r="D1626" s="66"/>
    </row>
    <row r="1627" spans="4:4">
      <c r="D1627" s="66"/>
    </row>
    <row r="1628" spans="4:4">
      <c r="D1628" s="66"/>
    </row>
    <row r="1629" spans="4:4">
      <c r="D1629" s="66"/>
    </row>
    <row r="1630" spans="4:4">
      <c r="D1630" s="66"/>
    </row>
    <row r="1631" spans="4:4">
      <c r="D1631" s="66"/>
    </row>
    <row r="1632" spans="4:4">
      <c r="D1632" s="66"/>
    </row>
    <row r="1633" spans="4:4">
      <c r="D1633" s="66"/>
    </row>
    <row r="1634" spans="4:4">
      <c r="D1634" s="66"/>
    </row>
    <row r="1635" spans="4:4">
      <c r="D1635" s="66"/>
    </row>
    <row r="1636" spans="4:4">
      <c r="D1636" s="66"/>
    </row>
    <row r="1637" spans="4:4">
      <c r="D1637" s="66"/>
    </row>
    <row r="1638" spans="4:4">
      <c r="D1638" s="66"/>
    </row>
    <row r="1639" spans="4:4">
      <c r="D1639" s="66"/>
    </row>
    <row r="1640" spans="4:4">
      <c r="D1640" s="66"/>
    </row>
    <row r="1641" spans="4:4">
      <c r="D1641" s="66"/>
    </row>
    <row r="1642" spans="4:4">
      <c r="D1642" s="66"/>
    </row>
    <row r="1643" spans="4:4">
      <c r="D1643" s="66"/>
    </row>
    <row r="1644" spans="4:4">
      <c r="D1644" s="66"/>
    </row>
    <row r="1645" spans="4:4">
      <c r="D1645" s="66"/>
    </row>
    <row r="1646" spans="4:4">
      <c r="D1646" s="66"/>
    </row>
    <row r="1647" spans="4:4">
      <c r="D1647" s="66"/>
    </row>
    <row r="1648" spans="4:4">
      <c r="D1648" s="66"/>
    </row>
    <row r="1649" spans="4:4">
      <c r="D1649" s="66"/>
    </row>
    <row r="1650" spans="4:4">
      <c r="D1650" s="66"/>
    </row>
    <row r="1651" spans="4:4">
      <c r="D1651" s="66"/>
    </row>
    <row r="1652" spans="4:4">
      <c r="D1652" s="66"/>
    </row>
    <row r="1653" spans="4:4">
      <c r="D1653" s="66"/>
    </row>
    <row r="1654" spans="4:4">
      <c r="D1654" s="66"/>
    </row>
    <row r="1655" spans="4:4">
      <c r="D1655" s="66"/>
    </row>
    <row r="1656" spans="4:4">
      <c r="D1656" s="66"/>
    </row>
    <row r="1657" spans="4:4">
      <c r="D1657" s="66"/>
    </row>
    <row r="1658" spans="4:4">
      <c r="D1658" s="66"/>
    </row>
    <row r="1659" spans="4:4">
      <c r="D1659" s="66"/>
    </row>
    <row r="1660" spans="4:4">
      <c r="D1660" s="66"/>
    </row>
    <row r="1661" spans="4:4">
      <c r="D1661" s="66"/>
    </row>
    <row r="1662" spans="4:4">
      <c r="D1662" s="66"/>
    </row>
    <row r="1663" spans="4:4">
      <c r="D1663" s="66"/>
    </row>
    <row r="1664" spans="4:4">
      <c r="D1664" s="66"/>
    </row>
    <row r="1665" spans="4:4">
      <c r="D1665" s="66"/>
    </row>
    <row r="1666" spans="4:4">
      <c r="D1666" s="66"/>
    </row>
    <row r="1667" spans="4:4">
      <c r="D1667" s="66"/>
    </row>
    <row r="1668" spans="4:4">
      <c r="D1668" s="66"/>
    </row>
    <row r="1669" spans="4:4">
      <c r="D1669" s="66"/>
    </row>
    <row r="1670" spans="4:4">
      <c r="D1670" s="66"/>
    </row>
    <row r="1671" spans="4:4">
      <c r="D1671" s="66"/>
    </row>
    <row r="1672" spans="4:4">
      <c r="D1672" s="66"/>
    </row>
    <row r="1673" spans="4:4">
      <c r="D1673" s="66"/>
    </row>
    <row r="1674" spans="4:4">
      <c r="D1674" s="66"/>
    </row>
    <row r="1675" spans="4:4">
      <c r="D1675" s="66"/>
    </row>
    <row r="1676" spans="4:4">
      <c r="D1676" s="66"/>
    </row>
    <row r="1677" spans="4:4">
      <c r="D1677" s="66"/>
    </row>
    <row r="1678" spans="4:4">
      <c r="D1678" s="66"/>
    </row>
    <row r="1679" spans="4:4">
      <c r="D1679" s="66"/>
    </row>
    <row r="1680" spans="4:4">
      <c r="D1680" s="66"/>
    </row>
    <row r="1681" spans="4:4">
      <c r="D1681" s="66"/>
    </row>
    <row r="1682" spans="4:4">
      <c r="D1682" s="66"/>
    </row>
    <row r="1683" spans="4:4">
      <c r="D1683" s="66"/>
    </row>
    <row r="1684" spans="4:4">
      <c r="D1684" s="66"/>
    </row>
    <row r="1685" spans="4:4">
      <c r="D1685" s="66"/>
    </row>
    <row r="1686" spans="4:4">
      <c r="D1686" s="66"/>
    </row>
    <row r="1687" spans="4:4">
      <c r="D1687" s="66"/>
    </row>
    <row r="1688" spans="4:4">
      <c r="D1688" s="66"/>
    </row>
    <row r="1689" spans="4:4">
      <c r="D1689" s="66"/>
    </row>
    <row r="1690" spans="4:4">
      <c r="D1690" s="66"/>
    </row>
    <row r="1691" spans="4:4">
      <c r="D1691" s="66"/>
    </row>
    <row r="1692" spans="4:4">
      <c r="D1692" s="66"/>
    </row>
    <row r="1693" spans="4:4">
      <c r="D1693" s="66"/>
    </row>
    <row r="1694" spans="4:4">
      <c r="D1694" s="66"/>
    </row>
    <row r="1695" spans="4:4">
      <c r="D1695" s="66"/>
    </row>
    <row r="1696" spans="4:4">
      <c r="D1696" s="66"/>
    </row>
    <row r="1697" spans="4:4">
      <c r="D1697" s="66"/>
    </row>
    <row r="1698" spans="4:4">
      <c r="D1698" s="66"/>
    </row>
    <row r="1699" spans="4:4">
      <c r="D1699" s="66"/>
    </row>
    <row r="1700" spans="4:4">
      <c r="D1700" s="66"/>
    </row>
    <row r="1701" spans="4:4">
      <c r="D1701" s="66"/>
    </row>
    <row r="1702" spans="4:4">
      <c r="D1702" s="66"/>
    </row>
    <row r="1703" spans="4:4">
      <c r="D1703" s="66"/>
    </row>
    <row r="1704" spans="4:4">
      <c r="D1704" s="66"/>
    </row>
    <row r="1705" spans="4:4">
      <c r="D1705" s="66"/>
    </row>
    <row r="1706" spans="4:4">
      <c r="D1706" s="66"/>
    </row>
    <row r="1707" spans="4:4">
      <c r="D1707" s="66"/>
    </row>
    <row r="1708" spans="4:4">
      <c r="D1708" s="66"/>
    </row>
    <row r="1709" spans="4:4">
      <c r="D1709" s="66"/>
    </row>
    <row r="1710" spans="4:4">
      <c r="D1710" s="66"/>
    </row>
    <row r="1711" spans="4:4">
      <c r="D1711" s="66"/>
    </row>
    <row r="1712" spans="4:4">
      <c r="D1712" s="66"/>
    </row>
    <row r="1713" spans="4:4">
      <c r="D1713" s="66"/>
    </row>
    <row r="1714" spans="4:4">
      <c r="D1714" s="66"/>
    </row>
    <row r="1715" spans="4:4">
      <c r="D1715" s="66"/>
    </row>
    <row r="1716" spans="4:4">
      <c r="D1716" s="66"/>
    </row>
    <row r="1717" spans="4:4">
      <c r="D1717" s="66"/>
    </row>
    <row r="1718" spans="4:4">
      <c r="D1718" s="66"/>
    </row>
    <row r="1719" spans="4:4">
      <c r="D1719" s="66"/>
    </row>
    <row r="1720" spans="4:4">
      <c r="D1720" s="66"/>
    </row>
    <row r="1721" spans="4:4">
      <c r="D1721" s="66"/>
    </row>
    <row r="1722" spans="4:4">
      <c r="D1722" s="66"/>
    </row>
    <row r="1723" spans="4:4">
      <c r="D1723" s="66"/>
    </row>
    <row r="1724" spans="4:4">
      <c r="D1724" s="66"/>
    </row>
    <row r="1725" spans="4:4">
      <c r="D1725" s="66"/>
    </row>
    <row r="1726" spans="4:4">
      <c r="D1726" s="66"/>
    </row>
    <row r="1727" spans="4:4">
      <c r="D1727" s="66"/>
    </row>
    <row r="1728" spans="4:4">
      <c r="D1728" s="66"/>
    </row>
    <row r="1729" spans="4:4">
      <c r="D1729" s="66"/>
    </row>
    <row r="1730" spans="4:4">
      <c r="D1730" s="66"/>
    </row>
    <row r="1731" spans="4:4">
      <c r="D1731" s="66"/>
    </row>
    <row r="1732" spans="4:4">
      <c r="D1732" s="66"/>
    </row>
    <row r="1733" spans="4:4">
      <c r="D1733" s="66"/>
    </row>
    <row r="1734" spans="4:4">
      <c r="D1734" s="66"/>
    </row>
    <row r="1735" spans="4:4">
      <c r="D1735" s="66"/>
    </row>
    <row r="1736" spans="4:4">
      <c r="D1736" s="66"/>
    </row>
    <row r="1737" spans="4:4">
      <c r="D1737" s="66"/>
    </row>
    <row r="1738" spans="4:4">
      <c r="D1738" s="66"/>
    </row>
    <row r="1739" spans="4:4">
      <c r="D1739" s="66"/>
    </row>
    <row r="1740" spans="4:4">
      <c r="D1740" s="66"/>
    </row>
    <row r="1741" spans="4:4">
      <c r="D1741" s="66"/>
    </row>
    <row r="1742" spans="4:4">
      <c r="D1742" s="66"/>
    </row>
    <row r="1743" spans="4:4">
      <c r="D1743" s="66"/>
    </row>
    <row r="1744" spans="4:4">
      <c r="D1744" s="66"/>
    </row>
    <row r="1745" spans="4:4">
      <c r="D1745" s="66"/>
    </row>
    <row r="1746" spans="4:4">
      <c r="D1746" s="66"/>
    </row>
    <row r="1747" spans="4:4">
      <c r="D1747" s="66"/>
    </row>
    <row r="1748" spans="4:4">
      <c r="D1748" s="66"/>
    </row>
    <row r="1749" spans="4:4">
      <c r="D1749" s="66"/>
    </row>
    <row r="1750" spans="4:4">
      <c r="D1750" s="66"/>
    </row>
    <row r="1751" spans="4:4">
      <c r="D1751" s="66"/>
    </row>
    <row r="1752" spans="4:4">
      <c r="D1752" s="66"/>
    </row>
    <row r="1753" spans="4:4">
      <c r="D1753" s="66"/>
    </row>
    <row r="1754" spans="4:4">
      <c r="D1754" s="66"/>
    </row>
    <row r="1755" spans="4:4">
      <c r="D1755" s="66"/>
    </row>
    <row r="1756" spans="4:4">
      <c r="D1756" s="66"/>
    </row>
    <row r="1757" spans="4:4">
      <c r="D1757" s="66"/>
    </row>
    <row r="1758" spans="4:4">
      <c r="D1758" s="66"/>
    </row>
    <row r="1759" spans="4:4">
      <c r="D1759" s="66"/>
    </row>
    <row r="1760" spans="4:4">
      <c r="D1760" s="66"/>
    </row>
    <row r="1761" spans="4:4">
      <c r="D1761" s="66"/>
    </row>
    <row r="1762" spans="4:4">
      <c r="D1762" s="66"/>
    </row>
    <row r="1763" spans="4:4">
      <c r="D1763" s="66"/>
    </row>
    <row r="1764" spans="4:4">
      <c r="D1764" s="66"/>
    </row>
    <row r="1765" spans="4:4">
      <c r="D1765" s="66"/>
    </row>
    <row r="1766" spans="4:4">
      <c r="D1766" s="66"/>
    </row>
    <row r="1767" spans="4:4">
      <c r="D1767" s="66"/>
    </row>
    <row r="1768" spans="4:4">
      <c r="D1768" s="66"/>
    </row>
    <row r="1769" spans="4:4">
      <c r="D1769" s="66"/>
    </row>
    <row r="1770" spans="4:4">
      <c r="D1770" s="66"/>
    </row>
    <row r="1771" spans="4:4">
      <c r="D1771" s="66"/>
    </row>
    <row r="1772" spans="4:4">
      <c r="D1772" s="66"/>
    </row>
    <row r="1773" spans="4:4">
      <c r="D1773" s="66"/>
    </row>
    <row r="1774" spans="4:4">
      <c r="D1774" s="66"/>
    </row>
    <row r="1775" spans="4:4">
      <c r="D1775" s="66"/>
    </row>
    <row r="1776" spans="4:4">
      <c r="D1776" s="66"/>
    </row>
    <row r="1777" spans="4:4">
      <c r="D1777" s="66"/>
    </row>
    <row r="1778" spans="4:4">
      <c r="D1778" s="66"/>
    </row>
    <row r="1779" spans="4:4">
      <c r="D1779" s="66"/>
    </row>
    <row r="1780" spans="4:4">
      <c r="D1780" s="66"/>
    </row>
    <row r="1781" spans="4:4">
      <c r="D1781" s="66"/>
    </row>
    <row r="1782" spans="4:4">
      <c r="D1782" s="66"/>
    </row>
    <row r="1783" spans="4:4">
      <c r="D1783" s="66"/>
    </row>
    <row r="1784" spans="4:4">
      <c r="D1784" s="66"/>
    </row>
    <row r="1785" spans="4:4">
      <c r="D1785" s="66"/>
    </row>
    <row r="1786" spans="4:4">
      <c r="D1786" s="66"/>
    </row>
    <row r="1787" spans="4:4">
      <c r="D1787" s="66"/>
    </row>
    <row r="1788" spans="4:4">
      <c r="D1788" s="66"/>
    </row>
    <row r="1789" spans="4:4">
      <c r="D1789" s="66"/>
    </row>
    <row r="1790" spans="4:4">
      <c r="D1790" s="66"/>
    </row>
    <row r="1791" spans="4:4">
      <c r="D1791" s="66"/>
    </row>
    <row r="1792" spans="4:4">
      <c r="D1792" s="66"/>
    </row>
    <row r="1793" spans="4:4">
      <c r="D1793" s="66"/>
    </row>
    <row r="1794" spans="4:4">
      <c r="D1794" s="66"/>
    </row>
    <row r="1795" spans="4:4">
      <c r="D1795" s="66"/>
    </row>
    <row r="1796" spans="4:4">
      <c r="D1796" s="66"/>
    </row>
    <row r="1797" spans="4:4">
      <c r="D1797" s="66"/>
    </row>
    <row r="1798" spans="4:4">
      <c r="D1798" s="66"/>
    </row>
    <row r="1799" spans="4:4">
      <c r="D1799" s="66"/>
    </row>
    <row r="1800" spans="4:4">
      <c r="D1800" s="66"/>
    </row>
    <row r="1801" spans="4:4">
      <c r="D1801" s="66"/>
    </row>
    <row r="1802" spans="4:4">
      <c r="D1802" s="66"/>
    </row>
    <row r="1803" spans="4:4">
      <c r="D1803" s="66"/>
    </row>
    <row r="1804" spans="4:4">
      <c r="D1804" s="66"/>
    </row>
    <row r="1805" spans="4:4">
      <c r="D1805" s="66"/>
    </row>
    <row r="1806" spans="4:4">
      <c r="D1806" s="66"/>
    </row>
    <row r="1807" spans="4:4">
      <c r="D1807" s="66"/>
    </row>
    <row r="1808" spans="4:4">
      <c r="D1808" s="66"/>
    </row>
    <row r="1809" spans="4:4">
      <c r="D1809" s="66"/>
    </row>
    <row r="1810" spans="4:4">
      <c r="D1810" s="66"/>
    </row>
    <row r="1811" spans="4:4">
      <c r="D1811" s="66"/>
    </row>
    <row r="1812" spans="4:4">
      <c r="D1812" s="66"/>
    </row>
    <row r="1813" spans="4:4">
      <c r="D1813" s="66"/>
    </row>
    <row r="1814" spans="4:4">
      <c r="D1814" s="66"/>
    </row>
    <row r="1815" spans="4:4">
      <c r="D1815" s="66"/>
    </row>
    <row r="1816" spans="4:4">
      <c r="D1816" s="66"/>
    </row>
    <row r="1817" spans="4:4">
      <c r="D1817" s="66"/>
    </row>
    <row r="1818" spans="4:4">
      <c r="D1818" s="66"/>
    </row>
    <row r="1819" spans="4:4">
      <c r="D1819" s="66"/>
    </row>
    <row r="1820" spans="4:4">
      <c r="D1820" s="66"/>
    </row>
    <row r="1821" spans="4:4">
      <c r="D1821" s="66"/>
    </row>
    <row r="1822" spans="4:4">
      <c r="D1822" s="66"/>
    </row>
    <row r="1823" spans="4:4">
      <c r="D1823" s="66"/>
    </row>
    <row r="1824" spans="4:4">
      <c r="D1824" s="66"/>
    </row>
    <row r="1825" spans="4:4">
      <c r="D1825" s="66"/>
    </row>
    <row r="1826" spans="4:4">
      <c r="D1826" s="66"/>
    </row>
    <row r="1827" spans="4:4">
      <c r="D1827" s="66"/>
    </row>
    <row r="1828" spans="4:4">
      <c r="D1828" s="66"/>
    </row>
    <row r="1829" spans="4:4">
      <c r="D1829" s="66"/>
    </row>
    <row r="1830" spans="4:4">
      <c r="D1830" s="66"/>
    </row>
    <row r="1831" spans="4:4">
      <c r="D1831" s="66"/>
    </row>
    <row r="1832" spans="4:4">
      <c r="D1832" s="66"/>
    </row>
    <row r="1833" spans="4:4">
      <c r="D1833" s="66"/>
    </row>
    <row r="1834" spans="4:4">
      <c r="D1834" s="66"/>
    </row>
    <row r="1835" spans="4:4">
      <c r="D1835" s="66"/>
    </row>
    <row r="1836" spans="4:4">
      <c r="D1836" s="66"/>
    </row>
    <row r="1837" spans="4:4">
      <c r="D1837" s="66"/>
    </row>
    <row r="1838" spans="4:4">
      <c r="D1838" s="66"/>
    </row>
    <row r="1839" spans="4:4">
      <c r="D1839" s="66"/>
    </row>
    <row r="1840" spans="4:4">
      <c r="D1840" s="66"/>
    </row>
    <row r="1841" spans="4:4">
      <c r="D1841" s="66"/>
    </row>
    <row r="1842" spans="4:4">
      <c r="D1842" s="66"/>
    </row>
    <row r="1843" spans="4:4">
      <c r="D1843" s="66"/>
    </row>
    <row r="1844" spans="4:4">
      <c r="D1844" s="66"/>
    </row>
    <row r="1845" spans="4:4">
      <c r="D1845" s="66"/>
    </row>
    <row r="1846" spans="4:4">
      <c r="D1846" s="66"/>
    </row>
    <row r="1847" spans="4:4">
      <c r="D1847" s="66"/>
    </row>
    <row r="1848" spans="4:4">
      <c r="D1848" s="66"/>
    </row>
    <row r="1849" spans="4:4">
      <c r="D1849" s="66"/>
    </row>
    <row r="1850" spans="4:4">
      <c r="D1850" s="66"/>
    </row>
    <row r="1851" spans="4:4">
      <c r="D1851" s="66"/>
    </row>
    <row r="1852" spans="4:4">
      <c r="D1852" s="66"/>
    </row>
    <row r="1853" spans="4:4">
      <c r="D1853" s="66"/>
    </row>
    <row r="1854" spans="4:4">
      <c r="D1854" s="66"/>
    </row>
    <row r="1855" spans="4:4">
      <c r="D1855" s="66"/>
    </row>
    <row r="1856" spans="4:4">
      <c r="D1856" s="66"/>
    </row>
    <row r="1857" spans="4:4">
      <c r="D1857" s="66"/>
    </row>
    <row r="1858" spans="4:4">
      <c r="D1858" s="66"/>
    </row>
    <row r="1859" spans="4:4">
      <c r="D1859" s="66"/>
    </row>
    <row r="1860" spans="4:4">
      <c r="D1860" s="66"/>
    </row>
    <row r="1861" spans="4:4">
      <c r="D1861" s="66"/>
    </row>
    <row r="1862" spans="4:4">
      <c r="D1862" s="66"/>
    </row>
    <row r="1863" spans="4:4">
      <c r="D1863" s="66"/>
    </row>
    <row r="1864" spans="4:4">
      <c r="D1864" s="66"/>
    </row>
    <row r="1865" spans="4:4">
      <c r="D1865" s="66"/>
    </row>
    <row r="1866" spans="4:4">
      <c r="D1866" s="66"/>
    </row>
    <row r="1867" spans="4:4">
      <c r="D1867" s="66"/>
    </row>
    <row r="1868" spans="4:4">
      <c r="D1868" s="66"/>
    </row>
    <row r="1869" spans="4:4">
      <c r="D1869" s="66"/>
    </row>
    <row r="1870" spans="4:4">
      <c r="D1870" s="66"/>
    </row>
    <row r="1871" spans="4:4">
      <c r="D1871" s="66"/>
    </row>
    <row r="1872" spans="4:4">
      <c r="D1872" s="66"/>
    </row>
    <row r="1873" spans="4:4">
      <c r="D1873" s="66"/>
    </row>
    <row r="1874" spans="4:4">
      <c r="D1874" s="66"/>
    </row>
    <row r="1875" spans="4:4">
      <c r="D1875" s="66"/>
    </row>
    <row r="1876" spans="4:4">
      <c r="D1876" s="66"/>
    </row>
    <row r="1877" spans="4:4">
      <c r="D1877" s="66"/>
    </row>
    <row r="1878" spans="4:4">
      <c r="D1878" s="66"/>
    </row>
    <row r="1879" spans="4:4">
      <c r="D1879" s="66"/>
    </row>
    <row r="1880" spans="4:4">
      <c r="D1880" s="66"/>
    </row>
    <row r="1881" spans="4:4">
      <c r="D1881" s="66"/>
    </row>
    <row r="1882" spans="4:4">
      <c r="D1882" s="66"/>
    </row>
    <row r="1883" spans="4:4">
      <c r="D1883" s="66"/>
    </row>
    <row r="1884" spans="4:4">
      <c r="D1884" s="66"/>
    </row>
    <row r="1885" spans="4:4">
      <c r="D1885" s="66"/>
    </row>
    <row r="1886" spans="4:4">
      <c r="D1886" s="66"/>
    </row>
    <row r="1887" spans="4:4">
      <c r="D1887" s="66"/>
    </row>
    <row r="1888" spans="4:4">
      <c r="D1888" s="66"/>
    </row>
    <row r="1889" spans="4:4">
      <c r="D1889" s="66"/>
    </row>
    <row r="1890" spans="4:4">
      <c r="D1890" s="66"/>
    </row>
    <row r="1891" spans="4:4">
      <c r="D1891" s="66"/>
    </row>
    <row r="1892" spans="4:4">
      <c r="D1892" s="66"/>
    </row>
    <row r="1893" spans="4:4">
      <c r="D1893" s="66"/>
    </row>
    <row r="1894" spans="4:4">
      <c r="D1894" s="66"/>
    </row>
    <row r="1895" spans="4:4">
      <c r="D1895" s="66"/>
    </row>
    <row r="1896" spans="4:4">
      <c r="D1896" s="66"/>
    </row>
    <row r="1897" spans="4:4">
      <c r="D1897" s="66"/>
    </row>
    <row r="1898" spans="4:4">
      <c r="D1898" s="66"/>
    </row>
    <row r="1899" spans="4:4">
      <c r="D1899" s="66"/>
    </row>
    <row r="1900" spans="4:4">
      <c r="D1900" s="66"/>
    </row>
    <row r="1901" spans="4:4">
      <c r="D1901" s="66"/>
    </row>
    <row r="1902" spans="4:4">
      <c r="D1902" s="66"/>
    </row>
    <row r="1903" spans="4:4">
      <c r="D1903" s="66"/>
    </row>
    <row r="1904" spans="4:4">
      <c r="D1904" s="66"/>
    </row>
    <row r="1905" spans="4:4">
      <c r="D1905" s="66"/>
    </row>
    <row r="1906" spans="4:4">
      <c r="D1906" s="66"/>
    </row>
    <row r="1907" spans="4:4">
      <c r="D1907" s="66"/>
    </row>
    <row r="1908" spans="4:4">
      <c r="D1908" s="66"/>
    </row>
    <row r="1909" spans="4:4">
      <c r="D1909" s="66"/>
    </row>
    <row r="1910" spans="4:4">
      <c r="D1910" s="66"/>
    </row>
    <row r="1911" spans="4:4">
      <c r="D1911" s="66"/>
    </row>
    <row r="1912" spans="4:4">
      <c r="D1912" s="66"/>
    </row>
    <row r="1913" spans="4:4">
      <c r="D1913" s="66"/>
    </row>
    <row r="1914" spans="4:4">
      <c r="D1914" s="66"/>
    </row>
    <row r="1915" spans="4:4">
      <c r="D1915" s="66"/>
    </row>
    <row r="1916" spans="4:4">
      <c r="D1916" s="66"/>
    </row>
    <row r="1917" spans="4:4">
      <c r="D1917" s="66"/>
    </row>
    <row r="1918" spans="4:4">
      <c r="D1918" s="66"/>
    </row>
    <row r="1919" spans="4:4">
      <c r="D1919" s="66"/>
    </row>
    <row r="1920" spans="4:4">
      <c r="D1920" s="66"/>
    </row>
    <row r="1921" spans="4:4">
      <c r="D1921" s="66"/>
    </row>
    <row r="1922" spans="4:4">
      <c r="D1922" s="66"/>
    </row>
    <row r="1923" spans="4:4">
      <c r="D1923" s="66"/>
    </row>
    <row r="1924" spans="4:4">
      <c r="D1924" s="66"/>
    </row>
    <row r="1925" spans="4:4">
      <c r="D1925" s="66"/>
    </row>
    <row r="1926" spans="4:4">
      <c r="D1926" s="66"/>
    </row>
    <row r="1927" spans="4:4">
      <c r="D1927" s="66"/>
    </row>
    <row r="1928" spans="4:4">
      <c r="D1928" s="66"/>
    </row>
    <row r="1929" spans="4:4">
      <c r="D1929" s="66"/>
    </row>
    <row r="1930" spans="4:4">
      <c r="D1930" s="66"/>
    </row>
    <row r="1931" spans="4:4">
      <c r="D1931" s="66"/>
    </row>
    <row r="1932" spans="4:4">
      <c r="D1932" s="66"/>
    </row>
    <row r="1933" spans="4:4">
      <c r="D1933" s="66"/>
    </row>
    <row r="1934" spans="4:4">
      <c r="D1934" s="66"/>
    </row>
    <row r="1935" spans="4:4">
      <c r="D1935" s="66"/>
    </row>
    <row r="1936" spans="4:4">
      <c r="D1936" s="66"/>
    </row>
    <row r="1937" spans="4:4">
      <c r="D1937" s="66"/>
    </row>
    <row r="1938" spans="4:4">
      <c r="D1938" s="66"/>
    </row>
    <row r="1939" spans="4:4">
      <c r="D1939" s="66"/>
    </row>
    <row r="1940" spans="4:4">
      <c r="D1940" s="66"/>
    </row>
    <row r="1941" spans="4:4">
      <c r="D1941" s="66"/>
    </row>
    <row r="1942" spans="4:4">
      <c r="D1942" s="66"/>
    </row>
    <row r="1943" spans="4:4">
      <c r="D1943" s="66"/>
    </row>
    <row r="1944" spans="4:4">
      <c r="D1944" s="66"/>
    </row>
    <row r="1945" spans="4:4">
      <c r="D1945" s="66"/>
    </row>
    <row r="1946" spans="4:4">
      <c r="D1946" s="66"/>
    </row>
    <row r="1947" spans="4:4">
      <c r="D1947" s="66"/>
    </row>
    <row r="1948" spans="4:4">
      <c r="D1948" s="66"/>
    </row>
    <row r="1949" spans="4:4">
      <c r="D1949" s="66"/>
    </row>
    <row r="1950" spans="4:4">
      <c r="D1950" s="66"/>
    </row>
    <row r="1951" spans="4:4">
      <c r="D1951" s="66"/>
    </row>
    <row r="1952" spans="4:4">
      <c r="D1952" s="66"/>
    </row>
    <row r="1953" spans="4:4">
      <c r="D1953" s="66"/>
    </row>
    <row r="1954" spans="4:4">
      <c r="D1954" s="66"/>
    </row>
    <row r="1955" spans="4:4">
      <c r="D1955" s="66"/>
    </row>
    <row r="1956" spans="4:4">
      <c r="D1956" s="66"/>
    </row>
    <row r="1957" spans="4:4">
      <c r="D1957" s="66"/>
    </row>
    <row r="1958" spans="4:4">
      <c r="D1958" s="66"/>
    </row>
    <row r="1959" spans="4:4">
      <c r="D1959" s="66"/>
    </row>
    <row r="1960" spans="4:4">
      <c r="D1960" s="66"/>
    </row>
    <row r="1961" spans="4:4">
      <c r="D1961" s="66"/>
    </row>
    <row r="1962" spans="4:4">
      <c r="D1962" s="66"/>
    </row>
    <row r="1963" spans="4:4">
      <c r="D1963" s="66"/>
    </row>
    <row r="1964" spans="4:4">
      <c r="D1964" s="66"/>
    </row>
    <row r="1965" spans="4:4">
      <c r="D1965" s="66"/>
    </row>
    <row r="1966" spans="4:4">
      <c r="D1966" s="66"/>
    </row>
    <row r="1967" spans="4:4">
      <c r="D1967" s="66"/>
    </row>
    <row r="1968" spans="4:4">
      <c r="D1968" s="66"/>
    </row>
    <row r="1969" spans="4:4">
      <c r="D1969" s="66"/>
    </row>
    <row r="1970" spans="4:4">
      <c r="D1970" s="66"/>
    </row>
    <row r="1971" spans="4:4">
      <c r="D1971" s="66"/>
    </row>
    <row r="1972" spans="4:4">
      <c r="D1972" s="66"/>
    </row>
    <row r="1973" spans="4:4">
      <c r="D1973" s="66"/>
    </row>
    <row r="1974" spans="4:4">
      <c r="D1974" s="66"/>
    </row>
    <row r="1975" spans="4:4">
      <c r="D1975" s="66"/>
    </row>
    <row r="1976" spans="4:4">
      <c r="D1976" s="66"/>
    </row>
    <row r="1977" spans="4:4">
      <c r="D1977" s="66"/>
    </row>
    <row r="1978" spans="4:4">
      <c r="D1978" s="66"/>
    </row>
    <row r="1979" spans="4:4">
      <c r="D1979" s="66"/>
    </row>
    <row r="1980" spans="4:4">
      <c r="D1980" s="66"/>
    </row>
    <row r="1981" spans="4:4">
      <c r="D1981" s="66"/>
    </row>
    <row r="1982" spans="4:4">
      <c r="D1982" s="66"/>
    </row>
    <row r="1983" spans="4:4">
      <c r="D1983" s="66"/>
    </row>
    <row r="1984" spans="4:4">
      <c r="D1984" s="66"/>
    </row>
    <row r="1985" spans="4:4">
      <c r="D1985" s="66"/>
    </row>
    <row r="1986" spans="4:4">
      <c r="D1986" s="66"/>
    </row>
    <row r="1987" spans="4:4">
      <c r="D1987" s="66"/>
    </row>
    <row r="1988" spans="4:4">
      <c r="D1988" s="66"/>
    </row>
    <row r="1989" spans="4:4">
      <c r="D1989" s="66"/>
    </row>
    <row r="1990" spans="4:4">
      <c r="D1990" s="66"/>
    </row>
    <row r="1991" spans="4:4">
      <c r="D1991" s="66"/>
    </row>
    <row r="1992" spans="4:4">
      <c r="D1992" s="66"/>
    </row>
    <row r="1993" spans="4:4">
      <c r="D1993" s="66"/>
    </row>
    <row r="1994" spans="4:4">
      <c r="D1994" s="66"/>
    </row>
    <row r="1995" spans="4:4">
      <c r="D1995" s="66"/>
    </row>
    <row r="1996" spans="4:4">
      <c r="D1996" s="66"/>
    </row>
    <row r="1997" spans="4:4">
      <c r="D1997" s="66"/>
    </row>
    <row r="1998" spans="4:4">
      <c r="D1998" s="66"/>
    </row>
    <row r="1999" spans="4:4">
      <c r="D1999" s="66"/>
    </row>
    <row r="2000" spans="4:4">
      <c r="D2000" s="66"/>
    </row>
    <row r="2001" spans="4:4">
      <c r="D2001" s="66"/>
    </row>
    <row r="2002" spans="4:4">
      <c r="D2002" s="66"/>
    </row>
    <row r="2003" spans="4:4">
      <c r="D2003" s="66"/>
    </row>
    <row r="2004" spans="4:4">
      <c r="D2004" s="66"/>
    </row>
    <row r="2005" spans="4:4">
      <c r="D2005" s="66"/>
    </row>
    <row r="2006" spans="4:4">
      <c r="D2006" s="66"/>
    </row>
    <row r="2007" spans="4:4">
      <c r="D2007" s="66"/>
    </row>
    <row r="2008" spans="4:4">
      <c r="D2008" s="66"/>
    </row>
    <row r="2009" spans="4:4">
      <c r="D2009" s="66"/>
    </row>
    <row r="2010" spans="4:4">
      <c r="D2010" s="66"/>
    </row>
    <row r="2011" spans="4:4">
      <c r="D2011" s="66"/>
    </row>
    <row r="2012" spans="4:4">
      <c r="D2012" s="66"/>
    </row>
    <row r="2013" spans="4:4">
      <c r="D2013" s="66"/>
    </row>
    <row r="2014" spans="4:4">
      <c r="D2014" s="66"/>
    </row>
    <row r="2015" spans="4:4">
      <c r="D2015" s="66"/>
    </row>
    <row r="2016" spans="4:4">
      <c r="D2016" s="66"/>
    </row>
    <row r="2017" spans="4:4">
      <c r="D2017" s="66"/>
    </row>
    <row r="2018" spans="4:4">
      <c r="D2018" s="66"/>
    </row>
    <row r="2019" spans="4:4">
      <c r="D2019" s="66"/>
    </row>
    <row r="2020" spans="4:4">
      <c r="D2020" s="66"/>
    </row>
    <row r="2021" spans="4:4">
      <c r="D2021" s="66"/>
    </row>
    <row r="2022" spans="4:4">
      <c r="D2022" s="66"/>
    </row>
    <row r="2023" spans="4:4">
      <c r="D2023" s="66"/>
    </row>
    <row r="2024" spans="4:4">
      <c r="D2024" s="66"/>
    </row>
    <row r="2025" spans="4:4">
      <c r="D2025" s="66"/>
    </row>
    <row r="2026" spans="4:4">
      <c r="D2026" s="66"/>
    </row>
    <row r="2027" spans="4:4">
      <c r="D2027" s="66"/>
    </row>
    <row r="2028" spans="4:4">
      <c r="D2028" s="66"/>
    </row>
    <row r="2029" spans="4:4">
      <c r="D2029" s="66"/>
    </row>
    <row r="2030" spans="4:4">
      <c r="D2030" s="66"/>
    </row>
    <row r="2031" spans="4:4">
      <c r="D2031" s="66"/>
    </row>
    <row r="2032" spans="4:4">
      <c r="D2032" s="66"/>
    </row>
    <row r="2033" spans="4:4">
      <c r="D2033" s="66"/>
    </row>
    <row r="2034" spans="4:4">
      <c r="D2034" s="66"/>
    </row>
    <row r="2035" spans="4:4">
      <c r="D2035" s="66"/>
    </row>
    <row r="2036" spans="4:4">
      <c r="D2036" s="66"/>
    </row>
    <row r="2037" spans="4:4">
      <c r="D2037" s="66"/>
    </row>
    <row r="2038" spans="4:4">
      <c r="D2038" s="66"/>
    </row>
    <row r="2039" spans="4:4">
      <c r="D2039" s="66"/>
    </row>
    <row r="2040" spans="4:4">
      <c r="D2040" s="66"/>
    </row>
    <row r="2041" spans="4:4">
      <c r="D2041" s="66"/>
    </row>
    <row r="2042" spans="4:4">
      <c r="D2042" s="66"/>
    </row>
    <row r="2043" spans="4:4">
      <c r="D2043" s="66"/>
    </row>
    <row r="2044" spans="4:4">
      <c r="D2044" s="66"/>
    </row>
    <row r="2045" spans="4:4">
      <c r="D2045" s="66"/>
    </row>
    <row r="2046" spans="4:4">
      <c r="D2046" s="66"/>
    </row>
    <row r="2047" spans="4:4">
      <c r="D2047" s="66"/>
    </row>
    <row r="2048" spans="4:4">
      <c r="D2048" s="66"/>
    </row>
    <row r="2049" spans="4:4">
      <c r="D2049" s="66"/>
    </row>
    <row r="2050" spans="4:4">
      <c r="D2050" s="66"/>
    </row>
    <row r="2051" spans="4:4">
      <c r="D2051" s="66"/>
    </row>
    <row r="2052" spans="4:4">
      <c r="D2052" s="66"/>
    </row>
    <row r="2053" spans="4:4">
      <c r="D2053" s="66"/>
    </row>
    <row r="2054" spans="4:4">
      <c r="D2054" s="66"/>
    </row>
    <row r="2055" spans="4:4">
      <c r="D2055" s="66"/>
    </row>
    <row r="2056" spans="4:4">
      <c r="D2056" s="66"/>
    </row>
    <row r="2057" spans="4:4">
      <c r="D2057" s="66"/>
    </row>
    <row r="2058" spans="4:4">
      <c r="D2058" s="66"/>
    </row>
    <row r="2059" spans="4:4">
      <c r="D2059" s="66"/>
    </row>
    <row r="2060" spans="4:4">
      <c r="D2060" s="66"/>
    </row>
    <row r="2061" spans="4:4">
      <c r="D2061" s="66"/>
    </row>
    <row r="2062" spans="4:4">
      <c r="D2062" s="66"/>
    </row>
    <row r="2063" spans="4:4">
      <c r="D2063" s="66"/>
    </row>
    <row r="2064" spans="4:4">
      <c r="D2064" s="66"/>
    </row>
    <row r="2065" spans="4:4">
      <c r="D2065" s="66"/>
    </row>
    <row r="2066" spans="4:4">
      <c r="D2066" s="66"/>
    </row>
    <row r="2067" spans="4:4">
      <c r="D2067" s="66"/>
    </row>
    <row r="2068" spans="4:4">
      <c r="D2068" s="66"/>
    </row>
    <row r="2069" spans="4:4">
      <c r="D2069" s="66"/>
    </row>
    <row r="2070" spans="4:4">
      <c r="D2070" s="66"/>
    </row>
    <row r="2071" spans="4:4">
      <c r="D2071" s="66"/>
    </row>
    <row r="2072" spans="4:4">
      <c r="D2072" s="66"/>
    </row>
    <row r="2073" spans="4:4">
      <c r="D2073" s="66"/>
    </row>
    <row r="2074" spans="4:4">
      <c r="D2074" s="66"/>
    </row>
    <row r="2075" spans="4:4">
      <c r="D2075" s="66"/>
    </row>
    <row r="2076" spans="4:4">
      <c r="D2076" s="66"/>
    </row>
    <row r="2077" spans="4:4">
      <c r="D2077" s="66"/>
    </row>
    <row r="2078" spans="4:4">
      <c r="D2078" s="66"/>
    </row>
    <row r="2079" spans="4:4">
      <c r="D2079" s="66"/>
    </row>
    <row r="2080" spans="4:4">
      <c r="D2080" s="66"/>
    </row>
    <row r="2081" spans="4:4">
      <c r="D2081" s="66"/>
    </row>
    <row r="2082" spans="4:4">
      <c r="D2082" s="66"/>
    </row>
    <row r="2083" spans="4:4">
      <c r="D2083" s="66"/>
    </row>
    <row r="2084" spans="4:4">
      <c r="D2084" s="66"/>
    </row>
    <row r="2085" spans="4:4">
      <c r="D2085" s="66"/>
    </row>
    <row r="2086" spans="4:4">
      <c r="D2086" s="66"/>
    </row>
    <row r="2087" spans="4:4">
      <c r="D2087" s="66"/>
    </row>
    <row r="2088" spans="4:4">
      <c r="D2088" s="66"/>
    </row>
    <row r="2089" spans="4:4">
      <c r="D2089" s="66"/>
    </row>
    <row r="2090" spans="4:4">
      <c r="D2090" s="66"/>
    </row>
    <row r="2091" spans="4:4">
      <c r="D2091" s="66"/>
    </row>
    <row r="2092" spans="4:4">
      <c r="D2092" s="66"/>
    </row>
    <row r="2093" spans="4:4">
      <c r="D2093" s="66"/>
    </row>
    <row r="2094" spans="4:4">
      <c r="D2094" s="66"/>
    </row>
    <row r="2095" spans="4:4">
      <c r="D2095" s="66"/>
    </row>
    <row r="2096" spans="4:4">
      <c r="D2096" s="66"/>
    </row>
    <row r="2097" spans="4:4">
      <c r="D2097" s="66"/>
    </row>
    <row r="2098" spans="4:4">
      <c r="D2098" s="66"/>
    </row>
    <row r="2099" spans="4:4">
      <c r="D2099" s="66"/>
    </row>
    <row r="2100" spans="4:4">
      <c r="D2100" s="66"/>
    </row>
    <row r="2101" spans="4:4">
      <c r="D2101" s="66"/>
    </row>
    <row r="2102" spans="4:4">
      <c r="D2102" s="66"/>
    </row>
    <row r="2103" spans="4:4">
      <c r="D2103" s="66"/>
    </row>
    <row r="2104" spans="4:4">
      <c r="D2104" s="66"/>
    </row>
    <row r="2105" spans="4:4">
      <c r="D2105" s="66"/>
    </row>
    <row r="2106" spans="4:4">
      <c r="D2106" s="66"/>
    </row>
    <row r="2107" spans="4:4">
      <c r="D2107" s="66"/>
    </row>
    <row r="2108" spans="4:4">
      <c r="D2108" s="66"/>
    </row>
    <row r="2109" spans="4:4">
      <c r="D2109" s="66"/>
    </row>
    <row r="2110" spans="4:4">
      <c r="D2110" s="66"/>
    </row>
    <row r="2111" spans="4:4">
      <c r="D2111" s="66"/>
    </row>
    <row r="2112" spans="4:4">
      <c r="D2112" s="66"/>
    </row>
    <row r="2113" spans="4:4">
      <c r="D2113" s="66"/>
    </row>
    <row r="2114" spans="4:4">
      <c r="D2114" s="66"/>
    </row>
    <row r="2115" spans="4:4">
      <c r="D2115" s="66"/>
    </row>
    <row r="2116" spans="4:4">
      <c r="D2116" s="66"/>
    </row>
    <row r="2117" spans="4:4">
      <c r="D2117" s="66"/>
    </row>
    <row r="2118" spans="4:4">
      <c r="D2118" s="66"/>
    </row>
    <row r="2119" spans="4:4">
      <c r="D2119" s="66"/>
    </row>
    <row r="2120" spans="4:4">
      <c r="D2120" s="66"/>
    </row>
    <row r="2121" spans="4:4">
      <c r="D2121" s="66"/>
    </row>
    <row r="2122" spans="4:4">
      <c r="D2122" s="66"/>
    </row>
    <row r="2123" spans="4:4">
      <c r="D2123" s="66"/>
    </row>
    <row r="2124" spans="4:4">
      <c r="D2124" s="66"/>
    </row>
    <row r="2125" spans="4:4">
      <c r="D2125" s="66"/>
    </row>
    <row r="2126" spans="4:4">
      <c r="D2126" s="66"/>
    </row>
    <row r="2127" spans="4:4">
      <c r="D2127" s="66"/>
    </row>
    <row r="2128" spans="4:4">
      <c r="D2128" s="66"/>
    </row>
    <row r="2129" spans="4:4">
      <c r="D2129" s="66"/>
    </row>
    <row r="2130" spans="4:4">
      <c r="D2130" s="66"/>
    </row>
    <row r="2131" spans="4:4">
      <c r="D2131" s="66"/>
    </row>
    <row r="2132" spans="4:4">
      <c r="D2132" s="66"/>
    </row>
    <row r="2133" spans="4:4">
      <c r="D2133" s="66"/>
    </row>
    <row r="2134" spans="4:4">
      <c r="D2134" s="66"/>
    </row>
    <row r="2135" spans="4:4">
      <c r="D2135" s="66"/>
    </row>
    <row r="2136" spans="4:4">
      <c r="D2136" s="66"/>
    </row>
    <row r="2137" spans="4:4">
      <c r="D2137" s="66"/>
    </row>
    <row r="2138" spans="4:4">
      <c r="D2138" s="66"/>
    </row>
    <row r="2139" spans="4:4">
      <c r="D2139" s="66"/>
    </row>
    <row r="2140" spans="4:4">
      <c r="D2140" s="66"/>
    </row>
    <row r="2141" spans="4:4">
      <c r="D2141" s="66"/>
    </row>
    <row r="2142" spans="4:4">
      <c r="D2142" s="66"/>
    </row>
    <row r="2143" spans="4:4">
      <c r="D2143" s="66"/>
    </row>
    <row r="2144" spans="4:4">
      <c r="D2144" s="66"/>
    </row>
    <row r="2145" spans="4:4">
      <c r="D2145" s="66"/>
    </row>
    <row r="2146" spans="4:4">
      <c r="D2146" s="66"/>
    </row>
    <row r="2147" spans="4:4">
      <c r="D2147" s="66"/>
    </row>
    <row r="2148" spans="4:4">
      <c r="D2148" s="66"/>
    </row>
    <row r="2149" spans="4:4">
      <c r="D2149" s="66"/>
    </row>
    <row r="2150" spans="4:4">
      <c r="D2150" s="66"/>
    </row>
    <row r="2151" spans="4:4">
      <c r="D2151" s="66"/>
    </row>
    <row r="2152" spans="4:4">
      <c r="D2152" s="66"/>
    </row>
    <row r="2153" spans="4:4">
      <c r="D2153" s="66"/>
    </row>
    <row r="2154" spans="4:4">
      <c r="D2154" s="66"/>
    </row>
    <row r="2155" spans="4:4">
      <c r="D2155" s="66"/>
    </row>
    <row r="2156" spans="4:4">
      <c r="D2156" s="66"/>
    </row>
    <row r="2157" spans="4:4">
      <c r="D2157" s="66"/>
    </row>
    <row r="2158" spans="4:4">
      <c r="D2158" s="66"/>
    </row>
    <row r="2159" spans="4:4">
      <c r="D2159" s="66"/>
    </row>
    <row r="2160" spans="4:4">
      <c r="D2160" s="66"/>
    </row>
    <row r="2161" spans="4:4">
      <c r="D2161" s="66"/>
    </row>
    <row r="2162" spans="4:4">
      <c r="D2162" s="66"/>
    </row>
    <row r="2163" spans="4:4">
      <c r="D2163" s="66"/>
    </row>
    <row r="2164" spans="4:4">
      <c r="D2164" s="66"/>
    </row>
    <row r="2165" spans="4:4">
      <c r="D2165" s="66"/>
    </row>
    <row r="2166" spans="4:4">
      <c r="D2166" s="66"/>
    </row>
    <row r="2167" spans="4:4">
      <c r="D2167" s="66"/>
    </row>
    <row r="2168" spans="4:4">
      <c r="D2168" s="66"/>
    </row>
    <row r="2169" spans="4:4">
      <c r="D2169" s="66"/>
    </row>
    <row r="2170" spans="4:4">
      <c r="D2170" s="66"/>
    </row>
    <row r="2171" spans="4:4">
      <c r="D2171" s="66"/>
    </row>
    <row r="2172" spans="4:4">
      <c r="D2172" s="66"/>
    </row>
    <row r="2173" spans="4:4">
      <c r="D2173" s="66"/>
    </row>
    <row r="2174" spans="4:4">
      <c r="D2174" s="66"/>
    </row>
    <row r="2175" spans="4:4">
      <c r="D2175" s="66"/>
    </row>
    <row r="2176" spans="4:4">
      <c r="D2176" s="66"/>
    </row>
    <row r="2177" spans="4:4">
      <c r="D2177" s="66"/>
    </row>
    <row r="2178" spans="4:4">
      <c r="D2178" s="66"/>
    </row>
    <row r="2179" spans="4:4">
      <c r="D2179" s="66"/>
    </row>
    <row r="2180" spans="4:4">
      <c r="D2180" s="66"/>
    </row>
    <row r="2181" spans="4:4">
      <c r="D2181" s="66"/>
    </row>
    <row r="2182" spans="4:4">
      <c r="D2182" s="66"/>
    </row>
    <row r="2183" spans="4:4">
      <c r="D2183" s="66"/>
    </row>
    <row r="2184" spans="4:4">
      <c r="D2184" s="66"/>
    </row>
    <row r="2185" spans="4:4">
      <c r="D2185" s="66"/>
    </row>
    <row r="2186" spans="4:4">
      <c r="D2186" s="66"/>
    </row>
    <row r="2187" spans="4:4">
      <c r="D2187" s="66"/>
    </row>
    <row r="2188" spans="4:4">
      <c r="D2188" s="66"/>
    </row>
    <row r="2189" spans="4:4">
      <c r="D2189" s="66"/>
    </row>
    <row r="2190" spans="4:4">
      <c r="D2190" s="66"/>
    </row>
    <row r="2191" spans="4:4">
      <c r="D2191" s="66"/>
    </row>
    <row r="2192" spans="4:4">
      <c r="D2192" s="66"/>
    </row>
    <row r="2193" spans="4:4">
      <c r="D2193" s="66"/>
    </row>
    <row r="2194" spans="4:4">
      <c r="D2194" s="66"/>
    </row>
    <row r="2195" spans="4:4">
      <c r="D2195" s="66"/>
    </row>
    <row r="2196" spans="4:4">
      <c r="D2196" s="66"/>
    </row>
    <row r="2197" spans="4:4">
      <c r="D2197" s="66"/>
    </row>
    <row r="2198" spans="4:4">
      <c r="D2198" s="66"/>
    </row>
    <row r="2199" spans="4:4">
      <c r="D2199" s="66"/>
    </row>
    <row r="2200" spans="4:4">
      <c r="D2200" s="66"/>
    </row>
    <row r="2201" spans="4:4">
      <c r="D2201" s="66"/>
    </row>
    <row r="2202" spans="4:4">
      <c r="D2202" s="66"/>
    </row>
    <row r="2203" spans="4:4">
      <c r="D2203" s="66"/>
    </row>
    <row r="2204" spans="4:4">
      <c r="D2204" s="66"/>
    </row>
    <row r="2205" spans="4:4">
      <c r="D2205" s="66"/>
    </row>
    <row r="2206" spans="4:4">
      <c r="D2206" s="66"/>
    </row>
    <row r="2207" spans="4:4">
      <c r="D2207" s="66"/>
    </row>
    <row r="2208" spans="4:4">
      <c r="D2208" s="66"/>
    </row>
    <row r="2209" spans="4:4">
      <c r="D2209" s="66"/>
    </row>
    <row r="2210" spans="4:4">
      <c r="D2210" s="66"/>
    </row>
    <row r="2211" spans="4:4">
      <c r="D2211" s="66"/>
    </row>
    <row r="2212" spans="4:4">
      <c r="D2212" s="66"/>
    </row>
    <row r="2213" spans="4:4">
      <c r="D2213" s="66"/>
    </row>
    <row r="2214" spans="4:4">
      <c r="D2214" s="66"/>
    </row>
    <row r="2215" spans="4:4">
      <c r="D2215" s="66"/>
    </row>
    <row r="2216" spans="4:4">
      <c r="D2216" s="66"/>
    </row>
    <row r="2217" spans="4:4">
      <c r="D2217" s="66"/>
    </row>
    <row r="2218" spans="4:4">
      <c r="D2218" s="66"/>
    </row>
    <row r="2219" spans="4:4">
      <c r="D2219" s="66"/>
    </row>
    <row r="2220" spans="4:4">
      <c r="D2220" s="66"/>
    </row>
    <row r="2221" spans="4:4">
      <c r="D2221" s="66"/>
    </row>
    <row r="2222" spans="4:4">
      <c r="D2222" s="66"/>
    </row>
    <row r="2223" spans="4:4">
      <c r="D2223" s="66"/>
    </row>
    <row r="2224" spans="4:4">
      <c r="D2224" s="66"/>
    </row>
    <row r="2225" spans="4:4">
      <c r="D2225" s="66"/>
    </row>
    <row r="2226" spans="4:4">
      <c r="D2226" s="66"/>
    </row>
    <row r="2227" spans="4:4">
      <c r="D2227" s="66"/>
    </row>
    <row r="2228" spans="4:4">
      <c r="D2228" s="66"/>
    </row>
    <row r="2229" spans="4:4">
      <c r="D2229" s="66"/>
    </row>
    <row r="2230" spans="4:4">
      <c r="D2230" s="66"/>
    </row>
    <row r="2231" spans="4:4">
      <c r="D2231" s="66"/>
    </row>
    <row r="2232" spans="4:4">
      <c r="D2232" s="66"/>
    </row>
    <row r="2233" spans="4:4">
      <c r="D2233" s="66"/>
    </row>
    <row r="2234" spans="4:4">
      <c r="D2234" s="66"/>
    </row>
    <row r="2235" spans="4:4">
      <c r="D2235" s="66"/>
    </row>
    <row r="2236" spans="4:4">
      <c r="D2236" s="66"/>
    </row>
    <row r="2237" spans="4:4">
      <c r="D2237" s="66"/>
    </row>
    <row r="2238" spans="4:4">
      <c r="D2238" s="66"/>
    </row>
    <row r="2239" spans="4:4">
      <c r="D2239" s="66"/>
    </row>
    <row r="2240" spans="4:4">
      <c r="D2240" s="66"/>
    </row>
    <row r="2241" spans="4:4">
      <c r="D2241" s="66"/>
    </row>
    <row r="2242" spans="4:4">
      <c r="D2242" s="66"/>
    </row>
    <row r="2243" spans="4:4">
      <c r="D2243" s="66"/>
    </row>
    <row r="2244" spans="4:4">
      <c r="D2244" s="66"/>
    </row>
    <row r="2245" spans="4:4">
      <c r="D2245" s="66"/>
    </row>
    <row r="2246" spans="4:4">
      <c r="D2246" s="66"/>
    </row>
    <row r="2247" spans="4:4">
      <c r="D2247" s="66"/>
    </row>
    <row r="2248" spans="4:4">
      <c r="D2248" s="66"/>
    </row>
    <row r="2249" spans="4:4">
      <c r="D2249" s="66"/>
    </row>
    <row r="2250" spans="4:4">
      <c r="D2250" s="66"/>
    </row>
    <row r="2251" spans="4:4">
      <c r="D2251" s="66"/>
    </row>
    <row r="2252" spans="4:4">
      <c r="D2252" s="66"/>
    </row>
    <row r="2253" spans="4:4">
      <c r="D2253" s="66"/>
    </row>
    <row r="2254" spans="4:4">
      <c r="D2254" s="66"/>
    </row>
    <row r="2255" spans="4:4">
      <c r="D2255" s="66"/>
    </row>
    <row r="2256" spans="4:4">
      <c r="D2256" s="66"/>
    </row>
    <row r="2257" spans="4:4">
      <c r="D2257" s="66"/>
    </row>
    <row r="2258" spans="4:4">
      <c r="D2258" s="66"/>
    </row>
    <row r="2259" spans="4:4">
      <c r="D2259" s="66"/>
    </row>
    <row r="2260" spans="4:4">
      <c r="D2260" s="66"/>
    </row>
    <row r="2261" spans="4:4">
      <c r="D2261" s="66"/>
    </row>
    <row r="2262" spans="4:4">
      <c r="D2262" s="66"/>
    </row>
    <row r="2263" spans="4:4">
      <c r="D2263" s="66"/>
    </row>
    <row r="2264" spans="4:4">
      <c r="D2264" s="66"/>
    </row>
    <row r="2265" spans="4:4">
      <c r="D2265" s="66"/>
    </row>
    <row r="2266" spans="4:4">
      <c r="D2266" s="66"/>
    </row>
    <row r="2267" spans="4:4">
      <c r="D2267" s="66"/>
    </row>
    <row r="2268" spans="4:4">
      <c r="D2268" s="66"/>
    </row>
    <row r="2269" spans="4:4">
      <c r="D2269" s="66"/>
    </row>
    <row r="2270" spans="4:4">
      <c r="D2270" s="66"/>
    </row>
    <row r="2271" spans="4:4">
      <c r="D2271" s="66"/>
    </row>
    <row r="2272" spans="4:4">
      <c r="D2272" s="66"/>
    </row>
    <row r="2273" spans="4:4">
      <c r="D2273" s="66"/>
    </row>
    <row r="2274" spans="4:4">
      <c r="D2274" s="66"/>
    </row>
    <row r="2275" spans="4:4">
      <c r="D2275" s="66"/>
    </row>
    <row r="2276" spans="4:4">
      <c r="D2276" s="66"/>
    </row>
    <row r="2277" spans="4:4">
      <c r="D2277" s="66"/>
    </row>
    <row r="2278" spans="4:4">
      <c r="D2278" s="66"/>
    </row>
    <row r="2279" spans="4:4">
      <c r="D2279" s="66"/>
    </row>
    <row r="2280" spans="4:4">
      <c r="D2280" s="66"/>
    </row>
    <row r="2281" spans="4:4">
      <c r="D2281" s="66"/>
    </row>
    <row r="2282" spans="4:4">
      <c r="D2282" s="66"/>
    </row>
    <row r="2283" spans="4:4">
      <c r="D2283" s="66"/>
    </row>
    <row r="2284" spans="4:4">
      <c r="D2284" s="66"/>
    </row>
    <row r="2285" spans="4:4">
      <c r="D2285" s="66"/>
    </row>
    <row r="2286" spans="4:4">
      <c r="D2286" s="66"/>
    </row>
    <row r="2287" spans="4:4">
      <c r="D2287" s="66"/>
    </row>
    <row r="2288" spans="4:4">
      <c r="D2288" s="66"/>
    </row>
    <row r="2289" spans="4:4">
      <c r="D2289" s="66"/>
    </row>
    <row r="2290" spans="4:4">
      <c r="D2290" s="66"/>
    </row>
    <row r="2291" spans="4:4">
      <c r="D2291" s="66"/>
    </row>
    <row r="2292" spans="4:4">
      <c r="D2292" s="66"/>
    </row>
    <row r="2293" spans="4:4">
      <c r="D2293" s="66"/>
    </row>
    <row r="2294" spans="4:4">
      <c r="D2294" s="66"/>
    </row>
    <row r="2295" spans="4:4">
      <c r="D2295" s="66"/>
    </row>
    <row r="2296" spans="4:4">
      <c r="D2296" s="66"/>
    </row>
    <row r="2297" spans="4:4">
      <c r="D2297" s="66"/>
    </row>
    <row r="2298" spans="4:4">
      <c r="D2298" s="66"/>
    </row>
    <row r="2299" spans="4:4">
      <c r="D2299" s="66"/>
    </row>
    <row r="2300" spans="4:4">
      <c r="D2300" s="66"/>
    </row>
    <row r="2301" spans="4:4">
      <c r="D2301" s="66"/>
    </row>
    <row r="2302" spans="4:4">
      <c r="D2302" s="66"/>
    </row>
    <row r="2303" spans="4:4">
      <c r="D2303" s="66"/>
    </row>
    <row r="2304" spans="4:4">
      <c r="D2304" s="66"/>
    </row>
    <row r="2305" spans="4:4">
      <c r="D2305" s="66"/>
    </row>
    <row r="2306" spans="4:4">
      <c r="D2306" s="66"/>
    </row>
    <row r="2307" spans="4:4">
      <c r="D2307" s="66"/>
    </row>
    <row r="2308" spans="4:4">
      <c r="D2308" s="66"/>
    </row>
    <row r="2309" spans="4:4">
      <c r="D2309" s="66"/>
    </row>
    <row r="2310" spans="4:4">
      <c r="D2310" s="66"/>
    </row>
    <row r="2311" spans="4:4">
      <c r="D2311" s="66"/>
    </row>
    <row r="2312" spans="4:4">
      <c r="D2312" s="66"/>
    </row>
    <row r="2313" spans="4:4">
      <c r="D2313" s="66"/>
    </row>
    <row r="2314" spans="4:4">
      <c r="D2314" s="66"/>
    </row>
    <row r="2315" spans="4:4">
      <c r="D2315" s="66"/>
    </row>
    <row r="2316" spans="4:4">
      <c r="D2316" s="66"/>
    </row>
    <row r="2317" spans="4:4">
      <c r="D2317" s="66"/>
    </row>
    <row r="2318" spans="4:4">
      <c r="D2318" s="66"/>
    </row>
    <row r="2319" spans="4:4">
      <c r="D2319" s="66"/>
    </row>
    <row r="2320" spans="4:4">
      <c r="D2320" s="66"/>
    </row>
    <row r="2321" spans="4:4">
      <c r="D2321" s="66"/>
    </row>
    <row r="2322" spans="4:4">
      <c r="D2322" s="66"/>
    </row>
    <row r="2323" spans="4:4">
      <c r="D2323" s="66"/>
    </row>
    <row r="2324" spans="4:4">
      <c r="D2324" s="66"/>
    </row>
    <row r="2325" spans="4:4">
      <c r="D2325" s="66"/>
    </row>
    <row r="2326" spans="4:4">
      <c r="D2326" s="66"/>
    </row>
    <row r="2327" spans="4:4">
      <c r="D2327" s="66"/>
    </row>
    <row r="2328" spans="4:4">
      <c r="D2328" s="66"/>
    </row>
    <row r="2329" spans="4:4">
      <c r="D2329" s="66"/>
    </row>
    <row r="2330" spans="4:4">
      <c r="D2330" s="66"/>
    </row>
    <row r="2331" spans="4:4">
      <c r="D2331" s="66"/>
    </row>
    <row r="2332" spans="4:4">
      <c r="D2332" s="66"/>
    </row>
    <row r="2333" spans="4:4">
      <c r="D2333" s="66"/>
    </row>
    <row r="2334" spans="4:4">
      <c r="D2334" s="66"/>
    </row>
    <row r="2335" spans="4:4">
      <c r="D2335" s="66"/>
    </row>
    <row r="2336" spans="4:4">
      <c r="D2336" s="66"/>
    </row>
    <row r="2337" spans="4:4">
      <c r="D2337" s="66"/>
    </row>
    <row r="2338" spans="4:4">
      <c r="D2338" s="66"/>
    </row>
    <row r="2339" spans="4:4">
      <c r="D2339" s="66"/>
    </row>
    <row r="2340" spans="4:4">
      <c r="D2340" s="66"/>
    </row>
    <row r="2341" spans="4:4">
      <c r="D2341" s="66"/>
    </row>
    <row r="2342" spans="4:4">
      <c r="D2342" s="66"/>
    </row>
    <row r="2343" spans="4:4">
      <c r="D2343" s="66"/>
    </row>
    <row r="2344" spans="4:4">
      <c r="D2344" s="66"/>
    </row>
    <row r="2345" spans="4:4">
      <c r="D2345" s="66"/>
    </row>
    <row r="2346" spans="4:4">
      <c r="D2346" s="66"/>
    </row>
    <row r="2347" spans="4:4">
      <c r="D2347" s="66"/>
    </row>
    <row r="2348" spans="4:4">
      <c r="D2348" s="66"/>
    </row>
    <row r="2349" spans="4:4">
      <c r="D2349" s="66"/>
    </row>
    <row r="2350" spans="4:4">
      <c r="D2350" s="66"/>
    </row>
    <row r="2351" spans="4:4">
      <c r="D2351" s="66"/>
    </row>
    <row r="2352" spans="4:4">
      <c r="D2352" s="66"/>
    </row>
    <row r="2353" spans="4:4">
      <c r="D2353" s="66"/>
    </row>
    <row r="2354" spans="4:4">
      <c r="D2354" s="66"/>
    </row>
    <row r="2355" spans="4:4">
      <c r="D2355" s="66"/>
    </row>
    <row r="2356" spans="4:4">
      <c r="D2356" s="66"/>
    </row>
    <row r="2357" spans="4:4">
      <c r="D2357" s="66"/>
    </row>
    <row r="2358" spans="4:4">
      <c r="D2358" s="66"/>
    </row>
    <row r="2359" spans="4:4">
      <c r="D2359" s="66"/>
    </row>
    <row r="2360" spans="4:4">
      <c r="D2360" s="66"/>
    </row>
    <row r="2361" spans="4:4">
      <c r="D2361" s="66"/>
    </row>
    <row r="2362" spans="4:4">
      <c r="D2362" s="66"/>
    </row>
    <row r="2363" spans="4:4">
      <c r="D2363" s="66"/>
    </row>
    <row r="2364" spans="4:4">
      <c r="D2364" s="66"/>
    </row>
    <row r="2365" spans="4:4">
      <c r="D2365" s="66"/>
    </row>
    <row r="2366" spans="4:4">
      <c r="D2366" s="66"/>
    </row>
    <row r="2367" spans="4:4">
      <c r="D2367" s="66"/>
    </row>
    <row r="2368" spans="4:4">
      <c r="D2368" s="66"/>
    </row>
    <row r="2369" spans="4:4">
      <c r="D2369" s="66"/>
    </row>
    <row r="2370" spans="4:4">
      <c r="D2370" s="66"/>
    </row>
    <row r="2371" spans="4:4">
      <c r="D2371" s="66"/>
    </row>
    <row r="2372" spans="4:4">
      <c r="D2372" s="66"/>
    </row>
    <row r="2373" spans="4:4">
      <c r="D2373" s="66"/>
    </row>
    <row r="2374" spans="4:4">
      <c r="D2374" s="66"/>
    </row>
    <row r="2375" spans="4:4">
      <c r="D2375" s="66"/>
    </row>
    <row r="2376" spans="4:4">
      <c r="D2376" s="66"/>
    </row>
    <row r="2377" spans="4:4">
      <c r="D2377" s="66"/>
    </row>
    <row r="2378" spans="4:4">
      <c r="D2378" s="66"/>
    </row>
    <row r="2379" spans="4:4">
      <c r="D2379" s="66"/>
    </row>
    <row r="2380" spans="4:4">
      <c r="D2380" s="66"/>
    </row>
    <row r="2381" spans="4:4">
      <c r="D2381" s="66"/>
    </row>
    <row r="2382" spans="4:4">
      <c r="D2382" s="66"/>
    </row>
    <row r="2383" spans="4:4">
      <c r="D2383" s="66"/>
    </row>
    <row r="2384" spans="4:4">
      <c r="D2384" s="66"/>
    </row>
    <row r="2385" spans="4:4">
      <c r="D2385" s="66"/>
    </row>
    <row r="2386" spans="4:4">
      <c r="D2386" s="66"/>
    </row>
    <row r="2387" spans="4:4">
      <c r="D2387" s="66"/>
    </row>
    <row r="2388" spans="4:4">
      <c r="D2388" s="66"/>
    </row>
    <row r="2389" spans="4:4">
      <c r="D2389" s="66"/>
    </row>
    <row r="2390" spans="4:4">
      <c r="D2390" s="66"/>
    </row>
    <row r="2391" spans="4:4">
      <c r="D2391" s="66"/>
    </row>
    <row r="2392" spans="4:4">
      <c r="D2392" s="66"/>
    </row>
    <row r="2393" spans="4:4">
      <c r="D2393" s="66"/>
    </row>
    <row r="2394" spans="4:4">
      <c r="D2394" s="66"/>
    </row>
    <row r="2395" spans="4:4">
      <c r="D2395" s="66"/>
    </row>
    <row r="2396" spans="4:4">
      <c r="D2396" s="66"/>
    </row>
    <row r="2397" spans="4:4">
      <c r="D2397" s="66"/>
    </row>
    <row r="2398" spans="4:4">
      <c r="D2398" s="66"/>
    </row>
    <row r="2399" spans="4:4">
      <c r="D2399" s="66"/>
    </row>
    <row r="2400" spans="4:4">
      <c r="D2400" s="66"/>
    </row>
    <row r="2401" spans="4:4">
      <c r="D2401" s="66"/>
    </row>
    <row r="2402" spans="4:4">
      <c r="D2402" s="66"/>
    </row>
    <row r="2403" spans="4:4">
      <c r="D2403" s="66"/>
    </row>
    <row r="2404" spans="4:4">
      <c r="D2404" s="66"/>
    </row>
    <row r="2405" spans="4:4">
      <c r="D2405" s="66"/>
    </row>
    <row r="2406" spans="4:4">
      <c r="D2406" s="66"/>
    </row>
    <row r="2407" spans="4:4">
      <c r="D2407" s="66"/>
    </row>
    <row r="2408" spans="4:4">
      <c r="D2408" s="66"/>
    </row>
    <row r="2409" spans="4:4">
      <c r="D2409" s="66"/>
    </row>
    <row r="2410" spans="4:4">
      <c r="D2410" s="66"/>
    </row>
    <row r="2411" spans="4:4">
      <c r="D2411" s="66"/>
    </row>
    <row r="2412" spans="4:4">
      <c r="D2412" s="66"/>
    </row>
    <row r="2413" spans="4:4">
      <c r="D2413" s="66"/>
    </row>
    <row r="2414" spans="4:4">
      <c r="D2414" s="66"/>
    </row>
    <row r="2415" spans="4:4">
      <c r="D2415" s="66"/>
    </row>
    <row r="2416" spans="4:4">
      <c r="D2416" s="66"/>
    </row>
    <row r="2417" spans="4:4">
      <c r="D2417" s="66"/>
    </row>
    <row r="2418" spans="4:4">
      <c r="D2418" s="66"/>
    </row>
    <row r="2419" spans="4:4">
      <c r="D2419" s="66"/>
    </row>
    <row r="2420" spans="4:4">
      <c r="D2420" s="66"/>
    </row>
    <row r="2421" spans="4:4">
      <c r="D2421" s="66"/>
    </row>
    <row r="2422" spans="4:4">
      <c r="D2422" s="66"/>
    </row>
    <row r="2423" spans="4:4">
      <c r="D2423" s="66"/>
    </row>
    <row r="2424" spans="4:4">
      <c r="D2424" s="66"/>
    </row>
    <row r="2425" spans="4:4">
      <c r="D2425" s="66"/>
    </row>
    <row r="2426" spans="4:4">
      <c r="D2426" s="66"/>
    </row>
    <row r="2427" spans="4:4">
      <c r="D2427" s="66"/>
    </row>
    <row r="2428" spans="4:4">
      <c r="D2428" s="66"/>
    </row>
    <row r="2429" spans="4:4">
      <c r="D2429" s="66"/>
    </row>
    <row r="2430" spans="4:4">
      <c r="D2430" s="66"/>
    </row>
    <row r="2431" spans="4:4">
      <c r="D2431" s="66"/>
    </row>
    <row r="2432" spans="4:4">
      <c r="D2432" s="66"/>
    </row>
    <row r="2433" spans="4:4">
      <c r="D2433" s="66"/>
    </row>
    <row r="2434" spans="4:4">
      <c r="D2434" s="66"/>
    </row>
    <row r="2435" spans="4:4">
      <c r="D2435" s="66"/>
    </row>
    <row r="2436" spans="4:4">
      <c r="D2436" s="66"/>
    </row>
    <row r="2437" spans="4:4">
      <c r="D2437" s="66"/>
    </row>
    <row r="2438" spans="4:4">
      <c r="D2438" s="66"/>
    </row>
    <row r="2439" spans="4:4">
      <c r="D2439" s="66"/>
    </row>
    <row r="2440" spans="4:4">
      <c r="D2440" s="66"/>
    </row>
    <row r="2441" spans="4:4">
      <c r="D2441" s="66"/>
    </row>
    <row r="2442" spans="4:4">
      <c r="D2442" s="66"/>
    </row>
    <row r="2443" spans="4:4">
      <c r="D2443" s="66"/>
    </row>
    <row r="2444" spans="4:4">
      <c r="D2444" s="66"/>
    </row>
    <row r="2445" spans="4:4">
      <c r="D2445" s="66"/>
    </row>
    <row r="2446" spans="4:4">
      <c r="D2446" s="66"/>
    </row>
    <row r="2447" spans="4:4">
      <c r="D2447" s="66"/>
    </row>
    <row r="2448" spans="4:4">
      <c r="D2448" s="66"/>
    </row>
    <row r="2449" spans="4:4">
      <c r="D2449" s="66"/>
    </row>
    <row r="2450" spans="4:4">
      <c r="D2450" s="66"/>
    </row>
    <row r="2451" spans="4:4">
      <c r="D2451" s="66"/>
    </row>
    <row r="2452" spans="4:4">
      <c r="D2452" s="66"/>
    </row>
    <row r="2453" spans="4:4">
      <c r="D2453" s="66"/>
    </row>
    <row r="2454" spans="4:4">
      <c r="D2454" s="66"/>
    </row>
    <row r="2455" spans="4:4">
      <c r="D2455" s="66"/>
    </row>
    <row r="2456" spans="4:4">
      <c r="D2456" s="66"/>
    </row>
    <row r="2457" spans="4:4">
      <c r="D2457" s="66"/>
    </row>
    <row r="2458" spans="4:4">
      <c r="D2458" s="66"/>
    </row>
    <row r="2459" spans="4:4">
      <c r="D2459" s="66"/>
    </row>
    <row r="2460" spans="4:4">
      <c r="D2460" s="66"/>
    </row>
    <row r="2461" spans="4:4">
      <c r="D2461" s="66"/>
    </row>
    <row r="2462" spans="4:4">
      <c r="D2462" s="66"/>
    </row>
    <row r="2463" spans="4:4">
      <c r="D2463" s="66"/>
    </row>
    <row r="2464" spans="4:4">
      <c r="D2464" s="66"/>
    </row>
    <row r="2465" spans="4:4">
      <c r="D2465" s="66"/>
    </row>
    <row r="2466" spans="4:4">
      <c r="D2466" s="66"/>
    </row>
    <row r="2467" spans="4:4">
      <c r="D2467" s="66"/>
    </row>
    <row r="2468" spans="4:4">
      <c r="D2468" s="66"/>
    </row>
    <row r="2469" spans="4:4">
      <c r="D2469" s="66"/>
    </row>
    <row r="2470" spans="4:4">
      <c r="D2470" s="66"/>
    </row>
    <row r="2471" spans="4:4">
      <c r="D2471" s="66"/>
    </row>
    <row r="2472" spans="4:4">
      <c r="D2472" s="66"/>
    </row>
    <row r="2473" spans="4:4">
      <c r="D2473" s="66"/>
    </row>
    <row r="2474" spans="4:4">
      <c r="D2474" s="66"/>
    </row>
    <row r="2475" spans="4:4">
      <c r="D2475" s="66"/>
    </row>
    <row r="2476" spans="4:4">
      <c r="D2476" s="66"/>
    </row>
    <row r="2477" spans="4:4">
      <c r="D2477" s="66"/>
    </row>
    <row r="2478" spans="4:4">
      <c r="D2478" s="66"/>
    </row>
    <row r="2479" spans="4:4">
      <c r="D2479" s="66"/>
    </row>
    <row r="2480" spans="4:4">
      <c r="D2480" s="66"/>
    </row>
    <row r="2481" spans="4:4">
      <c r="D2481" s="66"/>
    </row>
    <row r="2482" spans="4:4">
      <c r="D2482" s="66"/>
    </row>
    <row r="2483" spans="4:4">
      <c r="D2483" s="66"/>
    </row>
    <row r="2484" spans="4:4">
      <c r="D2484" s="66"/>
    </row>
    <row r="2485" spans="4:4">
      <c r="D2485" s="66"/>
    </row>
    <row r="2486" spans="4:4">
      <c r="D2486" s="66"/>
    </row>
    <row r="2487" spans="4:4">
      <c r="D2487" s="66"/>
    </row>
    <row r="2488" spans="4:4">
      <c r="D2488" s="66"/>
    </row>
    <row r="2489" spans="4:4">
      <c r="D2489" s="66"/>
    </row>
    <row r="2490" spans="4:4">
      <c r="D2490" s="66"/>
    </row>
    <row r="2491" spans="4:4">
      <c r="D2491" s="66"/>
    </row>
    <row r="2492" spans="4:4">
      <c r="D2492" s="66"/>
    </row>
    <row r="2493" spans="4:4">
      <c r="D2493" s="66"/>
    </row>
    <row r="2494" spans="4:4">
      <c r="D2494" s="66"/>
    </row>
    <row r="2495" spans="4:4">
      <c r="D2495" s="66"/>
    </row>
    <row r="2496" spans="4:4">
      <c r="D2496" s="66"/>
    </row>
    <row r="2497" spans="4:4">
      <c r="D2497" s="66"/>
    </row>
    <row r="2498" spans="4:4">
      <c r="D2498" s="66"/>
    </row>
    <row r="2499" spans="4:4">
      <c r="D2499" s="66"/>
    </row>
    <row r="2500" spans="4:4">
      <c r="D2500" s="66"/>
    </row>
    <row r="2501" spans="4:4">
      <c r="D2501" s="66"/>
    </row>
    <row r="2502" spans="4:4">
      <c r="D2502" s="66"/>
    </row>
    <row r="2503" spans="4:4">
      <c r="D2503" s="66"/>
    </row>
    <row r="2504" spans="4:4">
      <c r="D2504" s="66"/>
    </row>
    <row r="2505" spans="4:4">
      <c r="D2505" s="66"/>
    </row>
    <row r="2506" spans="4:4">
      <c r="D2506" s="66"/>
    </row>
    <row r="2507" spans="4:4">
      <c r="D2507" s="66"/>
    </row>
    <row r="2508" spans="4:4">
      <c r="D2508" s="66"/>
    </row>
    <row r="2509" spans="4:4">
      <c r="D2509" s="66"/>
    </row>
    <row r="2510" spans="4:4">
      <c r="D2510" s="66"/>
    </row>
    <row r="2511" spans="4:4">
      <c r="D2511" s="66"/>
    </row>
    <row r="2512" spans="4:4">
      <c r="D2512" s="66"/>
    </row>
    <row r="2513" spans="4:4">
      <c r="D2513" s="66"/>
    </row>
    <row r="2514" spans="4:4">
      <c r="D2514" s="66"/>
    </row>
    <row r="2515" spans="4:4">
      <c r="D2515" s="66"/>
    </row>
    <row r="2516" spans="4:4">
      <c r="D2516" s="66"/>
    </row>
    <row r="2517" spans="4:4">
      <c r="D2517" s="66"/>
    </row>
    <row r="2518" spans="4:4">
      <c r="D2518" s="66"/>
    </row>
    <row r="2519" spans="4:4">
      <c r="D2519" s="66"/>
    </row>
    <row r="2520" spans="4:4">
      <c r="D2520" s="66"/>
    </row>
    <row r="2521" spans="4:4">
      <c r="D2521" s="66"/>
    </row>
    <row r="2522" spans="4:4">
      <c r="D2522" s="66"/>
    </row>
    <row r="2523" spans="4:4">
      <c r="D2523" s="66"/>
    </row>
    <row r="2524" spans="4:4">
      <c r="D2524" s="66"/>
    </row>
    <row r="2525" spans="4:4">
      <c r="D2525" s="66"/>
    </row>
    <row r="2526" spans="4:4">
      <c r="D2526" s="66"/>
    </row>
    <row r="2527" spans="4:4">
      <c r="D2527" s="66"/>
    </row>
    <row r="2528" spans="4:4">
      <c r="D2528" s="66"/>
    </row>
    <row r="2529" spans="4:4">
      <c r="D2529" s="66"/>
    </row>
    <row r="2530" spans="4:4">
      <c r="D2530" s="66"/>
    </row>
    <row r="2531" spans="4:4">
      <c r="D2531" s="66"/>
    </row>
    <row r="2532" spans="4:4">
      <c r="D2532" s="66"/>
    </row>
    <row r="2533" spans="4:4">
      <c r="D2533" s="66"/>
    </row>
    <row r="2534" spans="4:4">
      <c r="D2534" s="66"/>
    </row>
    <row r="2535" spans="4:4">
      <c r="D2535" s="66"/>
    </row>
    <row r="2536" spans="4:4">
      <c r="D2536" s="66"/>
    </row>
    <row r="2537" spans="4:4">
      <c r="D2537" s="66"/>
    </row>
    <row r="2538" spans="4:4">
      <c r="D2538" s="66"/>
    </row>
    <row r="2539" spans="4:4">
      <c r="D2539" s="66"/>
    </row>
    <row r="2540" spans="4:4">
      <c r="D2540" s="66"/>
    </row>
    <row r="2541" spans="4:4">
      <c r="D2541" s="66"/>
    </row>
    <row r="2542" spans="4:4">
      <c r="D2542" s="66"/>
    </row>
    <row r="2543" spans="4:4">
      <c r="D2543" s="66"/>
    </row>
    <row r="2544" spans="4:4">
      <c r="D2544" s="66"/>
    </row>
    <row r="2545" spans="4:4">
      <c r="D2545" s="66"/>
    </row>
    <row r="2546" spans="4:4">
      <c r="D2546" s="66"/>
    </row>
    <row r="2547" spans="4:4">
      <c r="D2547" s="66"/>
    </row>
    <row r="2548" spans="4:4">
      <c r="D2548" s="66"/>
    </row>
    <row r="2549" spans="4:4">
      <c r="D2549" s="66"/>
    </row>
    <row r="2550" spans="4:4">
      <c r="D2550" s="66"/>
    </row>
    <row r="2551" spans="4:4">
      <c r="D2551" s="66"/>
    </row>
    <row r="2552" spans="4:4">
      <c r="D2552" s="66"/>
    </row>
    <row r="2553" spans="4:4">
      <c r="D2553" s="66"/>
    </row>
    <row r="2554" spans="4:4">
      <c r="D2554" s="66"/>
    </row>
    <row r="2555" spans="4:4">
      <c r="D2555" s="66"/>
    </row>
    <row r="2556" spans="4:4">
      <c r="D2556" s="66"/>
    </row>
    <row r="2557" spans="4:4">
      <c r="D2557" s="66"/>
    </row>
    <row r="2558" spans="4:4">
      <c r="D2558" s="66"/>
    </row>
    <row r="2559" spans="4:4">
      <c r="D2559" s="66"/>
    </row>
    <row r="2560" spans="4:4">
      <c r="D2560" s="66"/>
    </row>
    <row r="2561" spans="4:4">
      <c r="D2561" s="66"/>
    </row>
    <row r="2562" spans="4:4">
      <c r="D2562" s="66"/>
    </row>
    <row r="2563" spans="4:4">
      <c r="D2563" s="66"/>
    </row>
    <row r="2564" spans="4:4">
      <c r="D2564" s="66"/>
    </row>
    <row r="2565" spans="4:4">
      <c r="D2565" s="66"/>
    </row>
    <row r="2566" spans="4:4">
      <c r="D2566" s="66"/>
    </row>
    <row r="2567" spans="4:4">
      <c r="D2567" s="66"/>
    </row>
    <row r="2568" spans="4:4">
      <c r="D2568" s="66"/>
    </row>
    <row r="2569" spans="4:4">
      <c r="D2569" s="66"/>
    </row>
    <row r="2570" spans="4:4">
      <c r="D2570" s="66"/>
    </row>
    <row r="2571" spans="4:4">
      <c r="D2571" s="66"/>
    </row>
    <row r="2572" spans="4:4">
      <c r="D2572" s="66"/>
    </row>
    <row r="2573" spans="4:4">
      <c r="D2573" s="66"/>
    </row>
    <row r="2574" spans="4:4">
      <c r="D2574" s="66"/>
    </row>
    <row r="2575" spans="4:4">
      <c r="D2575" s="66"/>
    </row>
    <row r="2576" spans="4:4">
      <c r="D2576" s="66"/>
    </row>
    <row r="2577" spans="4:4">
      <c r="D2577" s="66"/>
    </row>
    <row r="2578" spans="4:4">
      <c r="D2578" s="66"/>
    </row>
    <row r="2579" spans="4:4">
      <c r="D2579" s="66"/>
    </row>
    <row r="2580" spans="4:4">
      <c r="D2580" s="66"/>
    </row>
    <row r="2581" spans="4:4">
      <c r="D2581" s="66"/>
    </row>
    <row r="2582" spans="4:4">
      <c r="D2582" s="66"/>
    </row>
    <row r="2583" spans="4:4">
      <c r="D2583" s="66"/>
    </row>
    <row r="2584" spans="4:4">
      <c r="D2584" s="66"/>
    </row>
    <row r="2585" spans="4:4">
      <c r="D2585" s="66"/>
    </row>
    <row r="2586" spans="4:4">
      <c r="D2586" s="66"/>
    </row>
    <row r="2587" spans="4:4">
      <c r="D2587" s="66"/>
    </row>
    <row r="2588" spans="4:4">
      <c r="D2588" s="66"/>
    </row>
    <row r="2589" spans="4:4">
      <c r="D2589" s="66"/>
    </row>
    <row r="2590" spans="4:4">
      <c r="D2590" s="66"/>
    </row>
    <row r="2591" spans="4:4">
      <c r="D2591" s="66"/>
    </row>
    <row r="2592" spans="4:4">
      <c r="D2592" s="66"/>
    </row>
    <row r="2593" spans="4:4">
      <c r="D2593" s="66"/>
    </row>
    <row r="2594" spans="4:4">
      <c r="D2594" s="66"/>
    </row>
    <row r="2595" spans="4:4">
      <c r="D2595" s="66"/>
    </row>
    <row r="2596" spans="4:4">
      <c r="D2596" s="66"/>
    </row>
    <row r="2597" spans="4:4">
      <c r="D2597" s="66"/>
    </row>
    <row r="2598" spans="4:4">
      <c r="D2598" s="66"/>
    </row>
    <row r="2599" spans="4:4">
      <c r="D2599" s="66"/>
    </row>
    <row r="2600" spans="4:4">
      <c r="D2600" s="66"/>
    </row>
    <row r="2601" spans="4:4">
      <c r="D2601" s="66"/>
    </row>
    <row r="2602" spans="4:4">
      <c r="D2602" s="66"/>
    </row>
    <row r="2603" spans="4:4">
      <c r="D2603" s="66"/>
    </row>
    <row r="2604" spans="4:4">
      <c r="D2604" s="66"/>
    </row>
    <row r="2605" spans="4:4">
      <c r="D2605" s="66"/>
    </row>
    <row r="2606" spans="4:4">
      <c r="D2606" s="66"/>
    </row>
    <row r="2607" spans="4:4">
      <c r="D2607" s="66"/>
    </row>
    <row r="2608" spans="4:4">
      <c r="D2608" s="66"/>
    </row>
    <row r="2609" spans="4:4">
      <c r="D2609" s="66"/>
    </row>
    <row r="2610" spans="4:4">
      <c r="D2610" s="66"/>
    </row>
    <row r="2611" spans="4:4">
      <c r="D2611" s="66"/>
    </row>
    <row r="2612" spans="4:4">
      <c r="D2612" s="66"/>
    </row>
    <row r="2613" spans="4:4">
      <c r="D2613" s="66"/>
    </row>
    <row r="2614" spans="4:4">
      <c r="D2614" s="66"/>
    </row>
    <row r="2615" spans="4:4">
      <c r="D2615" s="66"/>
    </row>
    <row r="2616" spans="4:4">
      <c r="D2616" s="66"/>
    </row>
    <row r="2617" spans="4:4">
      <c r="D2617" s="66"/>
    </row>
    <row r="2618" spans="4:4">
      <c r="D2618" s="66"/>
    </row>
    <row r="2619" spans="4:4">
      <c r="D2619" s="66"/>
    </row>
    <row r="2620" spans="4:4">
      <c r="D2620" s="66"/>
    </row>
    <row r="2621" spans="4:4">
      <c r="D2621" s="66"/>
    </row>
    <row r="2622" spans="4:4">
      <c r="D2622" s="66"/>
    </row>
    <row r="2623" spans="4:4">
      <c r="D2623" s="66"/>
    </row>
    <row r="2624" spans="4:4">
      <c r="D2624" s="66"/>
    </row>
    <row r="2625" spans="4:4">
      <c r="D2625" s="66"/>
    </row>
    <row r="2626" spans="4:4">
      <c r="D2626" s="66"/>
    </row>
    <row r="2627" spans="4:4">
      <c r="D2627" s="66"/>
    </row>
    <row r="2628" spans="4:4">
      <c r="D2628" s="66"/>
    </row>
    <row r="2629" spans="4:4">
      <c r="D2629" s="66"/>
    </row>
    <row r="2630" spans="4:4">
      <c r="D2630" s="66"/>
    </row>
    <row r="2631" spans="4:4">
      <c r="D2631" s="66"/>
    </row>
    <row r="2632" spans="4:4">
      <c r="D2632" s="66"/>
    </row>
    <row r="2633" spans="4:4">
      <c r="D2633" s="66"/>
    </row>
    <row r="2634" spans="4:4">
      <c r="D2634" s="66"/>
    </row>
    <row r="2635" spans="4:4">
      <c r="D2635" s="66"/>
    </row>
    <row r="2636" spans="4:4">
      <c r="D2636" s="66"/>
    </row>
    <row r="2637" spans="4:4">
      <c r="D2637" s="66"/>
    </row>
    <row r="2638" spans="4:4">
      <c r="D2638" s="66"/>
    </row>
    <row r="2639" spans="4:4">
      <c r="D2639" s="66"/>
    </row>
    <row r="2640" spans="4:4">
      <c r="D2640" s="66"/>
    </row>
    <row r="2641" spans="4:4">
      <c r="D2641" s="66"/>
    </row>
    <row r="2642" spans="4:4">
      <c r="D2642" s="66"/>
    </row>
    <row r="2643" spans="4:4">
      <c r="D2643" s="66"/>
    </row>
    <row r="2644" spans="4:4">
      <c r="D2644" s="66"/>
    </row>
    <row r="2645" spans="4:4">
      <c r="D2645" s="66"/>
    </row>
    <row r="2646" spans="4:4">
      <c r="D2646" s="66"/>
    </row>
    <row r="2647" spans="4:4">
      <c r="D2647" s="66"/>
    </row>
    <row r="2648" spans="4:4">
      <c r="D2648" s="66"/>
    </row>
    <row r="2649" spans="4:4">
      <c r="D2649" s="66"/>
    </row>
    <row r="2650" spans="4:4">
      <c r="D2650" s="66"/>
    </row>
    <row r="2651" spans="4:4">
      <c r="D2651" s="66"/>
    </row>
    <row r="2652" spans="4:4">
      <c r="D2652" s="66"/>
    </row>
    <row r="2653" spans="4:4">
      <c r="D2653" s="66"/>
    </row>
    <row r="2654" spans="4:4">
      <c r="D2654" s="66"/>
    </row>
    <row r="2655" spans="4:4">
      <c r="D2655" s="66"/>
    </row>
    <row r="2656" spans="4:4">
      <c r="D2656" s="66"/>
    </row>
    <row r="2657" spans="4:4">
      <c r="D2657" s="66"/>
    </row>
    <row r="2658" spans="4:4">
      <c r="D2658" s="66"/>
    </row>
    <row r="2659" spans="4:4">
      <c r="D2659" s="66"/>
    </row>
    <row r="2660" spans="4:4">
      <c r="D2660" s="66"/>
    </row>
    <row r="2661" spans="4:4">
      <c r="D2661" s="66"/>
    </row>
    <row r="2662" spans="4:4">
      <c r="D2662" s="66"/>
    </row>
    <row r="2663" spans="4:4">
      <c r="D2663" s="66"/>
    </row>
    <row r="2664" spans="4:4">
      <c r="D2664" s="66"/>
    </row>
    <row r="2665" spans="4:4">
      <c r="D2665" s="66"/>
    </row>
    <row r="2666" spans="4:4">
      <c r="D2666" s="66"/>
    </row>
    <row r="2667" spans="4:4">
      <c r="D2667" s="66"/>
    </row>
    <row r="2668" spans="4:4">
      <c r="D2668" s="66"/>
    </row>
    <row r="2669" spans="4:4">
      <c r="D2669" s="66"/>
    </row>
    <row r="2670" spans="4:4">
      <c r="D2670" s="66"/>
    </row>
    <row r="2671" spans="4:4">
      <c r="D2671" s="66"/>
    </row>
    <row r="2672" spans="4:4">
      <c r="D2672" s="66"/>
    </row>
    <row r="2673" spans="4:4">
      <c r="D2673" s="66"/>
    </row>
    <row r="2674" spans="4:4">
      <c r="D2674" s="66"/>
    </row>
    <row r="2675" spans="4:4">
      <c r="D2675" s="66"/>
    </row>
    <row r="2676" spans="4:4">
      <c r="D2676" s="66"/>
    </row>
    <row r="2677" spans="4:4">
      <c r="D2677" s="66"/>
    </row>
    <row r="2678" spans="4:4">
      <c r="D2678" s="66"/>
    </row>
    <row r="2679" spans="4:4">
      <c r="D2679" s="66"/>
    </row>
    <row r="2680" spans="4:4">
      <c r="D2680" s="66"/>
    </row>
    <row r="2681" spans="4:4">
      <c r="D2681" s="66"/>
    </row>
    <row r="2682" spans="4:4">
      <c r="D2682" s="66"/>
    </row>
    <row r="2683" spans="4:4">
      <c r="D2683" s="66"/>
    </row>
    <row r="2684" spans="4:4">
      <c r="D2684" s="66"/>
    </row>
    <row r="2685" spans="4:4">
      <c r="D2685" s="66"/>
    </row>
    <row r="2686" spans="4:4">
      <c r="D2686" s="66"/>
    </row>
    <row r="2687" spans="4:4">
      <c r="D2687" s="66"/>
    </row>
    <row r="2688" spans="4:4">
      <c r="D2688" s="66"/>
    </row>
    <row r="2689" spans="4:4">
      <c r="D2689" s="66"/>
    </row>
    <row r="2690" spans="4:4">
      <c r="D2690" s="66"/>
    </row>
    <row r="2691" spans="4:4">
      <c r="D2691" s="66"/>
    </row>
    <row r="2692" spans="4:4">
      <c r="D2692" s="66"/>
    </row>
    <row r="2693" spans="4:4">
      <c r="D2693" s="66"/>
    </row>
    <row r="2694" spans="4:4">
      <c r="D2694" s="66"/>
    </row>
    <row r="2695" spans="4:4">
      <c r="D2695" s="66"/>
    </row>
    <row r="2696" spans="4:4">
      <c r="D2696" s="66"/>
    </row>
    <row r="2697" spans="4:4">
      <c r="D2697" s="66"/>
    </row>
    <row r="2698" spans="4:4">
      <c r="D2698" s="66"/>
    </row>
    <row r="2699" spans="4:4">
      <c r="D2699" s="66"/>
    </row>
    <row r="2700" spans="4:4">
      <c r="D2700" s="66"/>
    </row>
    <row r="2701" spans="4:4">
      <c r="D2701" s="66"/>
    </row>
    <row r="2702" spans="4:4">
      <c r="D2702" s="66"/>
    </row>
    <row r="2703" spans="4:4">
      <c r="D2703" s="66"/>
    </row>
    <row r="2704" spans="4:4">
      <c r="D2704" s="66"/>
    </row>
    <row r="2705" spans="4:4">
      <c r="D2705" s="66"/>
    </row>
    <row r="2706" spans="4:4">
      <c r="D2706" s="66"/>
    </row>
    <row r="2707" spans="4:4">
      <c r="D2707" s="66"/>
    </row>
    <row r="2708" spans="4:4">
      <c r="D2708" s="66"/>
    </row>
    <row r="2709" spans="4:4">
      <c r="D2709" s="66"/>
    </row>
    <row r="2710" spans="4:4">
      <c r="D2710" s="66"/>
    </row>
    <row r="2711" spans="4:4">
      <c r="D2711" s="66"/>
    </row>
    <row r="2712" spans="4:4">
      <c r="D2712" s="66"/>
    </row>
    <row r="2713" spans="4:4">
      <c r="D2713" s="66"/>
    </row>
    <row r="2714" spans="4:4">
      <c r="D2714" s="66"/>
    </row>
    <row r="2715" spans="4:4">
      <c r="D2715" s="66"/>
    </row>
    <row r="2716" spans="4:4">
      <c r="D2716" s="66"/>
    </row>
    <row r="2717" spans="4:4">
      <c r="D2717" s="66"/>
    </row>
    <row r="2718" spans="4:4">
      <c r="D2718" s="66"/>
    </row>
    <row r="2719" spans="4:4">
      <c r="D2719" s="66"/>
    </row>
    <row r="2720" spans="4:4">
      <c r="D2720" s="66"/>
    </row>
    <row r="2721" spans="4:4">
      <c r="D2721" s="66"/>
    </row>
    <row r="2722" spans="4:4">
      <c r="D2722" s="66"/>
    </row>
    <row r="2723" spans="4:4">
      <c r="D2723" s="66"/>
    </row>
    <row r="2724" spans="4:4">
      <c r="D2724" s="66"/>
    </row>
    <row r="2725" spans="4:4">
      <c r="D2725" s="66"/>
    </row>
    <row r="2726" spans="4:4">
      <c r="D2726" s="66"/>
    </row>
    <row r="2727" spans="4:4">
      <c r="D2727" s="66"/>
    </row>
    <row r="2728" spans="4:4">
      <c r="D2728" s="66"/>
    </row>
    <row r="2729" spans="4:4">
      <c r="D2729" s="66"/>
    </row>
    <row r="2730" spans="4:4">
      <c r="D2730" s="66"/>
    </row>
    <row r="2731" spans="4:4">
      <c r="D2731" s="66"/>
    </row>
    <row r="2732" spans="4:4">
      <c r="D2732" s="66"/>
    </row>
    <row r="2733" spans="4:4">
      <c r="D2733" s="66"/>
    </row>
    <row r="2734" spans="4:4">
      <c r="D2734" s="66"/>
    </row>
    <row r="2735" spans="4:4">
      <c r="D2735" s="66"/>
    </row>
    <row r="2736" spans="4:4">
      <c r="D2736" s="66"/>
    </row>
    <row r="2737" spans="4:4">
      <c r="D2737" s="66"/>
    </row>
    <row r="2738" spans="4:4">
      <c r="D2738" s="66"/>
    </row>
    <row r="2739" spans="4:4">
      <c r="D2739" s="66"/>
    </row>
    <row r="2740" spans="4:4">
      <c r="D2740" s="66"/>
    </row>
    <row r="2741" spans="4:4">
      <c r="D2741" s="66"/>
    </row>
    <row r="2742" spans="4:4">
      <c r="D2742" s="66"/>
    </row>
    <row r="2743" spans="4:4">
      <c r="D2743" s="66"/>
    </row>
    <row r="2744" spans="4:4">
      <c r="D2744" s="66"/>
    </row>
    <row r="2745" spans="4:4">
      <c r="D2745" s="66"/>
    </row>
    <row r="2746" spans="4:4">
      <c r="D2746" s="66"/>
    </row>
    <row r="2747" spans="4:4">
      <c r="D2747" s="66"/>
    </row>
    <row r="2748" spans="4:4">
      <c r="D2748" s="66"/>
    </row>
    <row r="2749" spans="4:4">
      <c r="D2749" s="66"/>
    </row>
    <row r="2750" spans="4:4">
      <c r="D2750" s="66"/>
    </row>
    <row r="2751" spans="4:4">
      <c r="D2751" s="66"/>
    </row>
    <row r="2752" spans="4:4">
      <c r="D2752" s="66"/>
    </row>
    <row r="2753" spans="4:4">
      <c r="D2753" s="66"/>
    </row>
    <row r="2754" spans="4:4">
      <c r="D2754" s="66"/>
    </row>
    <row r="2755" spans="4:4">
      <c r="D2755" s="66"/>
    </row>
    <row r="2756" spans="4:4">
      <c r="D2756" s="66"/>
    </row>
    <row r="2757" spans="4:4">
      <c r="D2757" s="66"/>
    </row>
    <row r="2758" spans="4:4">
      <c r="D2758" s="66"/>
    </row>
    <row r="2759" spans="4:4">
      <c r="D2759" s="66"/>
    </row>
    <row r="2760" spans="4:4">
      <c r="D2760" s="66"/>
    </row>
    <row r="2761" spans="4:4">
      <c r="D2761" s="66"/>
    </row>
    <row r="2762" spans="4:4">
      <c r="D2762" s="66"/>
    </row>
    <row r="2763" spans="4:4">
      <c r="D2763" s="66"/>
    </row>
    <row r="2764" spans="4:4">
      <c r="D2764" s="66"/>
    </row>
    <row r="2765" spans="4:4">
      <c r="D2765" s="66"/>
    </row>
    <row r="2766" spans="4:4">
      <c r="D2766" s="66"/>
    </row>
    <row r="2767" spans="4:4">
      <c r="D2767" s="66"/>
    </row>
    <row r="2768" spans="4:4">
      <c r="D2768" s="66"/>
    </row>
    <row r="2769" spans="4:4">
      <c r="D2769" s="66"/>
    </row>
    <row r="2770" spans="4:4">
      <c r="D2770" s="66"/>
    </row>
    <row r="2771" spans="4:4">
      <c r="D2771" s="66"/>
    </row>
    <row r="2772" spans="4:4">
      <c r="D2772" s="66"/>
    </row>
    <row r="2773" spans="4:4">
      <c r="D2773" s="66"/>
    </row>
    <row r="2774" spans="4:4">
      <c r="D2774" s="66"/>
    </row>
    <row r="2775" spans="4:4">
      <c r="D2775" s="66"/>
    </row>
    <row r="2776" spans="4:4">
      <c r="D2776" s="66"/>
    </row>
    <row r="2777" spans="4:4">
      <c r="D2777" s="66"/>
    </row>
    <row r="2778" spans="4:4">
      <c r="D2778" s="66"/>
    </row>
    <row r="2779" spans="4:4">
      <c r="D2779" s="66"/>
    </row>
    <row r="2780" spans="4:4">
      <c r="D2780" s="66"/>
    </row>
    <row r="2781" spans="4:4">
      <c r="D2781" s="66"/>
    </row>
    <row r="2782" spans="4:4">
      <c r="D2782" s="66"/>
    </row>
    <row r="2783" spans="4:4">
      <c r="D2783" s="66"/>
    </row>
    <row r="2784" spans="4:4">
      <c r="D2784" s="66"/>
    </row>
    <row r="2785" spans="4:4">
      <c r="D2785" s="66"/>
    </row>
    <row r="2786" spans="4:4">
      <c r="D2786" s="66"/>
    </row>
    <row r="2787" spans="4:4">
      <c r="D2787" s="66"/>
    </row>
    <row r="2788" spans="4:4">
      <c r="D2788" s="66"/>
    </row>
    <row r="2789" spans="4:4">
      <c r="D2789" s="66"/>
    </row>
    <row r="2790" spans="4:4">
      <c r="D2790" s="66"/>
    </row>
    <row r="2791" spans="4:4">
      <c r="D2791" s="66"/>
    </row>
    <row r="2792" spans="4:4">
      <c r="D2792" s="66"/>
    </row>
    <row r="2793" spans="4:4">
      <c r="D2793" s="66"/>
    </row>
    <row r="2794" spans="4:4">
      <c r="D2794" s="66"/>
    </row>
    <row r="2795" spans="4:4">
      <c r="D2795" s="66"/>
    </row>
    <row r="2796" spans="4:4">
      <c r="D2796" s="66"/>
    </row>
    <row r="2797" spans="4:4">
      <c r="D2797" s="66"/>
    </row>
    <row r="2798" spans="4:4">
      <c r="D2798" s="66"/>
    </row>
    <row r="2799" spans="4:4">
      <c r="D2799" s="66"/>
    </row>
    <row r="2800" spans="4:4">
      <c r="D2800" s="66"/>
    </row>
    <row r="2801" spans="4:4">
      <c r="D2801" s="66"/>
    </row>
    <row r="2802" spans="4:4">
      <c r="D2802" s="66"/>
    </row>
    <row r="2803" spans="4:4">
      <c r="D2803" s="66"/>
    </row>
    <row r="2804" spans="4:4">
      <c r="D2804" s="66"/>
    </row>
    <row r="2805" spans="4:4">
      <c r="D2805" s="66"/>
    </row>
    <row r="2806" spans="4:4">
      <c r="D2806" s="66"/>
    </row>
    <row r="2807" spans="4:4">
      <c r="D2807" s="66"/>
    </row>
    <row r="2808" spans="4:4">
      <c r="D2808" s="66"/>
    </row>
    <row r="2809" spans="4:4">
      <c r="D2809" s="66"/>
    </row>
    <row r="2810" spans="4:4">
      <c r="D2810" s="66"/>
    </row>
    <row r="2811" spans="4:4">
      <c r="D2811" s="66"/>
    </row>
    <row r="2812" spans="4:4">
      <c r="D2812" s="66"/>
    </row>
    <row r="2813" spans="4:4">
      <c r="D2813" s="66"/>
    </row>
    <row r="2814" spans="4:4">
      <c r="D2814" s="66"/>
    </row>
    <row r="2815" spans="4:4">
      <c r="D2815" s="66"/>
    </row>
    <row r="2816" spans="4:4">
      <c r="D2816" s="66"/>
    </row>
    <row r="2817" spans="4:4">
      <c r="D2817" s="66"/>
    </row>
    <row r="2818" spans="4:4">
      <c r="D2818" s="66"/>
    </row>
    <row r="2819" spans="4:4">
      <c r="D2819" s="66"/>
    </row>
    <row r="2820" spans="4:4">
      <c r="D2820" s="66"/>
    </row>
    <row r="2821" spans="4:4">
      <c r="D2821" s="66"/>
    </row>
    <row r="2822" spans="4:4">
      <c r="D2822" s="66"/>
    </row>
    <row r="2823" spans="4:4">
      <c r="D2823" s="66"/>
    </row>
    <row r="2824" spans="4:4">
      <c r="D2824" s="66"/>
    </row>
    <row r="2825" spans="4:4">
      <c r="D2825" s="66"/>
    </row>
    <row r="2826" spans="4:4">
      <c r="D2826" s="66"/>
    </row>
    <row r="2827" spans="4:4">
      <c r="D2827" s="66"/>
    </row>
    <row r="2828" spans="4:4">
      <c r="D2828" s="66"/>
    </row>
    <row r="2829" spans="4:4">
      <c r="D2829" s="66"/>
    </row>
    <row r="2830" spans="4:4">
      <c r="D2830" s="66"/>
    </row>
    <row r="2831" spans="4:4">
      <c r="D2831" s="66"/>
    </row>
    <row r="2832" spans="4:4">
      <c r="D2832" s="66"/>
    </row>
    <row r="2833" spans="4:4">
      <c r="D2833" s="66"/>
    </row>
    <row r="2834" spans="4:4">
      <c r="D2834" s="66"/>
    </row>
    <row r="2835" spans="4:4">
      <c r="D2835" s="66"/>
    </row>
    <row r="2836" spans="4:4">
      <c r="D2836" s="66"/>
    </row>
    <row r="2837" spans="4:4">
      <c r="D2837" s="66"/>
    </row>
    <row r="2838" spans="4:4">
      <c r="D2838" s="66"/>
    </row>
    <row r="2839" spans="4:4">
      <c r="D2839" s="66"/>
    </row>
    <row r="2840" spans="4:4">
      <c r="D2840" s="66"/>
    </row>
    <row r="2841" spans="4:4">
      <c r="D2841" s="66"/>
    </row>
    <row r="2842" spans="4:4">
      <c r="D2842" s="66"/>
    </row>
    <row r="2843" spans="4:4">
      <c r="D2843" s="66"/>
    </row>
    <row r="2844" spans="4:4">
      <c r="D2844" s="66"/>
    </row>
    <row r="2845" spans="4:4">
      <c r="D2845" s="66"/>
    </row>
    <row r="2846" spans="4:4">
      <c r="D2846" s="66"/>
    </row>
    <row r="2847" spans="4:4">
      <c r="D2847" s="66"/>
    </row>
    <row r="2848" spans="4:4">
      <c r="D2848" s="66"/>
    </row>
    <row r="2849" spans="4:4">
      <c r="D2849" s="66"/>
    </row>
    <row r="2850" spans="4:4">
      <c r="D2850" s="66"/>
    </row>
    <row r="2851" spans="4:4">
      <c r="D2851" s="66"/>
    </row>
    <row r="2852" spans="4:4">
      <c r="D2852" s="66"/>
    </row>
    <row r="2853" spans="4:4">
      <c r="D2853" s="66"/>
    </row>
    <row r="2854" spans="4:4">
      <c r="D2854" s="66"/>
    </row>
    <row r="2855" spans="4:4">
      <c r="D2855" s="66"/>
    </row>
    <row r="2856" spans="4:4">
      <c r="D2856" s="66"/>
    </row>
    <row r="2857" spans="4:4">
      <c r="D2857" s="66"/>
    </row>
    <row r="2858" spans="4:4">
      <c r="D2858" s="66"/>
    </row>
    <row r="2859" spans="4:4">
      <c r="D2859" s="66"/>
    </row>
    <row r="2860" spans="4:4">
      <c r="D2860" s="66"/>
    </row>
    <row r="2861" spans="4:4">
      <c r="D2861" s="66"/>
    </row>
    <row r="2862" spans="4:4">
      <c r="D2862" s="66"/>
    </row>
    <row r="2863" spans="4:4">
      <c r="D2863" s="66"/>
    </row>
    <row r="2864" spans="4:4">
      <c r="D2864" s="66"/>
    </row>
    <row r="2865" spans="4:4">
      <c r="D2865" s="66"/>
    </row>
    <row r="2866" spans="4:4">
      <c r="D2866" s="66"/>
    </row>
    <row r="2867" spans="4:4">
      <c r="D2867" s="66"/>
    </row>
    <row r="2868" spans="4:4">
      <c r="D2868" s="66"/>
    </row>
    <row r="2869" spans="4:4">
      <c r="D2869" s="66"/>
    </row>
    <row r="2870" spans="4:4">
      <c r="D2870" s="66"/>
    </row>
    <row r="2871" spans="4:4">
      <c r="D2871" s="66"/>
    </row>
    <row r="2872" spans="4:4">
      <c r="D2872" s="66"/>
    </row>
    <row r="2873" spans="4:4">
      <c r="D2873" s="66"/>
    </row>
    <row r="2874" spans="4:4">
      <c r="D2874" s="66"/>
    </row>
    <row r="2875" spans="4:4">
      <c r="D2875" s="66"/>
    </row>
    <row r="2876" spans="4:4">
      <c r="D2876" s="66"/>
    </row>
    <row r="2877" spans="4:4">
      <c r="D2877" s="66"/>
    </row>
    <row r="2878" spans="4:4">
      <c r="D2878" s="66"/>
    </row>
    <row r="2879" spans="4:4">
      <c r="D2879" s="66"/>
    </row>
    <row r="2880" spans="4:4">
      <c r="D2880" s="66"/>
    </row>
    <row r="2881" spans="4:4">
      <c r="D2881" s="66"/>
    </row>
    <row r="2882" spans="4:4">
      <c r="D2882" s="66"/>
    </row>
    <row r="2883" spans="4:4">
      <c r="D2883" s="66"/>
    </row>
    <row r="2884" spans="4:4">
      <c r="D2884" s="66"/>
    </row>
    <row r="2885" spans="4:4">
      <c r="D2885" s="66"/>
    </row>
    <row r="2886" spans="4:4">
      <c r="D2886" s="66"/>
    </row>
    <row r="2887" spans="4:4">
      <c r="D2887" s="66"/>
    </row>
    <row r="2888" spans="4:4">
      <c r="D2888" s="66"/>
    </row>
    <row r="2889" spans="4:4">
      <c r="D2889" s="66"/>
    </row>
    <row r="2890" spans="4:4">
      <c r="D2890" s="66"/>
    </row>
    <row r="2891" spans="4:4">
      <c r="D2891" s="66"/>
    </row>
    <row r="2892" spans="4:4">
      <c r="D2892" s="66"/>
    </row>
    <row r="2893" spans="4:4">
      <c r="D2893" s="66"/>
    </row>
    <row r="2894" spans="4:4">
      <c r="D2894" s="66"/>
    </row>
    <row r="2895" spans="4:4">
      <c r="D2895" s="66"/>
    </row>
    <row r="2896" spans="4:4">
      <c r="D2896" s="66"/>
    </row>
    <row r="2897" spans="4:4">
      <c r="D2897" s="66"/>
    </row>
    <row r="2898" spans="4:4">
      <c r="D2898" s="66"/>
    </row>
    <row r="2899" spans="4:4">
      <c r="D2899" s="66"/>
    </row>
    <row r="2900" spans="4:4">
      <c r="D2900" s="66"/>
    </row>
    <row r="2901" spans="4:4">
      <c r="D2901" s="66"/>
    </row>
    <row r="2902" spans="4:4">
      <c r="D2902" s="66"/>
    </row>
    <row r="2903" spans="4:4">
      <c r="D2903" s="66"/>
    </row>
    <row r="2904" spans="4:4">
      <c r="D2904" s="66"/>
    </row>
    <row r="2905" spans="4:4">
      <c r="D2905" s="66"/>
    </row>
    <row r="2906" spans="4:4">
      <c r="D2906" s="66"/>
    </row>
    <row r="2907" spans="4:4">
      <c r="D2907" s="66"/>
    </row>
    <row r="2908" spans="4:4">
      <c r="D2908" s="66"/>
    </row>
    <row r="2909" spans="4:4">
      <c r="D2909" s="66"/>
    </row>
    <row r="2910" spans="4:4">
      <c r="D2910" s="66"/>
    </row>
    <row r="2911" spans="4:4">
      <c r="D2911" s="66"/>
    </row>
    <row r="2912" spans="4:4">
      <c r="D2912" s="66"/>
    </row>
    <row r="2913" spans="4:4">
      <c r="D2913" s="66"/>
    </row>
    <row r="2914" spans="4:4">
      <c r="D2914" s="66"/>
    </row>
    <row r="2915" spans="4:4">
      <c r="D2915" s="66"/>
    </row>
    <row r="2916" spans="4:4">
      <c r="D2916" s="66"/>
    </row>
    <row r="2917" spans="4:4">
      <c r="D2917" s="66"/>
    </row>
    <row r="2918" spans="4:4">
      <c r="D2918" s="66"/>
    </row>
    <row r="2919" spans="4:4">
      <c r="D2919" s="66"/>
    </row>
    <row r="2920" spans="4:4">
      <c r="D2920" s="66"/>
    </row>
    <row r="2921" spans="4:4">
      <c r="D2921" s="66"/>
    </row>
    <row r="2922" spans="4:4">
      <c r="D2922" s="66"/>
    </row>
    <row r="2923" spans="4:4">
      <c r="D2923" s="66"/>
    </row>
    <row r="2924" spans="4:4">
      <c r="D2924" s="66"/>
    </row>
    <row r="2925" spans="4:4">
      <c r="D2925" s="66"/>
    </row>
    <row r="2926" spans="4:4">
      <c r="D2926" s="66"/>
    </row>
    <row r="2927" spans="4:4">
      <c r="D2927" s="66"/>
    </row>
    <row r="2928" spans="4:4">
      <c r="D2928" s="66"/>
    </row>
    <row r="2929" spans="4:4">
      <c r="D2929" s="66"/>
    </row>
    <row r="2930" spans="4:4">
      <c r="D2930" s="66"/>
    </row>
    <row r="2931" spans="4:4">
      <c r="D2931" s="66"/>
    </row>
    <row r="2932" spans="4:4">
      <c r="D2932" s="66"/>
    </row>
    <row r="2933" spans="4:4">
      <c r="D2933" s="66"/>
    </row>
    <row r="2934" spans="4:4">
      <c r="D2934" s="66"/>
    </row>
    <row r="2935" spans="4:4">
      <c r="D2935" s="66"/>
    </row>
    <row r="2936" spans="4:4">
      <c r="D2936" s="66"/>
    </row>
    <row r="2937" spans="4:4">
      <c r="D2937" s="66"/>
    </row>
    <row r="2938" spans="4:4">
      <c r="D2938" s="66"/>
    </row>
    <row r="2939" spans="4:4">
      <c r="D2939" s="66"/>
    </row>
    <row r="2940" spans="4:4">
      <c r="D2940" s="66"/>
    </row>
    <row r="2941" spans="4:4">
      <c r="D2941" s="66"/>
    </row>
    <row r="2942" spans="4:4">
      <c r="D2942" s="66"/>
    </row>
    <row r="2943" spans="4:4">
      <c r="D2943" s="66"/>
    </row>
    <row r="2944" spans="4:4">
      <c r="D2944" s="66"/>
    </row>
    <row r="2945" spans="4:4">
      <c r="D2945" s="66"/>
    </row>
    <row r="2946" spans="4:4">
      <c r="D2946" s="66"/>
    </row>
    <row r="2947" spans="4:4">
      <c r="D2947" s="66"/>
    </row>
    <row r="2948" spans="4:4">
      <c r="D2948" s="66"/>
    </row>
    <row r="2949" spans="4:4">
      <c r="D2949" s="66"/>
    </row>
    <row r="2950" spans="4:4">
      <c r="D2950" s="66"/>
    </row>
    <row r="2951" spans="4:4">
      <c r="D2951" s="66"/>
    </row>
    <row r="2952" spans="4:4">
      <c r="D2952" s="66"/>
    </row>
    <row r="2953" spans="4:4">
      <c r="D2953" s="66"/>
    </row>
    <row r="2954" spans="4:4">
      <c r="D2954" s="66"/>
    </row>
    <row r="2955" spans="4:4">
      <c r="D2955" s="66"/>
    </row>
    <row r="2956" spans="4:4">
      <c r="D2956" s="66"/>
    </row>
    <row r="2957" spans="4:4">
      <c r="D2957" s="66"/>
    </row>
    <row r="2958" spans="4:4">
      <c r="D2958" s="66"/>
    </row>
    <row r="2959" spans="4:4">
      <c r="D2959" s="66"/>
    </row>
    <row r="2960" spans="4:4">
      <c r="D2960" s="66"/>
    </row>
    <row r="2961" spans="4:4">
      <c r="D2961" s="66"/>
    </row>
    <row r="2962" spans="4:4">
      <c r="D2962" s="66"/>
    </row>
    <row r="2963" spans="4:4">
      <c r="D2963" s="66"/>
    </row>
    <row r="2964" spans="4:4">
      <c r="D2964" s="66"/>
    </row>
    <row r="2965" spans="4:4">
      <c r="D2965" s="66"/>
    </row>
    <row r="2966" spans="4:4">
      <c r="D2966" s="66"/>
    </row>
    <row r="2967" spans="4:4">
      <c r="D2967" s="66"/>
    </row>
    <row r="2968" spans="4:4">
      <c r="D2968" s="66"/>
    </row>
    <row r="2969" spans="4:4">
      <c r="D2969" s="66"/>
    </row>
    <row r="2970" spans="4:4">
      <c r="D2970" s="66"/>
    </row>
    <row r="2971" spans="4:4">
      <c r="D2971" s="66"/>
    </row>
    <row r="2972" spans="4:4">
      <c r="D2972" s="66"/>
    </row>
    <row r="2973" spans="4:4">
      <c r="D2973" s="66"/>
    </row>
    <row r="2974" spans="4:4">
      <c r="D2974" s="66"/>
    </row>
    <row r="2975" spans="4:4">
      <c r="D2975" s="66"/>
    </row>
    <row r="2976" spans="4:4">
      <c r="D2976" s="66"/>
    </row>
    <row r="2977" spans="4:4">
      <c r="D2977" s="66"/>
    </row>
    <row r="2978" spans="4:4">
      <c r="D2978" s="66"/>
    </row>
    <row r="2979" spans="4:4">
      <c r="D2979" s="66"/>
    </row>
    <row r="2980" spans="4:4">
      <c r="D2980" s="66"/>
    </row>
    <row r="2981" spans="4:4">
      <c r="D2981" s="66"/>
    </row>
    <row r="2982" spans="4:4">
      <c r="D2982" s="66"/>
    </row>
    <row r="2983" spans="4:4">
      <c r="D2983" s="66"/>
    </row>
    <row r="2984" spans="4:4">
      <c r="D2984" s="66"/>
    </row>
    <row r="2985" spans="4:4">
      <c r="D2985" s="66"/>
    </row>
    <row r="2986" spans="4:4">
      <c r="D2986" s="66"/>
    </row>
    <row r="2987" spans="4:4">
      <c r="D2987" s="66"/>
    </row>
    <row r="2988" spans="4:4">
      <c r="D2988" s="66"/>
    </row>
    <row r="2989" spans="4:4">
      <c r="D2989" s="66"/>
    </row>
    <row r="2990" spans="4:4">
      <c r="D2990" s="66"/>
    </row>
    <row r="2991" spans="4:4">
      <c r="D2991" s="66"/>
    </row>
    <row r="2992" spans="4:4">
      <c r="D2992" s="66"/>
    </row>
    <row r="2993" spans="4:4">
      <c r="D2993" s="66"/>
    </row>
    <row r="2994" spans="4:4">
      <c r="D2994" s="66"/>
    </row>
    <row r="2995" spans="4:4">
      <c r="D2995" s="66"/>
    </row>
    <row r="2996" spans="4:4">
      <c r="D2996" s="66"/>
    </row>
    <row r="2997" spans="4:4">
      <c r="D2997" s="66"/>
    </row>
    <row r="2998" spans="4:4">
      <c r="D2998" s="66"/>
    </row>
    <row r="2999" spans="4:4">
      <c r="D2999" s="66"/>
    </row>
    <row r="3000" spans="4:4">
      <c r="D3000" s="66"/>
    </row>
    <row r="3001" spans="4:4">
      <c r="D3001" s="66"/>
    </row>
    <row r="3002" spans="4:4">
      <c r="D3002" s="66"/>
    </row>
    <row r="3003" spans="4:4">
      <c r="D3003" s="66"/>
    </row>
    <row r="3004" spans="4:4">
      <c r="D3004" s="66"/>
    </row>
    <row r="3005" spans="4:4">
      <c r="D3005" s="66"/>
    </row>
    <row r="3006" spans="4:4">
      <c r="D3006" s="66"/>
    </row>
    <row r="3007" spans="4:4">
      <c r="D3007" s="66"/>
    </row>
    <row r="3008" spans="4:4">
      <c r="D3008" s="66"/>
    </row>
    <row r="3009" spans="4:4">
      <c r="D3009" s="66"/>
    </row>
    <row r="3010" spans="4:4">
      <c r="D3010" s="66"/>
    </row>
    <row r="3011" spans="4:4">
      <c r="D3011" s="66"/>
    </row>
    <row r="3012" spans="4:4">
      <c r="D3012" s="66"/>
    </row>
    <row r="3013" spans="4:4">
      <c r="D3013" s="66"/>
    </row>
    <row r="3014" spans="4:4">
      <c r="D3014" s="66"/>
    </row>
    <row r="3015" spans="4:4">
      <c r="D3015" s="66"/>
    </row>
    <row r="3016" spans="4:4">
      <c r="D3016" s="66"/>
    </row>
    <row r="3017" spans="4:4">
      <c r="D3017" s="66"/>
    </row>
    <row r="3018" spans="4:4">
      <c r="D3018" s="66"/>
    </row>
    <row r="3019" spans="4:4">
      <c r="D3019" s="66"/>
    </row>
    <row r="3020" spans="4:4">
      <c r="D3020" s="66"/>
    </row>
    <row r="3021" spans="4:4">
      <c r="D3021" s="66"/>
    </row>
    <row r="3022" spans="4:4">
      <c r="D3022" s="66"/>
    </row>
    <row r="3023" spans="4:4">
      <c r="D3023" s="66"/>
    </row>
    <row r="3024" spans="4:4">
      <c r="D3024" s="66"/>
    </row>
    <row r="3025" spans="4:4">
      <c r="D3025" s="66"/>
    </row>
    <row r="3026" spans="4:4">
      <c r="D3026" s="66"/>
    </row>
    <row r="3027" spans="4:4">
      <c r="D3027" s="66"/>
    </row>
    <row r="3028" spans="4:4">
      <c r="D3028" s="66"/>
    </row>
    <row r="3029" spans="4:4">
      <c r="D3029" s="66"/>
    </row>
    <row r="3030" spans="4:4">
      <c r="D3030" s="66"/>
    </row>
    <row r="3031" spans="4:4">
      <c r="D3031" s="66"/>
    </row>
    <row r="3032" spans="4:4">
      <c r="D3032" s="66"/>
    </row>
    <row r="3033" spans="4:4">
      <c r="D3033" s="66"/>
    </row>
    <row r="3034" spans="4:4">
      <c r="D3034" s="66"/>
    </row>
    <row r="3035" spans="4:4">
      <c r="D3035" s="66"/>
    </row>
    <row r="3036" spans="4:4">
      <c r="D3036" s="66"/>
    </row>
    <row r="3037" spans="4:4">
      <c r="D3037" s="66"/>
    </row>
    <row r="3038" spans="4:4">
      <c r="D3038" s="66"/>
    </row>
    <row r="3039" spans="4:4">
      <c r="D3039" s="66"/>
    </row>
    <row r="3040" spans="4:4">
      <c r="D3040" s="66"/>
    </row>
    <row r="3041" spans="4:4">
      <c r="D3041" s="66"/>
    </row>
    <row r="3042" spans="4:4">
      <c r="D3042" s="66"/>
    </row>
    <row r="3043" spans="4:4">
      <c r="D3043" s="66"/>
    </row>
    <row r="3044" spans="4:4">
      <c r="D3044" s="66"/>
    </row>
    <row r="3045" spans="4:4">
      <c r="D3045" s="66"/>
    </row>
    <row r="3046" spans="4:4">
      <c r="D3046" s="66"/>
    </row>
    <row r="3047" spans="4:4">
      <c r="D3047" s="66"/>
    </row>
    <row r="3048" spans="4:4">
      <c r="D3048" s="66"/>
    </row>
    <row r="3049" spans="4:4">
      <c r="D3049" s="66"/>
    </row>
    <row r="3050" spans="4:4">
      <c r="D3050" s="66"/>
    </row>
    <row r="3051" spans="4:4">
      <c r="D3051" s="66"/>
    </row>
    <row r="3052" spans="4:4">
      <c r="D3052" s="66"/>
    </row>
    <row r="3053" spans="4:4">
      <c r="D3053" s="66"/>
    </row>
    <row r="3054" spans="4:4">
      <c r="D3054" s="66"/>
    </row>
    <row r="3055" spans="4:4">
      <c r="D3055" s="66"/>
    </row>
    <row r="3056" spans="4:4">
      <c r="D3056" s="66"/>
    </row>
    <row r="3057" spans="4:4">
      <c r="D3057" s="66"/>
    </row>
    <row r="3058" spans="4:4">
      <c r="D3058" s="66"/>
    </row>
    <row r="3059" spans="4:4">
      <c r="D3059" s="66"/>
    </row>
    <row r="3060" spans="4:4">
      <c r="D3060" s="66"/>
    </row>
    <row r="3061" spans="4:4">
      <c r="D3061" s="66"/>
    </row>
    <row r="3062" spans="4:4">
      <c r="D3062" s="66"/>
    </row>
    <row r="3063" spans="4:4">
      <c r="D3063" s="66"/>
    </row>
    <row r="3064" spans="4:4">
      <c r="D3064" s="66"/>
    </row>
    <row r="3065" spans="4:4">
      <c r="D3065" s="66"/>
    </row>
    <row r="3066" spans="4:4">
      <c r="D3066" s="66"/>
    </row>
    <row r="3067" spans="4:4">
      <c r="D3067" s="66"/>
    </row>
    <row r="3068" spans="4:4">
      <c r="D3068" s="66"/>
    </row>
    <row r="3069" spans="4:4">
      <c r="D3069" s="66"/>
    </row>
    <row r="3070" spans="4:4">
      <c r="D3070" s="66"/>
    </row>
    <row r="3071" spans="4:4">
      <c r="D3071" s="66"/>
    </row>
    <row r="3072" spans="4:4">
      <c r="D3072" s="66"/>
    </row>
    <row r="3073" spans="4:4">
      <c r="D3073" s="66"/>
    </row>
    <row r="3074" spans="4:4">
      <c r="D3074" s="66"/>
    </row>
    <row r="3075" spans="4:4">
      <c r="D3075" s="66"/>
    </row>
    <row r="3076" spans="4:4">
      <c r="D3076" s="66"/>
    </row>
    <row r="3077" spans="4:4">
      <c r="D3077" s="66"/>
    </row>
    <row r="3078" spans="4:4">
      <c r="D3078" s="66"/>
    </row>
    <row r="3079" spans="4:4">
      <c r="D3079" s="66"/>
    </row>
    <row r="3080" spans="4:4">
      <c r="D3080" s="66"/>
    </row>
    <row r="3081" spans="4:4">
      <c r="D3081" s="66"/>
    </row>
    <row r="3082" spans="4:4">
      <c r="D3082" s="66"/>
    </row>
    <row r="3083" spans="4:4">
      <c r="D3083" s="66"/>
    </row>
    <row r="3084" spans="4:4">
      <c r="D3084" s="66"/>
    </row>
    <row r="3085" spans="4:4">
      <c r="D3085" s="66"/>
    </row>
    <row r="3086" spans="4:4">
      <c r="D3086" s="66"/>
    </row>
    <row r="3087" spans="4:4">
      <c r="D3087" s="66"/>
    </row>
    <row r="3088" spans="4:4">
      <c r="D3088" s="66"/>
    </row>
    <row r="3089" spans="4:4">
      <c r="D3089" s="66"/>
    </row>
    <row r="3090" spans="4:4">
      <c r="D3090" s="66"/>
    </row>
    <row r="3091" spans="4:4">
      <c r="D3091" s="66"/>
    </row>
    <row r="3092" spans="4:4">
      <c r="D3092" s="66"/>
    </row>
    <row r="3093" spans="4:4">
      <c r="D3093" s="66"/>
    </row>
    <row r="3094" spans="4:4">
      <c r="D3094" s="66"/>
    </row>
    <row r="3095" spans="4:4">
      <c r="D3095" s="66"/>
    </row>
    <row r="3096" spans="4:4">
      <c r="D3096" s="66"/>
    </row>
    <row r="3097" spans="4:4">
      <c r="D3097" s="66"/>
    </row>
    <row r="3098" spans="4:4">
      <c r="D3098" s="66"/>
    </row>
    <row r="3099" spans="4:4">
      <c r="D3099" s="66"/>
    </row>
    <row r="3100" spans="4:4">
      <c r="D3100" s="66"/>
    </row>
    <row r="3101" spans="4:4">
      <c r="D3101" s="66"/>
    </row>
    <row r="3102" spans="4:4">
      <c r="D3102" s="66"/>
    </row>
    <row r="3103" spans="4:4">
      <c r="D3103" s="66"/>
    </row>
    <row r="3104" spans="4:4">
      <c r="D3104" s="66"/>
    </row>
    <row r="3105" spans="4:4">
      <c r="D3105" s="66"/>
    </row>
    <row r="3106" spans="4:4">
      <c r="D3106" s="66"/>
    </row>
    <row r="3107" spans="4:4">
      <c r="D3107" s="66"/>
    </row>
    <row r="3108" spans="4:4">
      <c r="D3108" s="66"/>
    </row>
    <row r="3109" spans="4:4">
      <c r="D3109" s="66"/>
    </row>
    <row r="3110" spans="4:4">
      <c r="D3110" s="66"/>
    </row>
    <row r="3111" spans="4:4">
      <c r="D3111" s="66"/>
    </row>
    <row r="3112" spans="4:4">
      <c r="D3112" s="66"/>
    </row>
    <row r="3113" spans="4:4">
      <c r="D3113" s="66"/>
    </row>
    <row r="3114" spans="4:4">
      <c r="D3114" s="66"/>
    </row>
    <row r="3115" spans="4:4">
      <c r="D3115" s="66"/>
    </row>
    <row r="3116" spans="4:4">
      <c r="D3116" s="66"/>
    </row>
    <row r="3117" spans="4:4">
      <c r="D3117" s="66"/>
    </row>
    <row r="3118" spans="4:4">
      <c r="D3118" s="66"/>
    </row>
    <row r="3119" spans="4:4">
      <c r="D3119" s="66"/>
    </row>
    <row r="3120" spans="4:4">
      <c r="D3120" s="66"/>
    </row>
    <row r="3121" spans="4:4">
      <c r="D3121" s="66"/>
    </row>
    <row r="3122" spans="4:4">
      <c r="D3122" s="66"/>
    </row>
    <row r="3123" spans="4:4">
      <c r="D3123" s="66"/>
    </row>
    <row r="3124" spans="4:4">
      <c r="D3124" s="66"/>
    </row>
    <row r="3125" spans="4:4">
      <c r="D3125" s="66"/>
    </row>
    <row r="3126" spans="4:4">
      <c r="D3126" s="66"/>
    </row>
    <row r="3127" spans="4:4">
      <c r="D3127" s="66"/>
    </row>
    <row r="3128" spans="4:4">
      <c r="D3128" s="66"/>
    </row>
    <row r="3129" spans="4:4">
      <c r="D3129" s="66"/>
    </row>
    <row r="3130" spans="4:4">
      <c r="D3130" s="66"/>
    </row>
    <row r="3131" spans="4:4">
      <c r="D3131" s="66"/>
    </row>
    <row r="3132" spans="4:4">
      <c r="D3132" s="66"/>
    </row>
    <row r="3133" spans="4:4">
      <c r="D3133" s="66"/>
    </row>
    <row r="3134" spans="4:4">
      <c r="D3134" s="66"/>
    </row>
    <row r="3135" spans="4:4">
      <c r="D3135" s="66"/>
    </row>
    <row r="3136" spans="4:4">
      <c r="D3136" s="66"/>
    </row>
    <row r="3137" spans="4:4">
      <c r="D3137" s="66"/>
    </row>
    <row r="3138" spans="4:4">
      <c r="D3138" s="66"/>
    </row>
    <row r="3139" spans="4:4">
      <c r="D3139" s="66"/>
    </row>
    <row r="3140" spans="4:4">
      <c r="D3140" s="66"/>
    </row>
    <row r="3141" spans="4:4">
      <c r="D3141" s="66"/>
    </row>
    <row r="3142" spans="4:4">
      <c r="D3142" s="66"/>
    </row>
    <row r="3143" spans="4:4">
      <c r="D3143" s="66"/>
    </row>
    <row r="3144" spans="4:4">
      <c r="D3144" s="66"/>
    </row>
    <row r="3145" spans="4:4">
      <c r="D3145" s="66"/>
    </row>
    <row r="3146" spans="4:4">
      <c r="D3146" s="66"/>
    </row>
    <row r="3147" spans="4:4">
      <c r="D3147" s="66"/>
    </row>
    <row r="3148" spans="4:4">
      <c r="D3148" s="66"/>
    </row>
    <row r="3149" spans="4:4">
      <c r="D3149" s="66"/>
    </row>
    <row r="3150" spans="4:4">
      <c r="D3150" s="66"/>
    </row>
    <row r="3151" spans="4:4">
      <c r="D3151" s="66"/>
    </row>
    <row r="3152" spans="4:4">
      <c r="D3152" s="66"/>
    </row>
    <row r="3153" spans="4:4">
      <c r="D3153" s="66"/>
    </row>
    <row r="3154" spans="4:4">
      <c r="D3154" s="66"/>
    </row>
    <row r="3155" spans="4:4">
      <c r="D3155" s="66"/>
    </row>
    <row r="3156" spans="4:4">
      <c r="D3156" s="66"/>
    </row>
    <row r="3157" spans="4:4">
      <c r="D3157" s="66"/>
    </row>
    <row r="3158" spans="4:4">
      <c r="D3158" s="66"/>
    </row>
    <row r="3159" spans="4:4">
      <c r="D3159" s="66"/>
    </row>
    <row r="3160" spans="4:4">
      <c r="D3160" s="66"/>
    </row>
    <row r="3161" spans="4:4">
      <c r="D3161" s="66"/>
    </row>
    <row r="3162" spans="4:4">
      <c r="D3162" s="66"/>
    </row>
    <row r="3163" spans="4:4">
      <c r="D3163" s="66"/>
    </row>
    <row r="3164" spans="4:4">
      <c r="D3164" s="66"/>
    </row>
    <row r="3165" spans="4:4">
      <c r="D3165" s="66"/>
    </row>
    <row r="3166" spans="4:4">
      <c r="D3166" s="66"/>
    </row>
    <row r="3167" spans="4:4">
      <c r="D3167" s="66"/>
    </row>
    <row r="3168" spans="4:4">
      <c r="D3168" s="66"/>
    </row>
    <row r="3169" spans="4:4">
      <c r="D3169" s="66"/>
    </row>
    <row r="3170" spans="4:4">
      <c r="D3170" s="66"/>
    </row>
    <row r="3171" spans="4:4">
      <c r="D3171" s="66"/>
    </row>
    <row r="3172" spans="4:4">
      <c r="D3172" s="66"/>
    </row>
    <row r="3173" spans="4:4">
      <c r="D3173" s="66"/>
    </row>
    <row r="3174" spans="4:4">
      <c r="D3174" s="66"/>
    </row>
    <row r="3175" spans="4:4">
      <c r="D3175" s="66"/>
    </row>
    <row r="3176" spans="4:4">
      <c r="D3176" s="66"/>
    </row>
    <row r="3177" spans="4:4">
      <c r="D3177" s="66"/>
    </row>
    <row r="3178" spans="4:4">
      <c r="D3178" s="66"/>
    </row>
    <row r="3179" spans="4:4">
      <c r="D3179" s="66"/>
    </row>
    <row r="3180" spans="4:4">
      <c r="D3180" s="66"/>
    </row>
    <row r="3181" spans="4:4">
      <c r="D3181" s="66"/>
    </row>
    <row r="3182" spans="4:4">
      <c r="D3182" s="66"/>
    </row>
    <row r="3183" spans="4:4">
      <c r="D3183" s="66"/>
    </row>
    <row r="3184" spans="4:4">
      <c r="D3184" s="66"/>
    </row>
    <row r="3185" spans="4:4">
      <c r="D3185" s="66"/>
    </row>
    <row r="3186" spans="4:4">
      <c r="D3186" s="66"/>
    </row>
    <row r="3187" spans="4:4">
      <c r="D3187" s="66"/>
    </row>
    <row r="3188" spans="4:4">
      <c r="D3188" s="66"/>
    </row>
    <row r="3189" spans="4:4">
      <c r="D3189" s="66"/>
    </row>
    <row r="3190" spans="4:4">
      <c r="D3190" s="66"/>
    </row>
    <row r="3191" spans="4:4">
      <c r="D3191" s="66"/>
    </row>
    <row r="3192" spans="4:4">
      <c r="D3192" s="66"/>
    </row>
    <row r="3193" spans="4:4">
      <c r="D3193" s="66"/>
    </row>
    <row r="3194" spans="4:4">
      <c r="D3194" s="66"/>
    </row>
    <row r="3195" spans="4:4">
      <c r="D3195" s="66"/>
    </row>
    <row r="3196" spans="4:4">
      <c r="D3196" s="66"/>
    </row>
    <row r="3197" spans="4:4">
      <c r="D3197" s="66"/>
    </row>
    <row r="3198" spans="4:4">
      <c r="D3198" s="66"/>
    </row>
    <row r="3199" spans="4:4">
      <c r="D3199" s="66"/>
    </row>
    <row r="3200" spans="4:4">
      <c r="D3200" s="66"/>
    </row>
    <row r="3201" spans="4:4">
      <c r="D3201" s="66"/>
    </row>
    <row r="3202" spans="4:4">
      <c r="D3202" s="66"/>
    </row>
    <row r="3203" spans="4:4">
      <c r="D3203" s="66"/>
    </row>
    <row r="3204" spans="4:4">
      <c r="D3204" s="66"/>
    </row>
    <row r="3205" spans="4:4">
      <c r="D3205" s="66"/>
    </row>
    <row r="3206" spans="4:4">
      <c r="D3206" s="66"/>
    </row>
    <row r="3207" spans="4:4">
      <c r="D3207" s="66"/>
    </row>
    <row r="3208" spans="4:4">
      <c r="D3208" s="66"/>
    </row>
    <row r="3209" spans="4:4">
      <c r="D3209" s="66"/>
    </row>
    <row r="3210" spans="4:4">
      <c r="D3210" s="66"/>
    </row>
    <row r="3211" spans="4:4">
      <c r="D3211" s="66"/>
    </row>
    <row r="3212" spans="4:4">
      <c r="D3212" s="66"/>
    </row>
    <row r="3213" spans="4:4">
      <c r="D3213" s="66"/>
    </row>
    <row r="3214" spans="4:4">
      <c r="D3214" s="66"/>
    </row>
    <row r="3215" spans="4:4">
      <c r="D3215" s="66"/>
    </row>
    <row r="3216" spans="4:4">
      <c r="D3216" s="66"/>
    </row>
    <row r="3217" spans="4:4">
      <c r="D3217" s="66"/>
    </row>
    <row r="3218" spans="4:4">
      <c r="D3218" s="66"/>
    </row>
    <row r="3219" spans="4:4">
      <c r="D3219" s="66"/>
    </row>
    <row r="3220" spans="4:4">
      <c r="D3220" s="66"/>
    </row>
    <row r="3221" spans="4:4">
      <c r="D3221" s="66"/>
    </row>
    <row r="3222" spans="4:4">
      <c r="D3222" s="66"/>
    </row>
    <row r="3223" spans="4:4">
      <c r="D3223" s="66"/>
    </row>
    <row r="3224" spans="4:4">
      <c r="D3224" s="66"/>
    </row>
    <row r="3225" spans="4:4">
      <c r="D3225" s="66"/>
    </row>
    <row r="3226" spans="4:4">
      <c r="D3226" s="66"/>
    </row>
    <row r="3227" spans="4:4">
      <c r="D3227" s="66"/>
    </row>
    <row r="3228" spans="4:4">
      <c r="D3228" s="66"/>
    </row>
    <row r="3229" spans="4:4">
      <c r="D3229" s="66"/>
    </row>
    <row r="3230" spans="4:4">
      <c r="D3230" s="66"/>
    </row>
    <row r="3231" spans="4:4">
      <c r="D3231" s="66"/>
    </row>
    <row r="3232" spans="4:4">
      <c r="D3232" s="66"/>
    </row>
    <row r="3233" spans="4:4">
      <c r="D3233" s="66"/>
    </row>
    <row r="3234" spans="4:4">
      <c r="D3234" s="66"/>
    </row>
    <row r="3235" spans="4:4">
      <c r="D3235" s="66"/>
    </row>
    <row r="3236" spans="4:4">
      <c r="D3236" s="66"/>
    </row>
    <row r="3237" spans="4:4">
      <c r="D3237" s="66"/>
    </row>
    <row r="3238" spans="4:4">
      <c r="D3238" s="66"/>
    </row>
    <row r="3239" spans="4:4">
      <c r="D3239" s="66"/>
    </row>
    <row r="3240" spans="4:4">
      <c r="D3240" s="66"/>
    </row>
    <row r="3241" spans="4:4">
      <c r="D3241" s="66"/>
    </row>
    <row r="3242" spans="4:4">
      <c r="D3242" s="66"/>
    </row>
    <row r="3243" spans="4:4">
      <c r="D3243" s="66"/>
    </row>
    <row r="3244" spans="4:4">
      <c r="D3244" s="66"/>
    </row>
    <row r="3245" spans="4:4">
      <c r="D3245" s="66"/>
    </row>
    <row r="3246" spans="4:4">
      <c r="D3246" s="66"/>
    </row>
    <row r="3247" spans="4:4">
      <c r="D3247" s="66"/>
    </row>
    <row r="3248" spans="4:4">
      <c r="D3248" s="66"/>
    </row>
    <row r="3249" spans="4:4">
      <c r="D3249" s="66"/>
    </row>
    <row r="3250" spans="4:4">
      <c r="D3250" s="66"/>
    </row>
    <row r="3251" spans="4:4">
      <c r="D3251" s="66"/>
    </row>
    <row r="3252" spans="4:4">
      <c r="D3252" s="66"/>
    </row>
    <row r="3253" spans="4:4">
      <c r="D3253" s="66"/>
    </row>
    <row r="3254" spans="4:4">
      <c r="D3254" s="66"/>
    </row>
    <row r="3255" spans="4:4">
      <c r="D3255" s="66"/>
    </row>
    <row r="3256" spans="4:4">
      <c r="D3256" s="66"/>
    </row>
    <row r="3257" spans="4:4">
      <c r="D3257" s="66"/>
    </row>
    <row r="3258" spans="4:4">
      <c r="D3258" s="66"/>
    </row>
    <row r="3259" spans="4:4">
      <c r="D3259" s="66"/>
    </row>
    <row r="3260" spans="4:4">
      <c r="D3260" s="66"/>
    </row>
    <row r="3261" spans="4:4">
      <c r="D3261" s="66"/>
    </row>
    <row r="3262" spans="4:4">
      <c r="D3262" s="66"/>
    </row>
    <row r="3263" spans="4:4">
      <c r="D3263" s="66"/>
    </row>
    <row r="3264" spans="4:4">
      <c r="D3264" s="66"/>
    </row>
    <row r="3265" spans="4:4">
      <c r="D3265" s="66"/>
    </row>
    <row r="3266" spans="4:4">
      <c r="D3266" s="66"/>
    </row>
    <row r="3267" spans="4:4">
      <c r="D3267" s="66"/>
    </row>
    <row r="3268" spans="4:4">
      <c r="D3268" s="66"/>
    </row>
    <row r="3269" spans="4:4">
      <c r="D3269" s="66"/>
    </row>
    <row r="3270" spans="4:4">
      <c r="D3270" s="66"/>
    </row>
    <row r="3271" spans="4:4">
      <c r="D3271" s="66"/>
    </row>
    <row r="3272" spans="4:4">
      <c r="D3272" s="66"/>
    </row>
    <row r="3273" spans="4:4">
      <c r="D3273" s="66"/>
    </row>
    <row r="3274" spans="4:4">
      <c r="D3274" s="66"/>
    </row>
    <row r="3275" spans="4:4">
      <c r="D3275" s="66"/>
    </row>
    <row r="3276" spans="4:4">
      <c r="D3276" s="66"/>
    </row>
    <row r="3277" spans="4:4">
      <c r="D3277" s="66"/>
    </row>
    <row r="3278" spans="4:4">
      <c r="D3278" s="66"/>
    </row>
    <row r="3279" spans="4:4">
      <c r="D3279" s="66"/>
    </row>
    <row r="3280" spans="4:4">
      <c r="D3280" s="66"/>
    </row>
    <row r="3281" spans="4:4">
      <c r="D3281" s="66"/>
    </row>
    <row r="3282" spans="4:4">
      <c r="D3282" s="66"/>
    </row>
    <row r="3283" spans="4:4">
      <c r="D3283" s="66"/>
    </row>
    <row r="3284" spans="4:4">
      <c r="D3284" s="66"/>
    </row>
    <row r="3285" spans="4:4">
      <c r="D3285" s="66"/>
    </row>
    <row r="3286" spans="4:4">
      <c r="D3286" s="66"/>
    </row>
    <row r="3287" spans="4:4">
      <c r="D3287" s="66"/>
    </row>
    <row r="3288" spans="4:4">
      <c r="D3288" s="66"/>
    </row>
    <row r="3289" spans="4:4">
      <c r="D3289" s="66"/>
    </row>
    <row r="3290" spans="4:4">
      <c r="D3290" s="66"/>
    </row>
    <row r="3291" spans="4:4">
      <c r="D3291" s="66"/>
    </row>
    <row r="3292" spans="4:4">
      <c r="D3292" s="66"/>
    </row>
    <row r="3293" spans="4:4">
      <c r="D3293" s="66"/>
    </row>
    <row r="3294" spans="4:4">
      <c r="D3294" s="66"/>
    </row>
    <row r="3295" spans="4:4">
      <c r="D3295" s="66"/>
    </row>
    <row r="3296" spans="4:4">
      <c r="D3296" s="66"/>
    </row>
    <row r="3297" spans="4:4">
      <c r="D3297" s="66"/>
    </row>
    <row r="3298" spans="4:4">
      <c r="D3298" s="66"/>
    </row>
    <row r="3299" spans="4:4">
      <c r="D3299" s="66"/>
    </row>
    <row r="3300" spans="4:4">
      <c r="D3300" s="66"/>
    </row>
    <row r="3301" spans="4:4">
      <c r="D3301" s="66"/>
    </row>
    <row r="3302" spans="4:4">
      <c r="D3302" s="66"/>
    </row>
    <row r="3303" spans="4:4">
      <c r="D3303" s="66"/>
    </row>
    <row r="3304" spans="4:4">
      <c r="D3304" s="66"/>
    </row>
    <row r="3305" spans="4:4">
      <c r="D3305" s="66"/>
    </row>
    <row r="3306" spans="4:4">
      <c r="D3306" s="66"/>
    </row>
    <row r="3307" spans="4:4">
      <c r="D3307" s="66"/>
    </row>
    <row r="3308" spans="4:4">
      <c r="D3308" s="66"/>
    </row>
    <row r="3309" spans="4:4">
      <c r="D3309" s="66"/>
    </row>
    <row r="3310" spans="4:4">
      <c r="D3310" s="66"/>
    </row>
    <row r="3311" spans="4:4">
      <c r="D3311" s="66"/>
    </row>
    <row r="3312" spans="4:4">
      <c r="D3312" s="66"/>
    </row>
    <row r="3313" spans="4:4">
      <c r="D3313" s="66"/>
    </row>
    <row r="3314" spans="4:4">
      <c r="D3314" s="66"/>
    </row>
    <row r="3315" spans="4:4">
      <c r="D3315" s="66"/>
    </row>
    <row r="3316" spans="4:4">
      <c r="D3316" s="66"/>
    </row>
    <row r="3317" spans="4:4">
      <c r="D3317" s="66"/>
    </row>
    <row r="3318" spans="4:4">
      <c r="D3318" s="66"/>
    </row>
    <row r="3319" spans="4:4">
      <c r="D3319" s="66"/>
    </row>
    <row r="3320" spans="4:4">
      <c r="D3320" s="66"/>
    </row>
    <row r="3321" spans="4:4">
      <c r="D3321" s="66"/>
    </row>
    <row r="3322" spans="4:4">
      <c r="D3322" s="66"/>
    </row>
    <row r="3323" spans="4:4">
      <c r="D3323" s="66"/>
    </row>
    <row r="3324" spans="4:4">
      <c r="D3324" s="66"/>
    </row>
    <row r="3325" spans="4:4">
      <c r="D3325" s="66"/>
    </row>
    <row r="3326" spans="4:4">
      <c r="D3326" s="66"/>
    </row>
    <row r="3327" spans="4:4">
      <c r="D3327" s="66"/>
    </row>
    <row r="3328" spans="4:4">
      <c r="D3328" s="66"/>
    </row>
    <row r="3329" spans="4:4">
      <c r="D3329" s="66"/>
    </row>
    <row r="3330" spans="4:4">
      <c r="D3330" s="66"/>
    </row>
  </sheetData>
  <autoFilter ref="A3:AA457" xr:uid="{00000000-0009-0000-0000-00000F000000}"/>
  <sortState ref="B4:B55">
    <sortCondition ref="B3"/>
  </sortState>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7CEB4-808C-4796-82B2-E30F43D7DF6A}">
  <dimension ref="A1:G30"/>
  <sheetViews>
    <sheetView workbookViewId="0">
      <selection activeCell="E6" sqref="E6:F14"/>
    </sheetView>
  </sheetViews>
  <sheetFormatPr defaultRowHeight="15.75"/>
  <cols>
    <col min="1" max="1" width="23" bestFit="1" customWidth="1"/>
    <col min="2" max="2" width="14.625" customWidth="1"/>
    <col min="3" max="3" width="27.125" bestFit="1" customWidth="1"/>
    <col min="5" max="5" width="10.375" bestFit="1" customWidth="1"/>
    <col min="6" max="6" width="16.875" bestFit="1" customWidth="1"/>
    <col min="7" max="7" width="43.375" bestFit="1" customWidth="1"/>
  </cols>
  <sheetData>
    <row r="1" spans="1:7">
      <c r="A1" s="560" t="s">
        <v>20</v>
      </c>
      <c r="B1" s="548" t="s">
        <v>1895</v>
      </c>
    </row>
    <row r="2" spans="1:7">
      <c r="A2" s="560" t="s">
        <v>18</v>
      </c>
      <c r="B2" s="548" t="s">
        <v>2381</v>
      </c>
    </row>
    <row r="3" spans="1:7">
      <c r="A3" s="560" t="s">
        <v>33</v>
      </c>
      <c r="B3" s="548" t="s">
        <v>33</v>
      </c>
    </row>
    <row r="5" spans="1:7">
      <c r="A5" s="560" t="s">
        <v>21</v>
      </c>
      <c r="B5" s="560" t="s">
        <v>2320</v>
      </c>
      <c r="C5" s="560" t="s">
        <v>2322</v>
      </c>
      <c r="E5" s="201" t="s">
        <v>21</v>
      </c>
    </row>
    <row r="6" spans="1:7">
      <c r="A6" s="548" t="s">
        <v>321</v>
      </c>
      <c r="B6" s="548" t="s">
        <v>2540</v>
      </c>
      <c r="C6" s="548" t="s">
        <v>371</v>
      </c>
      <c r="E6" s="181" t="s">
        <v>321</v>
      </c>
      <c r="F6" s="548" t="s">
        <v>2971</v>
      </c>
      <c r="G6" t="s">
        <v>2971</v>
      </c>
    </row>
    <row r="7" spans="1:7">
      <c r="A7" s="548" t="s">
        <v>321</v>
      </c>
      <c r="B7" s="548" t="s">
        <v>1254</v>
      </c>
      <c r="C7" s="548" t="s">
        <v>2727</v>
      </c>
      <c r="E7" s="200" t="s">
        <v>359</v>
      </c>
      <c r="F7" s="548" t="s">
        <v>2294</v>
      </c>
      <c r="G7" t="s">
        <v>2294</v>
      </c>
    </row>
    <row r="8" spans="1:7">
      <c r="A8" s="548" t="s">
        <v>321</v>
      </c>
      <c r="B8" s="548" t="s">
        <v>2864</v>
      </c>
      <c r="C8" s="548" t="s">
        <v>371</v>
      </c>
      <c r="E8" s="181" t="s">
        <v>304</v>
      </c>
      <c r="F8" s="548" t="s">
        <v>3036</v>
      </c>
      <c r="G8" t="s">
        <v>3036</v>
      </c>
    </row>
    <row r="9" spans="1:7">
      <c r="A9" s="548" t="s">
        <v>359</v>
      </c>
      <c r="B9" s="548" t="s">
        <v>2294</v>
      </c>
      <c r="C9" s="548" t="s">
        <v>2294</v>
      </c>
      <c r="E9" s="181" t="s">
        <v>307</v>
      </c>
      <c r="F9" s="548" t="s">
        <v>3075</v>
      </c>
      <c r="G9" t="s">
        <v>3075</v>
      </c>
    </row>
    <row r="10" spans="1:7">
      <c r="A10" s="548" t="s">
        <v>304</v>
      </c>
      <c r="B10" s="548" t="s">
        <v>320</v>
      </c>
      <c r="C10" s="548" t="s">
        <v>320</v>
      </c>
      <c r="E10" s="200" t="s">
        <v>314</v>
      </c>
      <c r="F10" s="548" t="s">
        <v>316</v>
      </c>
      <c r="G10" t="s">
        <v>316</v>
      </c>
    </row>
    <row r="11" spans="1:7">
      <c r="A11" s="548" t="s">
        <v>304</v>
      </c>
      <c r="B11" s="548" t="s">
        <v>1254</v>
      </c>
      <c r="C11" s="548" t="s">
        <v>233</v>
      </c>
      <c r="E11" s="200" t="s">
        <v>473</v>
      </c>
      <c r="F11" s="548" t="s">
        <v>233</v>
      </c>
      <c r="G11" t="s">
        <v>233</v>
      </c>
    </row>
    <row r="12" spans="1:7">
      <c r="A12" s="548" t="s">
        <v>304</v>
      </c>
      <c r="B12" s="548" t="s">
        <v>3036</v>
      </c>
      <c r="C12" s="548" t="s">
        <v>233</v>
      </c>
      <c r="E12" s="200" t="s">
        <v>401</v>
      </c>
      <c r="F12" s="548" t="s">
        <v>400</v>
      </c>
      <c r="G12" t="s">
        <v>400</v>
      </c>
    </row>
    <row r="13" spans="1:7">
      <c r="A13" s="548" t="s">
        <v>304</v>
      </c>
      <c r="B13" s="548" t="s">
        <v>3036</v>
      </c>
      <c r="C13" s="548" t="s">
        <v>3036</v>
      </c>
      <c r="E13" s="181" t="s">
        <v>404</v>
      </c>
      <c r="F13" s="548" t="s">
        <v>2754</v>
      </c>
      <c r="G13" t="s">
        <v>2754</v>
      </c>
    </row>
    <row r="14" spans="1:7">
      <c r="A14" s="548" t="s">
        <v>307</v>
      </c>
      <c r="B14" s="548" t="s">
        <v>310</v>
      </c>
      <c r="C14" s="548" t="s">
        <v>310</v>
      </c>
      <c r="E14" s="181" t="s">
        <v>297</v>
      </c>
      <c r="F14" s="548" t="s">
        <v>3076</v>
      </c>
      <c r="G14" t="s">
        <v>3076</v>
      </c>
    </row>
    <row r="15" spans="1:7">
      <c r="A15" s="548" t="s">
        <v>307</v>
      </c>
      <c r="B15" s="548" t="s">
        <v>2540</v>
      </c>
      <c r="C15" s="548" t="s">
        <v>371</v>
      </c>
    </row>
    <row r="16" spans="1:7">
      <c r="A16" s="548" t="s">
        <v>307</v>
      </c>
      <c r="B16" s="548" t="s">
        <v>3062</v>
      </c>
      <c r="C16" s="548" t="s">
        <v>371</v>
      </c>
    </row>
    <row r="17" spans="1:3">
      <c r="A17" s="548" t="s">
        <v>307</v>
      </c>
      <c r="B17" s="548" t="s">
        <v>1254</v>
      </c>
      <c r="C17" s="548" t="s">
        <v>2727</v>
      </c>
    </row>
    <row r="18" spans="1:3">
      <c r="A18" s="548" t="s">
        <v>307</v>
      </c>
      <c r="B18" s="548" t="s">
        <v>2864</v>
      </c>
      <c r="C18" s="548" t="s">
        <v>371</v>
      </c>
    </row>
    <row r="19" spans="1:3">
      <c r="A19" s="548" t="s">
        <v>314</v>
      </c>
      <c r="B19" s="548" t="s">
        <v>316</v>
      </c>
      <c r="C19" s="548" t="s">
        <v>316</v>
      </c>
    </row>
    <row r="20" spans="1:3">
      <c r="A20" s="548" t="s">
        <v>473</v>
      </c>
      <c r="B20" s="548" t="s">
        <v>1254</v>
      </c>
      <c r="C20" s="548" t="s">
        <v>233</v>
      </c>
    </row>
    <row r="21" spans="1:3">
      <c r="A21" s="548" t="s">
        <v>401</v>
      </c>
      <c r="B21" s="548" t="s">
        <v>400</v>
      </c>
      <c r="C21" s="548" t="s">
        <v>400</v>
      </c>
    </row>
    <row r="22" spans="1:3">
      <c r="A22" s="548" t="s">
        <v>404</v>
      </c>
      <c r="B22" s="548" t="s">
        <v>336</v>
      </c>
      <c r="C22" s="548" t="s">
        <v>336</v>
      </c>
    </row>
    <row r="23" spans="1:3">
      <c r="A23" s="548" t="s">
        <v>404</v>
      </c>
      <c r="B23" s="548" t="s">
        <v>289</v>
      </c>
      <c r="C23" s="548" t="s">
        <v>289</v>
      </c>
    </row>
    <row r="24" spans="1:3">
      <c r="A24" s="548" t="s">
        <v>404</v>
      </c>
      <c r="B24" s="548" t="s">
        <v>268</v>
      </c>
      <c r="C24" s="548" t="s">
        <v>268</v>
      </c>
    </row>
    <row r="25" spans="1:3">
      <c r="A25" s="548" t="s">
        <v>297</v>
      </c>
      <c r="B25" s="548" t="s">
        <v>316</v>
      </c>
      <c r="C25" s="548" t="s">
        <v>316</v>
      </c>
    </row>
    <row r="26" spans="1:3">
      <c r="A26" s="548" t="s">
        <v>297</v>
      </c>
      <c r="B26" s="548" t="s">
        <v>2307</v>
      </c>
      <c r="C26" s="548" t="s">
        <v>2307</v>
      </c>
    </row>
    <row r="27" spans="1:3">
      <c r="A27" s="548" t="s">
        <v>297</v>
      </c>
      <c r="B27" s="548" t="s">
        <v>3044</v>
      </c>
      <c r="C27" s="548" t="s">
        <v>3044</v>
      </c>
    </row>
    <row r="28" spans="1:3">
      <c r="A28" s="548" t="s">
        <v>297</v>
      </c>
      <c r="B28" s="548" t="s">
        <v>2308</v>
      </c>
      <c r="C28" s="548" t="s">
        <v>2308</v>
      </c>
    </row>
    <row r="29" spans="1:3">
      <c r="A29" s="548" t="s">
        <v>297</v>
      </c>
      <c r="B29" s="548" t="s">
        <v>1254</v>
      </c>
      <c r="C29" s="548" t="s">
        <v>233</v>
      </c>
    </row>
    <row r="30" spans="1:3">
      <c r="A30" s="548" t="s">
        <v>297</v>
      </c>
      <c r="B30" s="548" t="s">
        <v>3048</v>
      </c>
      <c r="C30" s="548" t="s">
        <v>233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CN489"/>
  <sheetViews>
    <sheetView tabSelected="1" zoomScaleNormal="100" zoomScaleSheetLayoutView="40" workbookViewId="0">
      <pane xSplit="8" ySplit="6" topLeftCell="BQ450" activePane="bottomRight" state="frozen"/>
      <selection pane="topRight" activeCell="I1" sqref="I1"/>
      <selection pane="bottomLeft" activeCell="A7" sqref="A7"/>
      <selection pane="bottomRight" activeCell="B475" sqref="B475"/>
    </sheetView>
  </sheetViews>
  <sheetFormatPr defaultColWidth="9" defaultRowHeight="15.75" outlineLevelCol="1"/>
  <cols>
    <col min="1" max="1" width="9.125" style="34" customWidth="1"/>
    <col min="2" max="2" width="10.875" style="34" customWidth="1"/>
    <col min="3" max="3" width="16.5" style="20" customWidth="1"/>
    <col min="4" max="4" width="19.75" style="20" customWidth="1"/>
    <col min="5" max="5" width="15.375" style="20" bestFit="1" customWidth="1"/>
    <col min="6" max="6" width="10.125" style="20" customWidth="1"/>
    <col min="7" max="7" width="12.25" style="20" customWidth="1"/>
    <col min="8" max="8" width="33.25" style="20" customWidth="1"/>
    <col min="9" max="9" width="7.75" style="20" customWidth="1"/>
    <col min="10" max="10" width="8.5" style="38" customWidth="1"/>
    <col min="11" max="11" width="14.875" style="20" customWidth="1"/>
    <col min="12" max="12" width="17.75" customWidth="1"/>
    <col min="13" max="13" width="12.125" customWidth="1"/>
    <col min="14" max="14" width="15.25" style="33" customWidth="1"/>
    <col min="15" max="16" width="16.5" customWidth="1"/>
    <col min="17" max="17" width="16.75" style="31" customWidth="1"/>
    <col min="18" max="19" width="13.125" style="31" customWidth="1"/>
    <col min="20" max="20" width="14.625" style="31" customWidth="1"/>
    <col min="21" max="21" width="16.5" style="20" customWidth="1"/>
    <col min="22" max="22" width="15.625" style="32" customWidth="1"/>
    <col min="23" max="23" width="14.75" style="33" customWidth="1"/>
    <col min="24" max="24" width="13.125" style="33" customWidth="1"/>
    <col min="25" max="26" width="17.625" style="20" customWidth="1"/>
    <col min="27" max="28" width="17.625" style="33" customWidth="1"/>
    <col min="29" max="29" width="12.375" style="35" customWidth="1"/>
    <col min="30" max="41" width="13.125" style="35" customWidth="1"/>
    <col min="42" max="42" width="16.25" style="33" customWidth="1" outlineLevel="1"/>
    <col min="43" max="43" width="24.25" style="33" customWidth="1" outlineLevel="1"/>
    <col min="44" max="44" width="20.625" style="33" customWidth="1" outlineLevel="1"/>
    <col min="45" max="45" width="17.125" style="33" customWidth="1" outlineLevel="1"/>
    <col min="46" max="46" width="13" style="33" customWidth="1" outlineLevel="1"/>
    <col min="47" max="47" width="15.75" style="31" customWidth="1" outlineLevel="1"/>
    <col min="48" max="48" width="22.5" style="31" customWidth="1" outlineLevel="1"/>
    <col min="49" max="49" width="13.125" style="31" customWidth="1" outlineLevel="1"/>
    <col min="50" max="50" width="13.125" style="33" customWidth="1" outlineLevel="1"/>
    <col min="51" max="51" width="15.5" style="31" customWidth="1" outlineLevel="1"/>
    <col min="52" max="52" width="14" style="31" customWidth="1" outlineLevel="1"/>
    <col min="53" max="54" width="12" style="33" customWidth="1" outlineLevel="1"/>
    <col min="55" max="56" width="19.25" style="33" customWidth="1" outlineLevel="1"/>
    <col min="57" max="57" width="9" customWidth="1" outlineLevel="1"/>
    <col min="58" max="58" width="12.125" style="32" customWidth="1" outlineLevel="1"/>
    <col min="59" max="59" width="18" customWidth="1" outlineLevel="1"/>
    <col min="60" max="60" width="18" style="548" customWidth="1" outlineLevel="1"/>
    <col min="61" max="61" width="15.5" style="33" customWidth="1" outlineLevel="1"/>
    <col min="62" max="62" width="23.125" style="33" customWidth="1" outlineLevel="1"/>
    <col min="63" max="63" width="14.25" style="33" customWidth="1" outlineLevel="1"/>
    <col min="64" max="64" width="11.875" style="33" customWidth="1" outlineLevel="1"/>
    <col min="65" max="67" width="11.875" style="552" customWidth="1" outlineLevel="1"/>
    <col min="68" max="68" width="16.375" style="431" customWidth="1" outlineLevel="1"/>
    <col min="69" max="71" width="12" style="33" customWidth="1"/>
    <col min="72" max="72" width="11.75" customWidth="1"/>
    <col min="73" max="73" width="13.75" style="33" customWidth="1"/>
    <col min="74" max="74" width="13.125" style="33" bestFit="1" customWidth="1"/>
    <col min="75" max="75" width="8.75" style="35" bestFit="1" customWidth="1"/>
    <col min="76" max="76" width="27.25" style="31" customWidth="1"/>
    <col min="77" max="77" width="12" style="31" customWidth="1"/>
    <col min="78" max="79" width="12" style="33" customWidth="1"/>
    <col min="81" max="81" width="15.375" style="33" customWidth="1"/>
    <col min="82" max="82" width="10.125" style="36" customWidth="1"/>
    <col min="83" max="83" width="12" style="36" customWidth="1"/>
    <col min="84" max="84" width="21.125" style="37" bestFit="1" customWidth="1"/>
    <col min="85" max="85" width="11.25" style="37" customWidth="1"/>
    <col min="86" max="86" width="13.75" style="37" customWidth="1"/>
    <col min="87" max="87" width="24.875" style="37" customWidth="1"/>
    <col min="88" max="88" width="9.125" style="37" customWidth="1"/>
    <col min="89" max="89" width="10.625" style="37" customWidth="1"/>
    <col min="90" max="90" width="15.375" style="37" customWidth="1"/>
    <col min="91" max="91" width="9.5" style="37" customWidth="1"/>
    <col min="92" max="92" width="14.5" style="37" customWidth="1"/>
    <col min="93" max="93" width="9" style="20" customWidth="1"/>
    <col min="94" max="16384" width="9" style="20"/>
  </cols>
  <sheetData>
    <row r="1" spans="1:92" s="19" customFormat="1" ht="16.5" hidden="1" customHeight="1" thickBot="1">
      <c r="A1" s="248"/>
      <c r="B1" s="254" t="s">
        <v>2378</v>
      </c>
      <c r="C1" s="254"/>
      <c r="D1" s="254"/>
      <c r="E1" s="252" t="s">
        <v>2376</v>
      </c>
      <c r="F1" s="244"/>
      <c r="G1" s="244"/>
      <c r="H1" s="244"/>
      <c r="I1" s="244"/>
      <c r="J1" s="244"/>
      <c r="K1" s="853" t="s">
        <v>2377</v>
      </c>
      <c r="L1" s="854"/>
      <c r="M1" s="73"/>
      <c r="N1" s="73"/>
      <c r="O1" s="249" t="s">
        <v>1999</v>
      </c>
      <c r="P1" s="249"/>
      <c r="Q1" s="249"/>
      <c r="R1" s="249"/>
      <c r="S1" s="249"/>
      <c r="T1" s="249"/>
      <c r="U1" s="250" t="s">
        <v>2000</v>
      </c>
      <c r="V1" s="250"/>
      <c r="W1" s="250"/>
      <c r="X1" s="250"/>
      <c r="Y1" s="250"/>
      <c r="Z1" s="250"/>
      <c r="AA1" s="250"/>
      <c r="AB1" s="250"/>
      <c r="AC1" s="251" t="s">
        <v>2001</v>
      </c>
      <c r="AD1" s="251"/>
      <c r="AE1" s="251"/>
      <c r="AF1" s="251"/>
      <c r="AG1" s="251"/>
      <c r="AH1" s="251"/>
      <c r="AI1" s="251"/>
      <c r="AJ1" s="251"/>
      <c r="AK1" s="251"/>
      <c r="AL1" s="251"/>
      <c r="AM1" s="251"/>
      <c r="AN1" s="757" t="s">
        <v>3002</v>
      </c>
      <c r="AO1" s="757"/>
      <c r="AP1" s="74"/>
      <c r="AQ1" s="76"/>
      <c r="AR1" s="74"/>
      <c r="AS1" s="74"/>
      <c r="AT1" s="74"/>
      <c r="AU1" s="76"/>
      <c r="AV1" s="76"/>
      <c r="AW1" s="74"/>
      <c r="AX1" s="74"/>
      <c r="AY1" s="74"/>
      <c r="AZ1" s="74"/>
      <c r="BA1" s="74"/>
      <c r="BB1" s="76"/>
      <c r="BC1" s="76"/>
      <c r="BD1" s="74"/>
      <c r="BE1" s="74"/>
      <c r="BF1" s="74"/>
      <c r="BG1" s="76"/>
      <c r="BH1" s="76"/>
      <c r="BI1" s="76"/>
      <c r="BJ1" s="74"/>
      <c r="BK1" s="74"/>
      <c r="BL1" s="74"/>
      <c r="BM1" s="74"/>
      <c r="BN1" s="74"/>
      <c r="BO1" s="74"/>
      <c r="BP1" s="74"/>
      <c r="BQ1" s="151"/>
      <c r="BR1" s="151"/>
      <c r="BS1" s="151"/>
      <c r="BT1" s="151"/>
      <c r="BU1" s="151"/>
      <c r="BV1" s="151"/>
      <c r="BW1" s="151"/>
      <c r="BX1" s="151"/>
    </row>
    <row r="2" spans="1:92" s="641" customFormat="1" ht="21" hidden="1" customHeight="1" thickBot="1">
      <c r="A2" s="243" t="s">
        <v>0</v>
      </c>
      <c r="B2" s="253" t="s">
        <v>1</v>
      </c>
      <c r="C2" s="253" t="s">
        <v>2</v>
      </c>
      <c r="D2" s="253" t="s">
        <v>3</v>
      </c>
      <c r="E2" s="244" t="s">
        <v>4</v>
      </c>
      <c r="F2" s="244" t="s">
        <v>1152</v>
      </c>
      <c r="G2" s="244" t="s">
        <v>5</v>
      </c>
      <c r="H2" s="244" t="s">
        <v>6</v>
      </c>
      <c r="I2" s="244" t="s">
        <v>50</v>
      </c>
      <c r="J2" s="244" t="s">
        <v>51</v>
      </c>
      <c r="K2" s="242" t="s">
        <v>54</v>
      </c>
      <c r="L2" s="242" t="s">
        <v>56</v>
      </c>
      <c r="M2" s="243" t="s">
        <v>58</v>
      </c>
      <c r="N2" s="243" t="s">
        <v>112</v>
      </c>
      <c r="O2" s="634" t="s">
        <v>113</v>
      </c>
      <c r="P2" s="634" t="s">
        <v>60</v>
      </c>
      <c r="Q2" s="634" t="s">
        <v>59</v>
      </c>
      <c r="R2" s="634" t="s">
        <v>61</v>
      </c>
      <c r="S2" s="634" t="s">
        <v>1153</v>
      </c>
      <c r="T2" s="634" t="s">
        <v>63</v>
      </c>
      <c r="U2" s="631" t="s">
        <v>64</v>
      </c>
      <c r="V2" s="631" t="s">
        <v>65</v>
      </c>
      <c r="W2" s="631" t="s">
        <v>66</v>
      </c>
      <c r="X2" s="631" t="s">
        <v>1154</v>
      </c>
      <c r="Y2" s="631" t="s">
        <v>67</v>
      </c>
      <c r="Z2" s="631" t="s">
        <v>68</v>
      </c>
      <c r="AA2" s="631" t="s">
        <v>69</v>
      </c>
      <c r="AB2" s="631" t="s">
        <v>70</v>
      </c>
      <c r="AC2" s="632" t="s">
        <v>1304</v>
      </c>
      <c r="AD2" s="632" t="s">
        <v>1305</v>
      </c>
      <c r="AE2" s="632" t="s">
        <v>1306</v>
      </c>
      <c r="AF2" s="632" t="s">
        <v>1307</v>
      </c>
      <c r="AG2" s="632" t="s">
        <v>1308</v>
      </c>
      <c r="AH2" s="632" t="s">
        <v>1309</v>
      </c>
      <c r="AI2" s="632" t="s">
        <v>1310</v>
      </c>
      <c r="AJ2" s="632" t="s">
        <v>1311</v>
      </c>
      <c r="AK2" s="632" t="s">
        <v>1312</v>
      </c>
      <c r="AL2" s="632" t="s">
        <v>1313</v>
      </c>
      <c r="AM2" s="632" t="s">
        <v>1985</v>
      </c>
      <c r="AN2" s="633" t="s">
        <v>1986</v>
      </c>
      <c r="AO2" s="633" t="s">
        <v>2234</v>
      </c>
      <c r="AP2" s="855"/>
      <c r="AQ2" s="850" t="s">
        <v>2517</v>
      </c>
      <c r="AR2" s="856" t="s">
        <v>2039</v>
      </c>
      <c r="AS2" s="857"/>
      <c r="AT2" s="850"/>
      <c r="AU2" s="850" t="s">
        <v>74</v>
      </c>
      <c r="AV2" s="843"/>
      <c r="AW2" s="846" t="s">
        <v>2523</v>
      </c>
      <c r="AX2" s="847"/>
      <c r="AY2" s="839" t="s">
        <v>2522</v>
      </c>
      <c r="AZ2" s="840"/>
      <c r="BA2" s="617"/>
      <c r="BB2" s="845" t="s">
        <v>2526</v>
      </c>
      <c r="BC2" s="845"/>
      <c r="BD2" s="834"/>
      <c r="BE2" s="835" t="s">
        <v>1938</v>
      </c>
      <c r="BF2" s="836"/>
      <c r="BG2" s="635" t="s">
        <v>1894</v>
      </c>
      <c r="BH2" s="635"/>
      <c r="BI2" s="636"/>
      <c r="BJ2" s="637"/>
      <c r="BK2" s="638" t="s">
        <v>1938</v>
      </c>
      <c r="BL2" s="639"/>
      <c r="BM2" s="639"/>
      <c r="BN2" s="639"/>
      <c r="BO2" s="639"/>
      <c r="BP2" s="636"/>
      <c r="BQ2" s="640" t="s">
        <v>7</v>
      </c>
      <c r="BR2" s="640" t="s">
        <v>8</v>
      </c>
      <c r="BS2" s="640" t="s">
        <v>2955</v>
      </c>
      <c r="BT2" s="640" t="s">
        <v>9</v>
      </c>
      <c r="BU2" s="640" t="s">
        <v>10</v>
      </c>
      <c r="BV2" s="640" t="s">
        <v>11</v>
      </c>
      <c r="BW2" s="640" t="s">
        <v>12</v>
      </c>
      <c r="BX2" s="640" t="s">
        <v>13</v>
      </c>
    </row>
    <row r="3" spans="1:92" s="275" customFormat="1" ht="90.75" hidden="1" customHeight="1" thickBot="1">
      <c r="A3" s="333" t="s">
        <v>2385</v>
      </c>
      <c r="B3" s="334" t="s">
        <v>2386</v>
      </c>
      <c r="C3" s="334" t="s">
        <v>2387</v>
      </c>
      <c r="D3" s="334" t="s">
        <v>2388</v>
      </c>
      <c r="E3" s="335" t="s">
        <v>2389</v>
      </c>
      <c r="F3" s="335" t="s">
        <v>2390</v>
      </c>
      <c r="G3" s="335" t="s">
        <v>2391</v>
      </c>
      <c r="H3" s="335" t="s">
        <v>2392</v>
      </c>
      <c r="I3" s="335" t="s">
        <v>2434</v>
      </c>
      <c r="J3" s="335" t="s">
        <v>2433</v>
      </c>
      <c r="K3" s="336" t="s">
        <v>2393</v>
      </c>
      <c r="L3" s="336" t="s">
        <v>2394</v>
      </c>
      <c r="M3" s="333" t="s">
        <v>2491</v>
      </c>
      <c r="N3" s="333" t="s">
        <v>2398</v>
      </c>
      <c r="O3" s="337"/>
      <c r="P3" s="337"/>
      <c r="Q3" s="337"/>
      <c r="R3" s="337"/>
      <c r="S3" s="337"/>
      <c r="T3" s="337"/>
      <c r="U3" s="338"/>
      <c r="V3" s="338"/>
      <c r="W3" s="338"/>
      <c r="X3" s="339"/>
      <c r="Y3" s="340"/>
      <c r="Z3" s="334"/>
      <c r="AA3" s="341"/>
      <c r="AB3" s="342"/>
      <c r="AC3" s="343"/>
      <c r="AD3" s="343"/>
      <c r="AE3" s="343"/>
      <c r="AF3" s="344"/>
      <c r="AG3" s="343"/>
      <c r="AH3" s="343"/>
      <c r="AI3" s="345"/>
      <c r="AJ3" s="343"/>
      <c r="AK3" s="343"/>
      <c r="AL3" s="343"/>
      <c r="AM3" s="345"/>
      <c r="AN3" s="345"/>
      <c r="AO3" s="345"/>
      <c r="AP3" s="855"/>
      <c r="AQ3" s="850"/>
      <c r="AR3" s="858"/>
      <c r="AS3" s="859"/>
      <c r="AT3" s="850"/>
      <c r="AU3" s="850" t="s">
        <v>74</v>
      </c>
      <c r="AV3" s="844"/>
      <c r="AW3" s="848"/>
      <c r="AX3" s="849"/>
      <c r="AY3" s="841"/>
      <c r="AZ3" s="842"/>
      <c r="BA3" s="473"/>
      <c r="BB3" s="845" t="s">
        <v>2526</v>
      </c>
      <c r="BC3" s="845"/>
      <c r="BD3" s="834"/>
      <c r="BE3" s="837"/>
      <c r="BF3" s="838"/>
      <c r="BG3" s="386" t="s">
        <v>2529</v>
      </c>
      <c r="BH3" s="386"/>
      <c r="BI3" s="391" t="s">
        <v>1631</v>
      </c>
      <c r="BJ3" s="393"/>
      <c r="BK3" s="400"/>
      <c r="BL3" s="397"/>
      <c r="BM3" s="397"/>
      <c r="BN3" s="397"/>
      <c r="BO3" s="397"/>
      <c r="BP3" s="385"/>
      <c r="BQ3" s="274"/>
      <c r="BR3" s="274"/>
      <c r="BS3" s="274"/>
      <c r="BT3" s="274"/>
      <c r="BU3" s="274"/>
      <c r="BV3" s="274"/>
      <c r="BW3" s="274"/>
      <c r="BX3" s="274"/>
    </row>
    <row r="4" spans="1:92" s="289" customFormat="1" ht="87" customHeight="1" thickBot="1">
      <c r="A4" s="328" t="s">
        <v>2318</v>
      </c>
      <c r="B4" s="329" t="s">
        <v>2320</v>
      </c>
      <c r="C4" s="329" t="s">
        <v>2322</v>
      </c>
      <c r="D4" s="329" t="s">
        <v>2324</v>
      </c>
      <c r="E4" s="330" t="s">
        <v>20</v>
      </c>
      <c r="F4" s="330" t="s">
        <v>21</v>
      </c>
      <c r="G4" s="330" t="s">
        <v>2326</v>
      </c>
      <c r="H4" s="330" t="s">
        <v>2328</v>
      </c>
      <c r="I4" s="330" t="s">
        <v>23</v>
      </c>
      <c r="J4" s="330" t="s">
        <v>1903</v>
      </c>
      <c r="K4" s="331" t="s">
        <v>2330</v>
      </c>
      <c r="L4" s="331" t="s">
        <v>2332</v>
      </c>
      <c r="M4" s="328" t="s">
        <v>2944</v>
      </c>
      <c r="N4" s="328" t="s">
        <v>2334</v>
      </c>
      <c r="O4" s="332" t="s">
        <v>2887</v>
      </c>
      <c r="P4" s="332" t="s">
        <v>2886</v>
      </c>
      <c r="Q4" s="332" t="s">
        <v>2880</v>
      </c>
      <c r="R4" s="332" t="s">
        <v>2885</v>
      </c>
      <c r="S4" s="332" t="s">
        <v>2890</v>
      </c>
      <c r="T4" s="332" t="s">
        <v>2877</v>
      </c>
      <c r="U4" s="227" t="s">
        <v>2889</v>
      </c>
      <c r="V4" s="227" t="s">
        <v>2888</v>
      </c>
      <c r="W4" s="227" t="s">
        <v>2891</v>
      </c>
      <c r="X4" s="227" t="s">
        <v>2892</v>
      </c>
      <c r="Y4" s="227" t="s">
        <v>2894</v>
      </c>
      <c r="Z4" s="227" t="s">
        <v>2893</v>
      </c>
      <c r="AA4" s="227" t="s">
        <v>2895</v>
      </c>
      <c r="AB4" s="227" t="s">
        <v>2878</v>
      </c>
      <c r="AC4" s="404" t="s">
        <v>2896</v>
      </c>
      <c r="AD4" s="404" t="s">
        <v>2897</v>
      </c>
      <c r="AE4" s="404" t="s">
        <v>2898</v>
      </c>
      <c r="AF4" s="404" t="s">
        <v>2899</v>
      </c>
      <c r="AG4" s="404" t="s">
        <v>2900</v>
      </c>
      <c r="AH4" s="404" t="s">
        <v>2901</v>
      </c>
      <c r="AI4" s="404" t="s">
        <v>2933</v>
      </c>
      <c r="AJ4" s="404" t="s">
        <v>2903</v>
      </c>
      <c r="AK4" s="404" t="s">
        <v>2998</v>
      </c>
      <c r="AL4" s="404" t="s">
        <v>2999</v>
      </c>
      <c r="AM4" s="404" t="s">
        <v>2879</v>
      </c>
      <c r="AN4" s="626" t="s">
        <v>2907</v>
      </c>
      <c r="AO4" s="626" t="s">
        <v>2906</v>
      </c>
      <c r="AP4" s="347" t="s">
        <v>114</v>
      </c>
      <c r="AQ4" s="356" t="s">
        <v>115</v>
      </c>
      <c r="AR4" s="346" t="s">
        <v>1899</v>
      </c>
      <c r="AS4" s="356" t="s">
        <v>116</v>
      </c>
      <c r="AT4" s="346" t="s">
        <v>117</v>
      </c>
      <c r="AU4" s="355" t="s">
        <v>2520</v>
      </c>
      <c r="AV4" s="354" t="s">
        <v>118</v>
      </c>
      <c r="AW4" s="349" t="s">
        <v>119</v>
      </c>
      <c r="AX4" s="366" t="s">
        <v>2527</v>
      </c>
      <c r="AY4" s="363" t="s">
        <v>120</v>
      </c>
      <c r="AZ4" s="354" t="s">
        <v>121</v>
      </c>
      <c r="BA4" s="368" t="s">
        <v>2697</v>
      </c>
      <c r="BB4" s="370" t="s">
        <v>2525</v>
      </c>
      <c r="BC4" s="369" t="s">
        <v>2384</v>
      </c>
      <c r="BD4" s="375" t="s">
        <v>123</v>
      </c>
      <c r="BE4" s="378" t="s">
        <v>122</v>
      </c>
      <c r="BF4" s="379" t="s">
        <v>2696</v>
      </c>
      <c r="BG4" s="384" t="s">
        <v>76</v>
      </c>
      <c r="BH4" s="384"/>
      <c r="BI4" s="390" t="s">
        <v>2530</v>
      </c>
      <c r="BJ4" s="392" t="s">
        <v>124</v>
      </c>
      <c r="BK4" s="401" t="s">
        <v>2468</v>
      </c>
      <c r="BL4" s="396" t="s">
        <v>125</v>
      </c>
      <c r="BM4" s="396"/>
      <c r="BN4" s="396"/>
      <c r="BO4" s="396"/>
      <c r="BP4" s="384" t="s">
        <v>2954</v>
      </c>
      <c r="BQ4" s="288" t="s">
        <v>127</v>
      </c>
      <c r="BR4" s="288" t="s">
        <v>28</v>
      </c>
      <c r="BS4" s="288" t="s">
        <v>29</v>
      </c>
      <c r="BT4" s="288" t="s">
        <v>30</v>
      </c>
      <c r="BU4" s="288" t="s">
        <v>31</v>
      </c>
      <c r="BV4" s="288" t="s">
        <v>32</v>
      </c>
      <c r="BW4" s="288" t="s">
        <v>33</v>
      </c>
      <c r="BX4" s="288" t="s">
        <v>34</v>
      </c>
    </row>
    <row r="5" spans="1:92" s="295" customFormat="1" ht="27" customHeight="1" thickBot="1">
      <c r="A5" s="290" t="s">
        <v>14</v>
      </c>
      <c r="B5" s="291" t="s">
        <v>14</v>
      </c>
      <c r="C5" s="291" t="s">
        <v>14</v>
      </c>
      <c r="D5" s="291" t="s">
        <v>16</v>
      </c>
      <c r="E5" s="292" t="s">
        <v>14</v>
      </c>
      <c r="F5" s="292" t="s">
        <v>14</v>
      </c>
      <c r="G5" s="292" t="s">
        <v>2461</v>
      </c>
      <c r="H5" s="292" t="s">
        <v>14</v>
      </c>
      <c r="I5" s="292" t="s">
        <v>15</v>
      </c>
      <c r="J5" s="292" t="s">
        <v>15</v>
      </c>
      <c r="K5" s="293" t="s">
        <v>17</v>
      </c>
      <c r="L5" s="293" t="s">
        <v>17</v>
      </c>
      <c r="M5" s="290" t="s">
        <v>15</v>
      </c>
      <c r="N5" s="290" t="s">
        <v>15</v>
      </c>
      <c r="O5" s="646" t="s">
        <v>15</v>
      </c>
      <c r="P5" s="646" t="s">
        <v>15</v>
      </c>
      <c r="Q5" s="646" t="s">
        <v>15</v>
      </c>
      <c r="R5" s="646" t="s">
        <v>15</v>
      </c>
      <c r="S5" s="646" t="s">
        <v>15</v>
      </c>
      <c r="T5" s="646" t="s">
        <v>16</v>
      </c>
      <c r="U5" s="647" t="s">
        <v>15</v>
      </c>
      <c r="V5" s="647" t="s">
        <v>2335</v>
      </c>
      <c r="W5" s="647" t="s">
        <v>15</v>
      </c>
      <c r="X5" s="647" t="s">
        <v>15</v>
      </c>
      <c r="Y5" s="647" t="s">
        <v>15</v>
      </c>
      <c r="Z5" s="647" t="s">
        <v>15</v>
      </c>
      <c r="AA5" s="647" t="s">
        <v>15</v>
      </c>
      <c r="AB5" s="647" t="s">
        <v>16</v>
      </c>
      <c r="AC5" s="648" t="s">
        <v>15</v>
      </c>
      <c r="AD5" s="648" t="s">
        <v>15</v>
      </c>
      <c r="AE5" s="648" t="s">
        <v>15</v>
      </c>
      <c r="AF5" s="648" t="s">
        <v>15</v>
      </c>
      <c r="AG5" s="648" t="s">
        <v>15</v>
      </c>
      <c r="AH5" s="648" t="s">
        <v>15</v>
      </c>
      <c r="AI5" s="648" t="s">
        <v>15</v>
      </c>
      <c r="AJ5" s="648" t="s">
        <v>15</v>
      </c>
      <c r="AK5" s="648" t="s">
        <v>15</v>
      </c>
      <c r="AL5" s="648" t="s">
        <v>15</v>
      </c>
      <c r="AM5" s="648" t="s">
        <v>16</v>
      </c>
      <c r="AN5" s="649" t="s">
        <v>55</v>
      </c>
      <c r="AO5" s="649" t="s">
        <v>55</v>
      </c>
      <c r="AP5" s="348" t="s">
        <v>55</v>
      </c>
      <c r="AQ5" s="352" t="s">
        <v>15</v>
      </c>
      <c r="AR5" s="348" t="s">
        <v>55</v>
      </c>
      <c r="AS5" s="358" t="s">
        <v>15</v>
      </c>
      <c r="AT5" s="358"/>
      <c r="AU5" s="358"/>
      <c r="AV5" s="361"/>
      <c r="AW5" s="851" t="s">
        <v>2040</v>
      </c>
      <c r="AX5" s="852"/>
      <c r="AY5" s="364" t="s">
        <v>15</v>
      </c>
      <c r="AZ5" s="361" t="s">
        <v>15</v>
      </c>
      <c r="BA5" s="371" t="s">
        <v>55</v>
      </c>
      <c r="BB5" s="372" t="s">
        <v>15</v>
      </c>
      <c r="BC5" s="373"/>
      <c r="BD5" s="376" t="s">
        <v>15</v>
      </c>
      <c r="BE5" s="380" t="s">
        <v>15</v>
      </c>
      <c r="BF5" s="381" t="s">
        <v>55</v>
      </c>
      <c r="BG5" s="387" t="s">
        <v>15</v>
      </c>
      <c r="BH5" s="387" t="s">
        <v>15</v>
      </c>
      <c r="BI5" s="388"/>
      <c r="BJ5" s="394" t="s">
        <v>55</v>
      </c>
      <c r="BK5" s="402" t="s">
        <v>55</v>
      </c>
      <c r="BL5" s="398" t="s">
        <v>55</v>
      </c>
      <c r="BM5" s="526"/>
      <c r="BN5" s="526"/>
      <c r="BO5" s="526"/>
      <c r="BP5" s="526"/>
      <c r="BQ5" s="294"/>
      <c r="BR5" s="294"/>
      <c r="BS5" s="294"/>
      <c r="BT5" s="294"/>
      <c r="BU5" s="294"/>
      <c r="BV5" s="294"/>
      <c r="BW5" s="294"/>
      <c r="BX5" s="294"/>
    </row>
    <row r="6" spans="1:92" s="259" customFormat="1" ht="48.75" customHeight="1" thickTop="1" thickBot="1">
      <c r="A6" s="255" t="s">
        <v>18</v>
      </c>
      <c r="B6" s="245" t="s">
        <v>2320</v>
      </c>
      <c r="C6" s="245" t="s">
        <v>2322</v>
      </c>
      <c r="D6" s="245" t="s">
        <v>25</v>
      </c>
      <c r="E6" s="246" t="s">
        <v>20</v>
      </c>
      <c r="F6" s="246" t="s">
        <v>21</v>
      </c>
      <c r="G6" s="246" t="s">
        <v>126</v>
      </c>
      <c r="H6" s="246" t="s">
        <v>2951</v>
      </c>
      <c r="I6" s="246" t="s">
        <v>23</v>
      </c>
      <c r="J6" s="246" t="s">
        <v>24</v>
      </c>
      <c r="K6" s="247" t="s">
        <v>2330</v>
      </c>
      <c r="L6" s="247" t="s">
        <v>2332</v>
      </c>
      <c r="M6" s="255" t="s">
        <v>2944</v>
      </c>
      <c r="N6" s="255" t="s">
        <v>52</v>
      </c>
      <c r="O6" s="332" t="s">
        <v>2911</v>
      </c>
      <c r="P6" s="332" t="s">
        <v>2912</v>
      </c>
      <c r="Q6" s="332" t="s">
        <v>2909</v>
      </c>
      <c r="R6" s="332" t="s">
        <v>2913</v>
      </c>
      <c r="S6" s="332" t="s">
        <v>2910</v>
      </c>
      <c r="T6" s="332" t="s">
        <v>2914</v>
      </c>
      <c r="U6" s="227" t="s">
        <v>2915</v>
      </c>
      <c r="V6" s="227" t="s">
        <v>2916</v>
      </c>
      <c r="W6" s="227" t="s">
        <v>2917</v>
      </c>
      <c r="X6" s="227" t="s">
        <v>2919</v>
      </c>
      <c r="Y6" s="227" t="s">
        <v>2920</v>
      </c>
      <c r="Z6" s="227" t="s">
        <v>2918</v>
      </c>
      <c r="AA6" s="227" t="s">
        <v>2921</v>
      </c>
      <c r="AB6" s="650" t="s">
        <v>2922</v>
      </c>
      <c r="AC6" s="404" t="s">
        <v>2923</v>
      </c>
      <c r="AD6" s="404" t="s">
        <v>2924</v>
      </c>
      <c r="AE6" s="404" t="s">
        <v>2925</v>
      </c>
      <c r="AF6" s="404" t="s">
        <v>2926</v>
      </c>
      <c r="AG6" s="404" t="s">
        <v>2927</v>
      </c>
      <c r="AH6" s="404" t="s">
        <v>2928</v>
      </c>
      <c r="AI6" s="404" t="s">
        <v>2932</v>
      </c>
      <c r="AJ6" s="404" t="s">
        <v>2929</v>
      </c>
      <c r="AK6" s="404" t="s">
        <v>3000</v>
      </c>
      <c r="AL6" s="404" t="s">
        <v>3001</v>
      </c>
      <c r="AM6" s="404" t="s">
        <v>2934</v>
      </c>
      <c r="AN6" s="626" t="s">
        <v>2930</v>
      </c>
      <c r="AO6" s="626" t="s">
        <v>2931</v>
      </c>
      <c r="AP6" s="353" t="s">
        <v>1632</v>
      </c>
      <c r="AQ6" s="357" t="s">
        <v>2519</v>
      </c>
      <c r="AR6" s="359" t="s">
        <v>2693</v>
      </c>
      <c r="AS6" s="357" t="s">
        <v>1639</v>
      </c>
      <c r="AT6" s="360" t="s">
        <v>2518</v>
      </c>
      <c r="AU6" s="405" t="s">
        <v>74</v>
      </c>
      <c r="AV6" s="362" t="s">
        <v>1633</v>
      </c>
      <c r="AW6" s="350" t="s">
        <v>1939</v>
      </c>
      <c r="AX6" s="351" t="s">
        <v>2521</v>
      </c>
      <c r="AY6" s="365" t="s">
        <v>1634</v>
      </c>
      <c r="AZ6" s="367" t="s">
        <v>121</v>
      </c>
      <c r="BA6" s="374" t="s">
        <v>2697</v>
      </c>
      <c r="BB6" s="406" t="s">
        <v>2526</v>
      </c>
      <c r="BC6" s="374" t="s">
        <v>2524</v>
      </c>
      <c r="BD6" s="377" t="s">
        <v>123</v>
      </c>
      <c r="BE6" s="382" t="s">
        <v>122</v>
      </c>
      <c r="BF6" s="383" t="s">
        <v>1940</v>
      </c>
      <c r="BG6" s="389" t="s">
        <v>2953</v>
      </c>
      <c r="BH6" s="389" t="s">
        <v>2952</v>
      </c>
      <c r="BI6" s="407" t="s">
        <v>2528</v>
      </c>
      <c r="BJ6" s="395" t="s">
        <v>1635</v>
      </c>
      <c r="BK6" s="403" t="s">
        <v>1636</v>
      </c>
      <c r="BL6" s="399" t="s">
        <v>1637</v>
      </c>
      <c r="BM6" s="759" t="s">
        <v>3007</v>
      </c>
      <c r="BN6" s="468" t="s">
        <v>3008</v>
      </c>
      <c r="BO6" s="396" t="s">
        <v>3009</v>
      </c>
      <c r="BP6" s="468" t="s">
        <v>2954</v>
      </c>
      <c r="BQ6" s="256" t="s">
        <v>127</v>
      </c>
      <c r="BR6" s="256" t="s">
        <v>28</v>
      </c>
      <c r="BS6" s="256" t="s">
        <v>29</v>
      </c>
      <c r="BT6" s="256" t="s">
        <v>30</v>
      </c>
      <c r="BU6" s="256" t="s">
        <v>31</v>
      </c>
      <c r="BV6" s="256" t="s">
        <v>32</v>
      </c>
      <c r="BW6" s="257" t="s">
        <v>33</v>
      </c>
      <c r="BX6" s="258" t="s">
        <v>34</v>
      </c>
    </row>
    <row r="7" spans="1:92" hidden="1">
      <c r="A7" s="612" t="s">
        <v>2380</v>
      </c>
      <c r="B7" s="412" t="s">
        <v>289</v>
      </c>
      <c r="C7" s="418" t="s">
        <v>289</v>
      </c>
      <c r="D7" s="418" t="s">
        <v>329</v>
      </c>
      <c r="E7" s="551" t="s">
        <v>2687</v>
      </c>
      <c r="F7" s="418" t="s">
        <v>404</v>
      </c>
      <c r="G7" s="551" t="str">
        <f>VLOOKUP(WWWW[[#This Row],[Village  Name]],SiteDB6[[Site Name]:[Location Type]],8,FALSE)</f>
        <v>Village</v>
      </c>
      <c r="H7" s="418" t="s">
        <v>2564</v>
      </c>
      <c r="I7" s="420">
        <v>217</v>
      </c>
      <c r="J7" s="420">
        <v>663</v>
      </c>
      <c r="K7" s="426">
        <v>43359</v>
      </c>
      <c r="L7" s="427">
        <v>43830</v>
      </c>
      <c r="M7" s="420"/>
      <c r="N7" s="420"/>
      <c r="O7" s="420"/>
      <c r="P7" s="420"/>
      <c r="Q7" s="420"/>
      <c r="R7" s="420"/>
      <c r="S7" s="420"/>
      <c r="T7" s="642"/>
      <c r="U7" s="420"/>
      <c r="V7" s="611" t="s">
        <v>132</v>
      </c>
      <c r="W7" s="420"/>
      <c r="X7" s="420"/>
      <c r="Y7" s="420"/>
      <c r="Z7" s="420"/>
      <c r="AA7" s="420"/>
      <c r="AB7" s="642"/>
      <c r="AC7" s="420"/>
      <c r="AD7" s="420"/>
      <c r="AE7" s="420"/>
      <c r="AF7" s="420"/>
      <c r="AG7" s="420"/>
      <c r="AH7" s="420"/>
      <c r="AI7" s="420"/>
      <c r="AJ7" s="420"/>
      <c r="AK7" s="420"/>
      <c r="AL7" s="420"/>
      <c r="AM7" s="642"/>
      <c r="AN7" s="420"/>
      <c r="AO7" s="420"/>
      <c r="AP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 s="419">
        <f>WWWW[[#This Row],[%Equitable and continuous access to sufficient quantity of safe drinking water]]*WWWW[[#This Row],[Total PoP ]]</f>
        <v>0</v>
      </c>
      <c r="AR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7" s="419">
        <f>WWWW[[#This Row],[% Access to unimproved water points]]*WWWW[[#This Row],[Total PoP ]]</f>
        <v>0</v>
      </c>
      <c r="AT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7" s="419">
        <f>WWWW[[#This Row],[HRP1]]/250</f>
        <v>0</v>
      </c>
      <c r="AW7" s="424">
        <f>1-WWWW[[#This Row],[% Equitable and continuous access to sufficient quantity of domestic water]]</f>
        <v>1</v>
      </c>
      <c r="AX7" s="419">
        <f>WWWW[[#This Row],[%equitable and continuous access to sufficient quantity of safe drinking and domestic water''s GAP]]*WWWW[[#This Row],[Total PoP ]]</f>
        <v>663</v>
      </c>
      <c r="AY7" s="421">
        <f>IF(WWWW[[#This Row],[Total required water points]]-WWWW[[#This Row],['#Water points coverage]]&lt;0,0,WWWW[[#This Row],[Total required water points]]-WWWW[[#This Row],['#Water points coverage]])</f>
        <v>3</v>
      </c>
      <c r="AZ7" s="421">
        <f>ROUND(IF(WWWW[[#This Row],[Total PoP ]]&lt;250,1,WWWW[[#This Row],[Total PoP ]]/250),0)</f>
        <v>3</v>
      </c>
      <c r="BA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7" s="419">
        <f>WWWW[[#This Row],[% people access to functioning Latrine]]*WWWW[[#This Row],[Total PoP ]]</f>
        <v>0</v>
      </c>
      <c r="BC7" s="421">
        <f>WWWW[[#This Row],['#_of_Functioning_latrines_in_school]]*50</f>
        <v>0</v>
      </c>
      <c r="BD7" s="421">
        <f>ROUND((WWWW[[#This Row],[Total PoP ]]/6),0)</f>
        <v>111</v>
      </c>
      <c r="BE7" s="421">
        <f>IF(WWWW[[#This Row],[Total required Latrines]]-(WWWW[[#This Row],['#_of_sanitary_fly-proof_HH_latrines]])&lt;0,0,WWWW[[#This Row],[Total required Latrines]]-(WWWW[[#This Row],['#_of_sanitary_fly-proof_HH_latrines]]))</f>
        <v>111</v>
      </c>
      <c r="BF7" s="72">
        <f>1-WWWW[[#This Row],[% people access to functioning Latrine]]</f>
        <v>1</v>
      </c>
      <c r="BG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7" s="419">
        <f>IF(WWWW[[#This Row],['#_of_functional_handwashing_facilities_at_HH_level]]*6&gt;WWWW[[#This Row],[Total PoP ]],WWWW[[#This Row],[Total PoP ]],WWWW[[#This Row],['#_of_functional_handwashing_facilities_at_HH_level]]*6)</f>
        <v>0</v>
      </c>
      <c r="BI7" s="421">
        <f>IF(WWWW[[#This Row],['# people reached by regular dedicated hygiene promotion]]&gt;WWWW[[#This Row],['# People received regular supply of hygiene items]],WWWW[[#This Row],['# people reached by regular dedicated hygiene promotion]],WWWW[[#This Row],['# People received regular supply of hygiene items]])</f>
        <v>0</v>
      </c>
      <c r="BJ7" s="424">
        <f>IF(WWWW[[#This Row],[HRP3]]/WWWW[[#This Row],[Total PoP ]]&gt;100%,100%,WWWW[[#This Row],[HRP3]]/WWWW[[#This Row],[Total PoP ]])</f>
        <v>0</v>
      </c>
      <c r="BK7" s="423">
        <f>1-WWWW[[#This Row],[Hygiene Coverage%]]</f>
        <v>1</v>
      </c>
      <c r="BL7" s="422">
        <f>WWWW[[#This Row],['# people reached by regular dedicated hygiene promotion]]/WWWW[[#This Row],[Total PoP ]]</f>
        <v>0</v>
      </c>
      <c r="BM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 s="421">
        <f>WWWW[[#This Row],['#_of_affected_women_and_girls_receiving_a_sufficient_quantity_of_sanitary_pads]]</f>
        <v>0</v>
      </c>
      <c r="BO7" s="420">
        <f>IF(WWWW[[#This Row],['# People with access to soap]]&gt;WWWW[[#This Row],['# People with access to Sanity Pads]],WWWW[[#This Row],['# People with access to soap]],WWWW[[#This Row],['# People with access to Sanity Pads]])</f>
        <v>0</v>
      </c>
      <c r="BP7" s="419" t="str">
        <f>IF(OR(WWWW[[#This Row],['#of students in school]]="",WWWW[[#This Row],['#of students in school]]=0),"No","Yes")</f>
        <v>No</v>
      </c>
      <c r="BQ7" s="417" t="str">
        <f>VLOOKUP(WWWW[[#This Row],[Village  Name]],SiteDB6[[Site Name]:[Location Type 1]],9,FALSE)</f>
        <v>Village</v>
      </c>
      <c r="BR7" s="417" t="str">
        <f>VLOOKUP(WWWW[[#This Row],[Village  Name]],SiteDB6[[Site Name]:[Type of Accommodation]],10,FALSE)</f>
        <v>Village</v>
      </c>
      <c r="BS7" s="417">
        <f>VLOOKUP(WWWW[[#This Row],[Village  Name]],SiteDB6[[Site Name]:[Ethnic or GCA/NGCA]],11,FALSE)</f>
        <v>0</v>
      </c>
      <c r="BT7" s="417">
        <f>VLOOKUP(WWWW[[#This Row],[Village  Name]],SiteDB6[[Site Name]:[Lat]],12,FALSE)</f>
        <v>20.072999954223601</v>
      </c>
      <c r="BU7" s="417">
        <f>VLOOKUP(WWWW[[#This Row],[Village  Name]],SiteDB6[[Site Name]:[Long]],13,FALSE)</f>
        <v>92.924957275390597</v>
      </c>
      <c r="BV7" s="417">
        <f>VLOOKUP(WWWW[[#This Row],[Village  Name]],SiteDB6[[Site Name]:[Pcode]],3,FALSE)</f>
        <v>197561</v>
      </c>
      <c r="BW7" s="425" t="str">
        <f>IF(C7="none","Notcovered","Covered")</f>
        <v>Covered</v>
      </c>
      <c r="BX7" s="425"/>
      <c r="BY7" s="33"/>
      <c r="CA7"/>
      <c r="CB7" s="33"/>
      <c r="CC7" s="36"/>
      <c r="CE7" s="37"/>
      <c r="CN7" s="20"/>
    </row>
    <row r="8" spans="1:92" hidden="1">
      <c r="A8" s="612" t="s">
        <v>2380</v>
      </c>
      <c r="B8" s="412" t="s">
        <v>289</v>
      </c>
      <c r="C8" s="418" t="s">
        <v>289</v>
      </c>
      <c r="D8" s="418" t="s">
        <v>329</v>
      </c>
      <c r="E8" s="551" t="s">
        <v>2687</v>
      </c>
      <c r="F8" s="418" t="s">
        <v>404</v>
      </c>
      <c r="G8" s="551" t="str">
        <f>VLOOKUP(WWWW[[#This Row],[Village  Name]],SiteDB6[[Site Name]:[Location Type]],8,FALSE)</f>
        <v>Village</v>
      </c>
      <c r="H8" s="418" t="s">
        <v>2569</v>
      </c>
      <c r="I8" s="420">
        <v>90</v>
      </c>
      <c r="J8" s="420">
        <v>393</v>
      </c>
      <c r="K8" s="426">
        <v>43359</v>
      </c>
      <c r="L8" s="427">
        <v>43830</v>
      </c>
      <c r="M8" s="420"/>
      <c r="N8" s="420"/>
      <c r="O8" s="420"/>
      <c r="P8" s="420"/>
      <c r="Q8" s="420"/>
      <c r="R8" s="420"/>
      <c r="S8" s="420"/>
      <c r="T8" s="642"/>
      <c r="U8" s="420"/>
      <c r="V8" s="611" t="s">
        <v>132</v>
      </c>
      <c r="W8" s="420"/>
      <c r="X8" s="420"/>
      <c r="Y8" s="420"/>
      <c r="Z8" s="420"/>
      <c r="AA8" s="420"/>
      <c r="AB8" s="642"/>
      <c r="AC8" s="420"/>
      <c r="AD8" s="420"/>
      <c r="AE8" s="420"/>
      <c r="AF8" s="420"/>
      <c r="AG8" s="420"/>
      <c r="AH8" s="420"/>
      <c r="AI8" s="420"/>
      <c r="AJ8" s="420"/>
      <c r="AK8" s="420"/>
      <c r="AL8" s="420"/>
      <c r="AM8" s="642"/>
      <c r="AN8" s="420"/>
      <c r="AO8" s="420"/>
      <c r="AP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 s="419">
        <f>WWWW[[#This Row],[%Equitable and continuous access to sufficient quantity of safe drinking water]]*WWWW[[#This Row],[Total PoP ]]</f>
        <v>0</v>
      </c>
      <c r="AR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 s="419">
        <f>WWWW[[#This Row],[% Access to unimproved water points]]*WWWW[[#This Row],[Total PoP ]]</f>
        <v>0</v>
      </c>
      <c r="AT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 s="419">
        <f>WWWW[[#This Row],[HRP1]]/250</f>
        <v>0</v>
      </c>
      <c r="AW8" s="424">
        <f>1-WWWW[[#This Row],[% Equitable and continuous access to sufficient quantity of domestic water]]</f>
        <v>1</v>
      </c>
      <c r="AX8" s="419">
        <f>WWWW[[#This Row],[%equitable and continuous access to sufficient quantity of safe drinking and domestic water''s GAP]]*WWWW[[#This Row],[Total PoP ]]</f>
        <v>393</v>
      </c>
      <c r="AY8" s="421">
        <f>IF(WWWW[[#This Row],[Total required water points]]-WWWW[[#This Row],['#Water points coverage]]&lt;0,0,WWWW[[#This Row],[Total required water points]]-WWWW[[#This Row],['#Water points coverage]])</f>
        <v>2</v>
      </c>
      <c r="AZ8" s="421">
        <f>ROUND(IF(WWWW[[#This Row],[Total PoP ]]&lt;250,1,WWWW[[#This Row],[Total PoP ]]/250),0)</f>
        <v>2</v>
      </c>
      <c r="BA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 s="419">
        <f>WWWW[[#This Row],[% people access to functioning Latrine]]*WWWW[[#This Row],[Total PoP ]]</f>
        <v>0</v>
      </c>
      <c r="BC8" s="421">
        <f>WWWW[[#This Row],['#_of_Functioning_latrines_in_school]]*50</f>
        <v>0</v>
      </c>
      <c r="BD8" s="421">
        <f>ROUND((WWWW[[#This Row],[Total PoP ]]/6),0)</f>
        <v>66</v>
      </c>
      <c r="BE8" s="421">
        <f>IF(WWWW[[#This Row],[Total required Latrines]]-(WWWW[[#This Row],['#_of_sanitary_fly-proof_HH_latrines]])&lt;0,0,WWWW[[#This Row],[Total required Latrines]]-(WWWW[[#This Row],['#_of_sanitary_fly-proof_HH_latrines]]))</f>
        <v>66</v>
      </c>
      <c r="BF8" s="72">
        <f>1-WWWW[[#This Row],[% people access to functioning Latrine]]</f>
        <v>1</v>
      </c>
      <c r="BG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 s="419">
        <f>IF(WWWW[[#This Row],['#_of_functional_handwashing_facilities_at_HH_level]]*6&gt;WWWW[[#This Row],[Total PoP ]],WWWW[[#This Row],[Total PoP ]],WWWW[[#This Row],['#_of_functional_handwashing_facilities_at_HH_level]]*6)</f>
        <v>0</v>
      </c>
      <c r="BI8" s="421">
        <f>IF(WWWW[[#This Row],['# people reached by regular dedicated hygiene promotion]]&gt;WWWW[[#This Row],['# People received regular supply of hygiene items]],WWWW[[#This Row],['# people reached by regular dedicated hygiene promotion]],WWWW[[#This Row],['# People received regular supply of hygiene items]])</f>
        <v>0</v>
      </c>
      <c r="BJ8" s="424">
        <f>IF(WWWW[[#This Row],[HRP3]]/WWWW[[#This Row],[Total PoP ]]&gt;100%,100%,WWWW[[#This Row],[HRP3]]/WWWW[[#This Row],[Total PoP ]])</f>
        <v>0</v>
      </c>
      <c r="BK8" s="423">
        <f>1-WWWW[[#This Row],[Hygiene Coverage%]]</f>
        <v>1</v>
      </c>
      <c r="BL8" s="422">
        <f>WWWW[[#This Row],['# people reached by regular dedicated hygiene promotion]]/WWWW[[#This Row],[Total PoP ]]</f>
        <v>0</v>
      </c>
      <c r="BM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 s="421">
        <f>WWWW[[#This Row],['#_of_affected_women_and_girls_receiving_a_sufficient_quantity_of_sanitary_pads]]</f>
        <v>0</v>
      </c>
      <c r="BO8" s="420">
        <f>IF(WWWW[[#This Row],['# People with access to soap]]&gt;WWWW[[#This Row],['# People with access to Sanity Pads]],WWWW[[#This Row],['# People with access to soap]],WWWW[[#This Row],['# People with access to Sanity Pads]])</f>
        <v>0</v>
      </c>
      <c r="BP8" s="419" t="str">
        <f>IF(OR(WWWW[[#This Row],['#of students in school]]="",WWWW[[#This Row],['#of students in school]]=0),"No","Yes")</f>
        <v>No</v>
      </c>
      <c r="BQ8" s="417" t="str">
        <f>VLOOKUP(WWWW[[#This Row],[Village  Name]],SiteDB6[[Site Name]:[Location Type 1]],9,FALSE)</f>
        <v>Village</v>
      </c>
      <c r="BR8" s="417" t="str">
        <f>VLOOKUP(WWWW[[#This Row],[Village  Name]],SiteDB6[[Site Name]:[Type of Accommodation]],10,FALSE)</f>
        <v>Village</v>
      </c>
      <c r="BS8" s="417">
        <f>VLOOKUP(WWWW[[#This Row],[Village  Name]],SiteDB6[[Site Name]:[Ethnic or GCA/NGCA]],11,FALSE)</f>
        <v>0</v>
      </c>
      <c r="BT8" s="417">
        <f>VLOOKUP(WWWW[[#This Row],[Village  Name]],SiteDB6[[Site Name]:[Lat]],12,FALSE)</f>
        <v>19.986650466918899</v>
      </c>
      <c r="BU8" s="417">
        <f>VLOOKUP(WWWW[[#This Row],[Village  Name]],SiteDB6[[Site Name]:[Long]],13,FALSE)</f>
        <v>92.986160278320298</v>
      </c>
      <c r="BV8" s="417">
        <f>VLOOKUP(WWWW[[#This Row],[Village  Name]],SiteDB6[[Site Name]:[Pcode]],3,FALSE)</f>
        <v>197546</v>
      </c>
      <c r="BW8" s="425" t="str">
        <f>IF(C8="none","Notcovered","Covered")</f>
        <v>Covered</v>
      </c>
      <c r="BX8" s="425"/>
      <c r="BY8" s="33"/>
      <c r="CA8"/>
      <c r="CB8" s="33"/>
      <c r="CC8" s="36"/>
      <c r="CE8" s="37"/>
      <c r="CN8" s="20"/>
    </row>
    <row r="9" spans="1:92" hidden="1">
      <c r="A9" s="612" t="s">
        <v>2380</v>
      </c>
      <c r="B9" s="412" t="s">
        <v>289</v>
      </c>
      <c r="C9" s="418" t="s">
        <v>289</v>
      </c>
      <c r="D9" s="418" t="s">
        <v>329</v>
      </c>
      <c r="E9" s="551" t="s">
        <v>2687</v>
      </c>
      <c r="F9" s="418" t="s">
        <v>404</v>
      </c>
      <c r="G9" s="551" t="str">
        <f>VLOOKUP(WWWW[[#This Row],[Village  Name]],SiteDB6[[Site Name]:[Location Type]],8,FALSE)</f>
        <v>Village</v>
      </c>
      <c r="H9" s="418" t="s">
        <v>2966</v>
      </c>
      <c r="I9" s="420">
        <v>53</v>
      </c>
      <c r="J9" s="420">
        <v>248</v>
      </c>
      <c r="K9" s="426">
        <v>43359</v>
      </c>
      <c r="L9" s="427">
        <v>43830</v>
      </c>
      <c r="M9" s="420"/>
      <c r="N9" s="420"/>
      <c r="O9" s="420"/>
      <c r="P9" s="420"/>
      <c r="Q9" s="420"/>
      <c r="R9" s="420"/>
      <c r="S9" s="420"/>
      <c r="T9" s="642"/>
      <c r="U9" s="420"/>
      <c r="V9" s="611" t="s">
        <v>132</v>
      </c>
      <c r="W9" s="420"/>
      <c r="X9" s="420"/>
      <c r="Y9" s="420"/>
      <c r="Z9" s="420"/>
      <c r="AA9" s="420"/>
      <c r="AB9" s="642"/>
      <c r="AC9" s="420"/>
      <c r="AD9" s="420"/>
      <c r="AE9" s="420"/>
      <c r="AF9" s="420"/>
      <c r="AG9" s="420"/>
      <c r="AH9" s="420"/>
      <c r="AI9" s="420"/>
      <c r="AJ9" s="420"/>
      <c r="AK9" s="420"/>
      <c r="AL9" s="420"/>
      <c r="AM9" s="642"/>
      <c r="AN9" s="420"/>
      <c r="AO9" s="420"/>
      <c r="AP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 s="419">
        <f>WWWW[[#This Row],[%Equitable and continuous access to sufficient quantity of safe drinking water]]*WWWW[[#This Row],[Total PoP ]]</f>
        <v>0</v>
      </c>
      <c r="AR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 s="419">
        <f>WWWW[[#This Row],[% Access to unimproved water points]]*WWWW[[#This Row],[Total PoP ]]</f>
        <v>0</v>
      </c>
      <c r="AT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 s="419">
        <f>WWWW[[#This Row],[HRP1]]/250</f>
        <v>0</v>
      </c>
      <c r="AW9" s="424">
        <f>1-WWWW[[#This Row],[% Equitable and continuous access to sufficient quantity of domestic water]]</f>
        <v>1</v>
      </c>
      <c r="AX9" s="419">
        <f>WWWW[[#This Row],[%equitable and continuous access to sufficient quantity of safe drinking and domestic water''s GAP]]*WWWW[[#This Row],[Total PoP ]]</f>
        <v>248</v>
      </c>
      <c r="AY9" s="421">
        <f>IF(WWWW[[#This Row],[Total required water points]]-WWWW[[#This Row],['#Water points coverage]]&lt;0,0,WWWW[[#This Row],[Total required water points]]-WWWW[[#This Row],['#Water points coverage]])</f>
        <v>1</v>
      </c>
      <c r="AZ9" s="421">
        <f>ROUND(IF(WWWW[[#This Row],[Total PoP ]]&lt;250,1,WWWW[[#This Row],[Total PoP ]]/250),0)</f>
        <v>1</v>
      </c>
      <c r="BA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 s="419">
        <f>WWWW[[#This Row],[% people access to functioning Latrine]]*WWWW[[#This Row],[Total PoP ]]</f>
        <v>0</v>
      </c>
      <c r="BC9" s="421">
        <f>WWWW[[#This Row],['#_of_Functioning_latrines_in_school]]*50</f>
        <v>0</v>
      </c>
      <c r="BD9" s="421">
        <f>ROUND((WWWW[[#This Row],[Total PoP ]]/6),0)</f>
        <v>41</v>
      </c>
      <c r="BE9" s="421">
        <f>IF(WWWW[[#This Row],[Total required Latrines]]-(WWWW[[#This Row],['#_of_sanitary_fly-proof_HH_latrines]])&lt;0,0,WWWW[[#This Row],[Total required Latrines]]-(WWWW[[#This Row],['#_of_sanitary_fly-proof_HH_latrines]]))</f>
        <v>41</v>
      </c>
      <c r="BF9" s="72">
        <f>1-WWWW[[#This Row],[% people access to functioning Latrine]]</f>
        <v>1</v>
      </c>
      <c r="BG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 s="419">
        <f>IF(WWWW[[#This Row],['#_of_functional_handwashing_facilities_at_HH_level]]*6&gt;WWWW[[#This Row],[Total PoP ]],WWWW[[#This Row],[Total PoP ]],WWWW[[#This Row],['#_of_functional_handwashing_facilities_at_HH_level]]*6)</f>
        <v>0</v>
      </c>
      <c r="BI9" s="421">
        <f>IF(WWWW[[#This Row],['# people reached by regular dedicated hygiene promotion]]&gt;WWWW[[#This Row],['# People received regular supply of hygiene items]],WWWW[[#This Row],['# people reached by regular dedicated hygiene promotion]],WWWW[[#This Row],['# People received regular supply of hygiene items]])</f>
        <v>0</v>
      </c>
      <c r="BJ9" s="424">
        <f>IF(WWWW[[#This Row],[HRP3]]/WWWW[[#This Row],[Total PoP ]]&gt;100%,100%,WWWW[[#This Row],[HRP3]]/WWWW[[#This Row],[Total PoP ]])</f>
        <v>0</v>
      </c>
      <c r="BK9" s="423">
        <f>1-WWWW[[#This Row],[Hygiene Coverage%]]</f>
        <v>1</v>
      </c>
      <c r="BL9" s="422">
        <f>WWWW[[#This Row],['# people reached by regular dedicated hygiene promotion]]/WWWW[[#This Row],[Total PoP ]]</f>
        <v>0</v>
      </c>
      <c r="BM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 s="421">
        <f>WWWW[[#This Row],['#_of_affected_women_and_girls_receiving_a_sufficient_quantity_of_sanitary_pads]]</f>
        <v>0</v>
      </c>
      <c r="BO9" s="420">
        <f>IF(WWWW[[#This Row],['# People with access to soap]]&gt;WWWW[[#This Row],['# People with access to Sanity Pads]],WWWW[[#This Row],['# People with access to soap]],WWWW[[#This Row],['# People with access to Sanity Pads]])</f>
        <v>0</v>
      </c>
      <c r="BP9" s="419" t="str">
        <f>IF(OR(WWWW[[#This Row],['#of students in school]]="",WWWW[[#This Row],['#of students in school]]=0),"No","Yes")</f>
        <v>No</v>
      </c>
      <c r="BQ9" s="417" t="str">
        <f>VLOOKUP(WWWW[[#This Row],[Village  Name]],SiteDB6[[Site Name]:[Location Type 1]],9,FALSE)</f>
        <v>Village</v>
      </c>
      <c r="BR9" s="417" t="str">
        <f>VLOOKUP(WWWW[[#This Row],[Village  Name]],SiteDB6[[Site Name]:[Type of Accommodation]],10,FALSE)</f>
        <v>Village</v>
      </c>
      <c r="BS9" s="417">
        <f>VLOOKUP(WWWW[[#This Row],[Village  Name]],SiteDB6[[Site Name]:[Ethnic or GCA/NGCA]],11,FALSE)</f>
        <v>0</v>
      </c>
      <c r="BT9" s="417">
        <f>VLOOKUP(WWWW[[#This Row],[Village  Name]],SiteDB6[[Site Name]:[Lat]],12,FALSE)</f>
        <v>19.863630294799801</v>
      </c>
      <c r="BU9" s="417">
        <f>VLOOKUP(WWWW[[#This Row],[Village  Name]],SiteDB6[[Site Name]:[Long]],13,FALSE)</f>
        <v>93.030677795410199</v>
      </c>
      <c r="BV9" s="417">
        <f>VLOOKUP(WWWW[[#This Row],[Village  Name]],SiteDB6[[Site Name]:[Pcode]],3,FALSE)</f>
        <v>217985</v>
      </c>
      <c r="BW9" s="425" t="str">
        <f>IF(C9="none","Notcovered","Covered")</f>
        <v>Covered</v>
      </c>
      <c r="BX9" s="425"/>
      <c r="BY9" s="33"/>
      <c r="CA9"/>
      <c r="CB9" s="33"/>
      <c r="CC9" s="36"/>
      <c r="CE9" s="37"/>
      <c r="CN9" s="20"/>
    </row>
    <row r="10" spans="1:92" hidden="1">
      <c r="A10" s="412" t="s">
        <v>2380</v>
      </c>
      <c r="B10" s="412" t="s">
        <v>2540</v>
      </c>
      <c r="C10" s="418" t="s">
        <v>371</v>
      </c>
      <c r="D10" s="418" t="s">
        <v>2541</v>
      </c>
      <c r="E10" s="551" t="s">
        <v>2686</v>
      </c>
      <c r="F10" s="418" t="s">
        <v>321</v>
      </c>
      <c r="G10" s="551" t="str">
        <f>VLOOKUP(WWWW[[#This Row],[Village  Name]],SiteDB6[[Site Name]:[Location Type]],8,FALSE)</f>
        <v>Village</v>
      </c>
      <c r="H10" s="457" t="s">
        <v>2543</v>
      </c>
      <c r="I10" s="420">
        <v>153</v>
      </c>
      <c r="J10" s="420">
        <v>838</v>
      </c>
      <c r="K10" s="426">
        <v>43480</v>
      </c>
      <c r="L10" s="427">
        <v>43723</v>
      </c>
      <c r="M10" s="420"/>
      <c r="N10" s="420"/>
      <c r="O10" s="420"/>
      <c r="P10" s="420"/>
      <c r="Q10" s="420"/>
      <c r="R10" s="420"/>
      <c r="S10" s="420"/>
      <c r="T10" s="642"/>
      <c r="U10" s="420"/>
      <c r="V10" s="611" t="s">
        <v>132</v>
      </c>
      <c r="W10" s="420"/>
      <c r="X10" s="420"/>
      <c r="Y10" s="420"/>
      <c r="Z10" s="420"/>
      <c r="AA10" s="420"/>
      <c r="AB10" s="642"/>
      <c r="AC10" s="420">
        <v>127</v>
      </c>
      <c r="AD10" s="420">
        <v>26</v>
      </c>
      <c r="AE10" s="420"/>
      <c r="AF10" s="420"/>
      <c r="AG10" s="420"/>
      <c r="AH10" s="420"/>
      <c r="AI10" s="420"/>
      <c r="AJ10" s="420"/>
      <c r="AK10" s="420"/>
      <c r="AL10" s="420"/>
      <c r="AM10" s="642"/>
      <c r="AN10" s="420"/>
      <c r="AO10" s="420"/>
      <c r="AP1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 s="419">
        <f>WWWW[[#This Row],[%Equitable and continuous access to sufficient quantity of safe drinking water]]*WWWW[[#This Row],[Total PoP ]]</f>
        <v>0</v>
      </c>
      <c r="AR1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 s="419">
        <f>WWWW[[#This Row],[% Access to unimproved water points]]*WWWW[[#This Row],[Total PoP ]]</f>
        <v>0</v>
      </c>
      <c r="AT1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 s="419">
        <f>WWWW[[#This Row],[HRP1]]/250</f>
        <v>0</v>
      </c>
      <c r="AW10" s="424">
        <f>1-WWWW[[#This Row],[% Equitable and continuous access to sufficient quantity of domestic water]]</f>
        <v>1</v>
      </c>
      <c r="AX10" s="419">
        <f>WWWW[[#This Row],[%equitable and continuous access to sufficient quantity of safe drinking and domestic water''s GAP]]*WWWW[[#This Row],[Total PoP ]]</f>
        <v>838</v>
      </c>
      <c r="AY10" s="421">
        <f>IF(WWWW[[#This Row],[Total required water points]]-WWWW[[#This Row],['#Water points coverage]]&lt;0,0,WWWW[[#This Row],[Total required water points]]-WWWW[[#This Row],['#Water points coverage]])</f>
        <v>3</v>
      </c>
      <c r="AZ10" s="421">
        <f>ROUND(IF(WWWW[[#This Row],[Total PoP ]]&lt;250,1,WWWW[[#This Row],[Total PoP ]]/250),0)</f>
        <v>3</v>
      </c>
      <c r="BA1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 s="419">
        <f>WWWW[[#This Row],[% people access to functioning Latrine]]*WWWW[[#This Row],[Total PoP ]]</f>
        <v>0</v>
      </c>
      <c r="BC10" s="421">
        <f>WWWW[[#This Row],['#_of_Functioning_latrines_in_school]]*50</f>
        <v>0</v>
      </c>
      <c r="BD10" s="421">
        <f>ROUND((WWWW[[#This Row],[Total PoP ]]/6),0)</f>
        <v>140</v>
      </c>
      <c r="BE10" s="421">
        <f>IF(WWWW[[#This Row],[Total required Latrines]]-(WWWW[[#This Row],['#_of_sanitary_fly-proof_HH_latrines]])&lt;0,0,WWWW[[#This Row],[Total required Latrines]]-(WWWW[[#This Row],['#_of_sanitary_fly-proof_HH_latrines]]))</f>
        <v>140</v>
      </c>
      <c r="BF10" s="72">
        <f>1-WWWW[[#This Row],[% people access to functioning Latrine]]</f>
        <v>1</v>
      </c>
      <c r="BG1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153</v>
      </c>
      <c r="BH10" s="419">
        <f>IF(WWWW[[#This Row],['#_of_functional_handwashing_facilities_at_HH_level]]*6&gt;WWWW[[#This Row],[Total PoP ]],WWWW[[#This Row],[Total PoP ]],WWWW[[#This Row],['#_of_functional_handwashing_facilities_at_HH_level]]*6)</f>
        <v>0</v>
      </c>
      <c r="BI10" s="421">
        <f>IF(WWWW[[#This Row],['# people reached by regular dedicated hygiene promotion]]&gt;WWWW[[#This Row],['# People received regular supply of hygiene items]],WWWW[[#This Row],['# people reached by regular dedicated hygiene promotion]],WWWW[[#This Row],['# People received regular supply of hygiene items]])</f>
        <v>153</v>
      </c>
      <c r="BJ10" s="424">
        <f>IF(WWWW[[#This Row],[HRP3]]/WWWW[[#This Row],[Total PoP ]]&gt;100%,100%,WWWW[[#This Row],[HRP3]]/WWWW[[#This Row],[Total PoP ]])</f>
        <v>0.18257756563245822</v>
      </c>
      <c r="BK10" s="423">
        <f>1-WWWW[[#This Row],[Hygiene Coverage%]]</f>
        <v>0.81742243436754181</v>
      </c>
      <c r="BL10" s="422">
        <f>WWWW[[#This Row],['# people reached by regular dedicated hygiene promotion]]/WWWW[[#This Row],[Total PoP ]]</f>
        <v>0.18257756563245822</v>
      </c>
      <c r="BM1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 s="421">
        <f>WWWW[[#This Row],['#_of_affected_women_and_girls_receiving_a_sufficient_quantity_of_sanitary_pads]]</f>
        <v>0</v>
      </c>
      <c r="BO10" s="420">
        <f>IF(WWWW[[#This Row],['# People with access to soap]]&gt;WWWW[[#This Row],['# People with access to Sanity Pads]],WWWW[[#This Row],['# People with access to soap]],WWWW[[#This Row],['# People with access to Sanity Pads]])</f>
        <v>0</v>
      </c>
      <c r="BP10" s="419" t="str">
        <f>IF(OR(WWWW[[#This Row],['#of students in school]]="",WWWW[[#This Row],['#of students in school]]=0),"No","Yes")</f>
        <v>No</v>
      </c>
      <c r="BQ10" s="417" t="str">
        <f>VLOOKUP(WWWW[[#This Row],[Village  Name]],SiteDB6[[Site Name]:[Location Type 1]],9,FALSE)</f>
        <v>Village</v>
      </c>
      <c r="BR10" s="417" t="str">
        <f>VLOOKUP(WWWW[[#This Row],[Village  Name]],SiteDB6[[Site Name]:[Type of Accommodation]],10,FALSE)</f>
        <v>Village</v>
      </c>
      <c r="BS10" s="417" t="str">
        <f>VLOOKUP(WWWW[[#This Row],[Village  Name]],SiteDB6[[Site Name]:[Ethnic or GCA/NGCA]],11,FALSE)</f>
        <v>Muslim</v>
      </c>
      <c r="BT10" s="417">
        <f>VLOOKUP(WWWW[[#This Row],[Village  Name]],SiteDB6[[Site Name]:[Lat]],12,FALSE)</f>
        <v>20.819919586181602</v>
      </c>
      <c r="BU10" s="417">
        <f>VLOOKUP(WWWW[[#This Row],[Village  Name]],SiteDB6[[Site Name]:[Long]],13,FALSE)</f>
        <v>92.589729309082003</v>
      </c>
      <c r="BV10" s="417">
        <f>VLOOKUP(WWWW[[#This Row],[Village  Name]],SiteDB6[[Site Name]:[Pcode]],3,FALSE)</f>
        <v>198349</v>
      </c>
      <c r="BW10" s="425" t="str">
        <f t="shared" ref="BW10:BW38" si="0">IF(C10="none","Notcovered","Covered")</f>
        <v>Covered</v>
      </c>
      <c r="BX10" s="425"/>
      <c r="BY10" s="33"/>
      <c r="CA10"/>
      <c r="CB10" s="33"/>
      <c r="CC10" s="36"/>
      <c r="CE10" s="37"/>
      <c r="CN10" s="20"/>
    </row>
    <row r="11" spans="1:92" hidden="1">
      <c r="A11" s="412" t="s">
        <v>2380</v>
      </c>
      <c r="B11" s="412" t="s">
        <v>2540</v>
      </c>
      <c r="C11" s="418" t="s">
        <v>371</v>
      </c>
      <c r="D11" s="418" t="s">
        <v>2541</v>
      </c>
      <c r="E11" s="551" t="s">
        <v>2686</v>
      </c>
      <c r="F11" s="418" t="s">
        <v>307</v>
      </c>
      <c r="G11" s="551" t="str">
        <f>VLOOKUP(WWWW[[#This Row],[Village  Name]],SiteDB6[[Site Name]:[Location Type]],8,FALSE)</f>
        <v>Village</v>
      </c>
      <c r="H11" s="418" t="s">
        <v>2561</v>
      </c>
      <c r="I11" s="420">
        <v>275</v>
      </c>
      <c r="J11" s="420">
        <v>1698</v>
      </c>
      <c r="K11" s="426">
        <v>43480</v>
      </c>
      <c r="L11" s="427">
        <v>43723</v>
      </c>
      <c r="M11" s="420"/>
      <c r="N11" s="420"/>
      <c r="O11" s="420"/>
      <c r="P11" s="420"/>
      <c r="Q11" s="420"/>
      <c r="R11" s="420"/>
      <c r="S11" s="420"/>
      <c r="T11" s="642"/>
      <c r="U11" s="420"/>
      <c r="V11" s="611" t="s">
        <v>132</v>
      </c>
      <c r="W11" s="420"/>
      <c r="X11" s="420"/>
      <c r="Y11" s="420"/>
      <c r="Z11" s="420"/>
      <c r="AA11" s="420"/>
      <c r="AB11" s="642"/>
      <c r="AC11" s="420">
        <v>183</v>
      </c>
      <c r="AD11" s="420">
        <v>92</v>
      </c>
      <c r="AE11" s="420"/>
      <c r="AF11" s="420"/>
      <c r="AG11" s="420"/>
      <c r="AH11" s="420"/>
      <c r="AI11" s="420"/>
      <c r="AJ11" s="420"/>
      <c r="AK11" s="420"/>
      <c r="AL11" s="420"/>
      <c r="AM11" s="642"/>
      <c r="AN11" s="420"/>
      <c r="AO11" s="420"/>
      <c r="AP1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 s="419">
        <f>WWWW[[#This Row],[%Equitable and continuous access to sufficient quantity of safe drinking water]]*WWWW[[#This Row],[Total PoP ]]</f>
        <v>0</v>
      </c>
      <c r="AR1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 s="419">
        <f>WWWW[[#This Row],[% Access to unimproved water points]]*WWWW[[#This Row],[Total PoP ]]</f>
        <v>0</v>
      </c>
      <c r="AT1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 s="419">
        <f>WWWW[[#This Row],[HRP1]]/250</f>
        <v>0</v>
      </c>
      <c r="AW11" s="424">
        <f>1-WWWW[[#This Row],[% Equitable and continuous access to sufficient quantity of domestic water]]</f>
        <v>1</v>
      </c>
      <c r="AX11" s="419">
        <f>WWWW[[#This Row],[%equitable and continuous access to sufficient quantity of safe drinking and domestic water''s GAP]]*WWWW[[#This Row],[Total PoP ]]</f>
        <v>1698</v>
      </c>
      <c r="AY11" s="421">
        <f>IF(WWWW[[#This Row],[Total required water points]]-WWWW[[#This Row],['#Water points coverage]]&lt;0,0,WWWW[[#This Row],[Total required water points]]-WWWW[[#This Row],['#Water points coverage]])</f>
        <v>7</v>
      </c>
      <c r="AZ11" s="421">
        <f>ROUND(IF(WWWW[[#This Row],[Total PoP ]]&lt;250,1,WWWW[[#This Row],[Total PoP ]]/250),0)</f>
        <v>7</v>
      </c>
      <c r="BA1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 s="419">
        <f>WWWW[[#This Row],[% people access to functioning Latrine]]*WWWW[[#This Row],[Total PoP ]]</f>
        <v>0</v>
      </c>
      <c r="BC11" s="421">
        <f>WWWW[[#This Row],['#_of_Functioning_latrines_in_school]]*50</f>
        <v>0</v>
      </c>
      <c r="BD11" s="421">
        <f>ROUND((WWWW[[#This Row],[Total PoP ]]/6),0)</f>
        <v>283</v>
      </c>
      <c r="BE11" s="421">
        <f>IF(WWWW[[#This Row],[Total required Latrines]]-(WWWW[[#This Row],['#_of_sanitary_fly-proof_HH_latrines]])&lt;0,0,WWWW[[#This Row],[Total required Latrines]]-(WWWW[[#This Row],['#_of_sanitary_fly-proof_HH_latrines]]))</f>
        <v>283</v>
      </c>
      <c r="BF11" s="72">
        <f>1-WWWW[[#This Row],[% people access to functioning Latrine]]</f>
        <v>1</v>
      </c>
      <c r="BG1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275</v>
      </c>
      <c r="BH11" s="419">
        <f>IF(WWWW[[#This Row],['#_of_functional_handwashing_facilities_at_HH_level]]*6&gt;WWWW[[#This Row],[Total PoP ]],WWWW[[#This Row],[Total PoP ]],WWWW[[#This Row],['#_of_functional_handwashing_facilities_at_HH_level]]*6)</f>
        <v>0</v>
      </c>
      <c r="BI11" s="421">
        <f>IF(WWWW[[#This Row],['# people reached by regular dedicated hygiene promotion]]&gt;WWWW[[#This Row],['# People received regular supply of hygiene items]],WWWW[[#This Row],['# people reached by regular dedicated hygiene promotion]],WWWW[[#This Row],['# People received regular supply of hygiene items]])</f>
        <v>275</v>
      </c>
      <c r="BJ11" s="424">
        <f>IF(WWWW[[#This Row],[HRP3]]/WWWW[[#This Row],[Total PoP ]]&gt;100%,100%,WWWW[[#This Row],[HRP3]]/WWWW[[#This Row],[Total PoP ]])</f>
        <v>0.16195524146054183</v>
      </c>
      <c r="BK11" s="423">
        <f>1-WWWW[[#This Row],[Hygiene Coverage%]]</f>
        <v>0.83804475853945815</v>
      </c>
      <c r="BL11" s="422">
        <f>WWWW[[#This Row],['# people reached by regular dedicated hygiene promotion]]/WWWW[[#This Row],[Total PoP ]]</f>
        <v>0.16195524146054183</v>
      </c>
      <c r="BM1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 s="421">
        <f>WWWW[[#This Row],['#_of_affected_women_and_girls_receiving_a_sufficient_quantity_of_sanitary_pads]]</f>
        <v>0</v>
      </c>
      <c r="BO11" s="420">
        <f>IF(WWWW[[#This Row],['# People with access to soap]]&gt;WWWW[[#This Row],['# People with access to Sanity Pads]],WWWW[[#This Row],['# People with access to soap]],WWWW[[#This Row],['# People with access to Sanity Pads]])</f>
        <v>0</v>
      </c>
      <c r="BP11" s="419" t="str">
        <f>IF(OR(WWWW[[#This Row],['#of students in school]]="",WWWW[[#This Row],['#of students in school]]=0),"No","Yes")</f>
        <v>No</v>
      </c>
      <c r="BQ11" s="417" t="str">
        <f>VLOOKUP(WWWW[[#This Row],[Village  Name]],SiteDB6[[Site Name]:[Location Type 1]],9,FALSE)</f>
        <v>Village</v>
      </c>
      <c r="BR11" s="417" t="str">
        <f>VLOOKUP(WWWW[[#This Row],[Village  Name]],SiteDB6[[Site Name]:[Type of Accommodation]],10,FALSE)</f>
        <v>Village</v>
      </c>
      <c r="BS11" s="417" t="str">
        <f>VLOOKUP(WWWW[[#This Row],[Village  Name]],SiteDB6[[Site Name]:[Ethnic or GCA/NGCA]],11,FALSE)</f>
        <v>Muslim</v>
      </c>
      <c r="BT11" s="417">
        <f>VLOOKUP(WWWW[[#This Row],[Village  Name]],SiteDB6[[Site Name]:[Lat]],12,FALSE)</f>
        <v>0</v>
      </c>
      <c r="BU11" s="417">
        <f>VLOOKUP(WWWW[[#This Row],[Village  Name]],SiteDB6[[Site Name]:[Long]],13,FALSE)</f>
        <v>0</v>
      </c>
      <c r="BV11" s="417">
        <f>VLOOKUP(WWWW[[#This Row],[Village  Name]],SiteDB6[[Site Name]:[Pcode]],3,FALSE)</f>
        <v>197968</v>
      </c>
      <c r="BW11" s="425" t="str">
        <f t="shared" si="0"/>
        <v>Covered</v>
      </c>
      <c r="BX11" s="425"/>
      <c r="BY11" s="33"/>
      <c r="CA11"/>
      <c r="CB11" s="33"/>
      <c r="CC11" s="36"/>
      <c r="CE11" s="37"/>
      <c r="CN11" s="20"/>
    </row>
    <row r="12" spans="1:92" hidden="1">
      <c r="A12" s="412" t="s">
        <v>2380</v>
      </c>
      <c r="B12" s="412" t="s">
        <v>2540</v>
      </c>
      <c r="C12" s="418" t="s">
        <v>371</v>
      </c>
      <c r="D12" s="418" t="s">
        <v>2541</v>
      </c>
      <c r="E12" s="551" t="s">
        <v>2686</v>
      </c>
      <c r="F12" s="418" t="s">
        <v>307</v>
      </c>
      <c r="G12" s="551" t="str">
        <f>VLOOKUP(WWWW[[#This Row],[Village  Name]],SiteDB6[[Site Name]:[Location Type]],8,FALSE)</f>
        <v>Village</v>
      </c>
      <c r="H12" s="418" t="s">
        <v>372</v>
      </c>
      <c r="I12" s="420">
        <v>119</v>
      </c>
      <c r="J12" s="420">
        <v>428</v>
      </c>
      <c r="K12" s="426">
        <v>43480</v>
      </c>
      <c r="L12" s="427">
        <v>43723</v>
      </c>
      <c r="M12" s="420"/>
      <c r="N12" s="420"/>
      <c r="O12" s="420"/>
      <c r="P12" s="420"/>
      <c r="Q12" s="420"/>
      <c r="R12" s="420"/>
      <c r="S12" s="420"/>
      <c r="T12" s="642"/>
      <c r="U12" s="420"/>
      <c r="V12" s="611" t="s">
        <v>132</v>
      </c>
      <c r="W12" s="420"/>
      <c r="X12" s="420"/>
      <c r="Y12" s="420"/>
      <c r="Z12" s="420"/>
      <c r="AA12" s="420"/>
      <c r="AB12" s="642"/>
      <c r="AC12" s="420">
        <v>95</v>
      </c>
      <c r="AD12" s="420">
        <v>18</v>
      </c>
      <c r="AE12" s="420"/>
      <c r="AF12" s="420"/>
      <c r="AG12" s="420"/>
      <c r="AH12" s="420"/>
      <c r="AI12" s="420"/>
      <c r="AJ12" s="420"/>
      <c r="AK12" s="420"/>
      <c r="AL12" s="420"/>
      <c r="AM12" s="642"/>
      <c r="AN12" s="420"/>
      <c r="AO12" s="420"/>
      <c r="AP1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 s="419">
        <f>WWWW[[#This Row],[%Equitable and continuous access to sufficient quantity of safe drinking water]]*WWWW[[#This Row],[Total PoP ]]</f>
        <v>0</v>
      </c>
      <c r="AR1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 s="419">
        <f>WWWW[[#This Row],[% Access to unimproved water points]]*WWWW[[#This Row],[Total PoP ]]</f>
        <v>0</v>
      </c>
      <c r="AT1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 s="419">
        <f>WWWW[[#This Row],[HRP1]]/250</f>
        <v>0</v>
      </c>
      <c r="AW12" s="424">
        <f>1-WWWW[[#This Row],[% Equitable and continuous access to sufficient quantity of domestic water]]</f>
        <v>1</v>
      </c>
      <c r="AX12" s="419">
        <f>WWWW[[#This Row],[%equitable and continuous access to sufficient quantity of safe drinking and domestic water''s GAP]]*WWWW[[#This Row],[Total PoP ]]</f>
        <v>428</v>
      </c>
      <c r="AY12" s="421">
        <f>IF(WWWW[[#This Row],[Total required water points]]-WWWW[[#This Row],['#Water points coverage]]&lt;0,0,WWWW[[#This Row],[Total required water points]]-WWWW[[#This Row],['#Water points coverage]])</f>
        <v>2</v>
      </c>
      <c r="AZ12" s="421">
        <f>ROUND(IF(WWWW[[#This Row],[Total PoP ]]&lt;250,1,WWWW[[#This Row],[Total PoP ]]/250),0)</f>
        <v>2</v>
      </c>
      <c r="BA1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 s="419">
        <f>WWWW[[#This Row],[% people access to functioning Latrine]]*WWWW[[#This Row],[Total PoP ]]</f>
        <v>0</v>
      </c>
      <c r="BC12" s="421">
        <f>WWWW[[#This Row],['#_of_Functioning_latrines_in_school]]*50</f>
        <v>0</v>
      </c>
      <c r="BD12" s="421">
        <f>ROUND((WWWW[[#This Row],[Total PoP ]]/6),0)</f>
        <v>71</v>
      </c>
      <c r="BE12" s="421">
        <f>IF(WWWW[[#This Row],[Total required Latrines]]-(WWWW[[#This Row],['#_of_sanitary_fly-proof_HH_latrines]])&lt;0,0,WWWW[[#This Row],[Total required Latrines]]-(WWWW[[#This Row],['#_of_sanitary_fly-proof_HH_latrines]]))</f>
        <v>71</v>
      </c>
      <c r="BF12" s="72">
        <f>1-WWWW[[#This Row],[% people access to functioning Latrine]]</f>
        <v>1</v>
      </c>
      <c r="BG1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113</v>
      </c>
      <c r="BH12" s="419">
        <f>IF(WWWW[[#This Row],['#_of_functional_handwashing_facilities_at_HH_level]]*6&gt;WWWW[[#This Row],[Total PoP ]],WWWW[[#This Row],[Total PoP ]],WWWW[[#This Row],['#_of_functional_handwashing_facilities_at_HH_level]]*6)</f>
        <v>0</v>
      </c>
      <c r="BI12" s="421">
        <f>IF(WWWW[[#This Row],['# people reached by regular dedicated hygiene promotion]]&gt;WWWW[[#This Row],['# People received regular supply of hygiene items]],WWWW[[#This Row],['# people reached by regular dedicated hygiene promotion]],WWWW[[#This Row],['# People received regular supply of hygiene items]])</f>
        <v>113</v>
      </c>
      <c r="BJ12" s="424">
        <f>IF(WWWW[[#This Row],[HRP3]]/WWWW[[#This Row],[Total PoP ]]&gt;100%,100%,WWWW[[#This Row],[HRP3]]/WWWW[[#This Row],[Total PoP ]])</f>
        <v>0.26401869158878505</v>
      </c>
      <c r="BK12" s="423">
        <f>1-WWWW[[#This Row],[Hygiene Coverage%]]</f>
        <v>0.73598130841121501</v>
      </c>
      <c r="BL12" s="422">
        <f>WWWW[[#This Row],['# people reached by regular dedicated hygiene promotion]]/WWWW[[#This Row],[Total PoP ]]</f>
        <v>0.26401869158878505</v>
      </c>
      <c r="BM1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 s="421">
        <f>WWWW[[#This Row],['#_of_affected_women_and_girls_receiving_a_sufficient_quantity_of_sanitary_pads]]</f>
        <v>0</v>
      </c>
      <c r="BO12" s="420">
        <f>IF(WWWW[[#This Row],['# People with access to soap]]&gt;WWWW[[#This Row],['# People with access to Sanity Pads]],WWWW[[#This Row],['# People with access to soap]],WWWW[[#This Row],['# People with access to Sanity Pads]])</f>
        <v>0</v>
      </c>
      <c r="BP12" s="419" t="str">
        <f>IF(OR(WWWW[[#This Row],['#of students in school]]="",WWWW[[#This Row],['#of students in school]]=0),"No","Yes")</f>
        <v>No</v>
      </c>
      <c r="BQ12" s="417" t="str">
        <f>VLOOKUP(WWWW[[#This Row],[Village  Name]],SiteDB6[[Site Name]:[Location Type 1]],9,FALSE)</f>
        <v>Village</v>
      </c>
      <c r="BR12" s="417" t="str">
        <f>VLOOKUP(WWWW[[#This Row],[Village  Name]],SiteDB6[[Site Name]:[Type of Accommodation]],10,FALSE)</f>
        <v>Village</v>
      </c>
      <c r="BS12" s="417" t="str">
        <f>VLOOKUP(WWWW[[#This Row],[Village  Name]],SiteDB6[[Site Name]:[Ethnic or GCA/NGCA]],11,FALSE)</f>
        <v>Rakhine</v>
      </c>
      <c r="BT12" s="417">
        <f>VLOOKUP(WWWW[[#This Row],[Village  Name]],SiteDB6[[Site Name]:[Lat]],12,FALSE)</f>
        <v>0</v>
      </c>
      <c r="BU12" s="417">
        <f>VLOOKUP(WWWW[[#This Row],[Village  Name]],SiteDB6[[Site Name]:[Long]],13,FALSE)</f>
        <v>0</v>
      </c>
      <c r="BV12" s="417">
        <f>VLOOKUP(WWWW[[#This Row],[Village  Name]],SiteDB6[[Site Name]:[Pcode]],3,FALSE)</f>
        <v>220977</v>
      </c>
      <c r="BW12" s="425" t="str">
        <f t="shared" si="0"/>
        <v>Covered</v>
      </c>
      <c r="BX12" s="425"/>
      <c r="BY12" s="33"/>
      <c r="CA12"/>
      <c r="CB12" s="33"/>
      <c r="CC12" s="36"/>
      <c r="CE12" s="37"/>
      <c r="CN12" s="20"/>
    </row>
    <row r="13" spans="1:92" hidden="1">
      <c r="A13" s="412" t="s">
        <v>2380</v>
      </c>
      <c r="B13" s="412" t="s">
        <v>2540</v>
      </c>
      <c r="C13" s="418" t="s">
        <v>371</v>
      </c>
      <c r="D13" s="418" t="s">
        <v>2541</v>
      </c>
      <c r="E13" s="551" t="s">
        <v>2686</v>
      </c>
      <c r="F13" s="418" t="s">
        <v>307</v>
      </c>
      <c r="G13" s="551" t="str">
        <f>VLOOKUP(WWWW[[#This Row],[Village  Name]],SiteDB6[[Site Name]:[Location Type]],8,FALSE)</f>
        <v>Village</v>
      </c>
      <c r="H13" s="418" t="s">
        <v>2301</v>
      </c>
      <c r="I13" s="420">
        <v>60</v>
      </c>
      <c r="J13" s="420">
        <v>314</v>
      </c>
      <c r="K13" s="426">
        <v>43480</v>
      </c>
      <c r="L13" s="427">
        <v>43723</v>
      </c>
      <c r="M13" s="420"/>
      <c r="N13" s="420"/>
      <c r="O13" s="420"/>
      <c r="P13" s="420"/>
      <c r="Q13" s="420"/>
      <c r="R13" s="420"/>
      <c r="S13" s="420"/>
      <c r="T13" s="642"/>
      <c r="U13" s="420"/>
      <c r="V13" s="611" t="s">
        <v>132</v>
      </c>
      <c r="W13" s="420"/>
      <c r="X13" s="420"/>
      <c r="Y13" s="420"/>
      <c r="Z13" s="420"/>
      <c r="AA13" s="420"/>
      <c r="AB13" s="642"/>
      <c r="AC13" s="420">
        <v>46</v>
      </c>
      <c r="AD13" s="420">
        <v>14</v>
      </c>
      <c r="AE13" s="420"/>
      <c r="AF13" s="420"/>
      <c r="AG13" s="420"/>
      <c r="AH13" s="420"/>
      <c r="AI13" s="420"/>
      <c r="AJ13" s="420"/>
      <c r="AK13" s="420"/>
      <c r="AL13" s="420"/>
      <c r="AM13" s="642"/>
      <c r="AN13" s="420"/>
      <c r="AO13" s="420"/>
      <c r="AP1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 s="419">
        <f>WWWW[[#This Row],[%Equitable and continuous access to sufficient quantity of safe drinking water]]*WWWW[[#This Row],[Total PoP ]]</f>
        <v>0</v>
      </c>
      <c r="AR1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 s="419">
        <f>WWWW[[#This Row],[% Access to unimproved water points]]*WWWW[[#This Row],[Total PoP ]]</f>
        <v>0</v>
      </c>
      <c r="AT1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 s="419">
        <f>WWWW[[#This Row],[HRP1]]/250</f>
        <v>0</v>
      </c>
      <c r="AW13" s="424">
        <f>1-WWWW[[#This Row],[% Equitable and continuous access to sufficient quantity of domestic water]]</f>
        <v>1</v>
      </c>
      <c r="AX13" s="419">
        <f>WWWW[[#This Row],[%equitable and continuous access to sufficient quantity of safe drinking and domestic water''s GAP]]*WWWW[[#This Row],[Total PoP ]]</f>
        <v>314</v>
      </c>
      <c r="AY13" s="421">
        <f>IF(WWWW[[#This Row],[Total required water points]]-WWWW[[#This Row],['#Water points coverage]]&lt;0,0,WWWW[[#This Row],[Total required water points]]-WWWW[[#This Row],['#Water points coverage]])</f>
        <v>1</v>
      </c>
      <c r="AZ13" s="421">
        <f>ROUND(IF(WWWW[[#This Row],[Total PoP ]]&lt;250,1,WWWW[[#This Row],[Total PoP ]]/250),0)</f>
        <v>1</v>
      </c>
      <c r="BA1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 s="419">
        <f>WWWW[[#This Row],[% people access to functioning Latrine]]*WWWW[[#This Row],[Total PoP ]]</f>
        <v>0</v>
      </c>
      <c r="BC13" s="421">
        <f>WWWW[[#This Row],['#_of_Functioning_latrines_in_school]]*50</f>
        <v>0</v>
      </c>
      <c r="BD13" s="421">
        <f>ROUND((WWWW[[#This Row],[Total PoP ]]/6),0)</f>
        <v>52</v>
      </c>
      <c r="BE13" s="421">
        <f>IF(WWWW[[#This Row],[Total required Latrines]]-(WWWW[[#This Row],['#_of_sanitary_fly-proof_HH_latrines]])&lt;0,0,WWWW[[#This Row],[Total required Latrines]]-(WWWW[[#This Row],['#_of_sanitary_fly-proof_HH_latrines]]))</f>
        <v>52</v>
      </c>
      <c r="BF13" s="72">
        <f>1-WWWW[[#This Row],[% people access to functioning Latrine]]</f>
        <v>1</v>
      </c>
      <c r="BG1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60</v>
      </c>
      <c r="BH13" s="419">
        <f>IF(WWWW[[#This Row],['#_of_functional_handwashing_facilities_at_HH_level]]*6&gt;WWWW[[#This Row],[Total PoP ]],WWWW[[#This Row],[Total PoP ]],WWWW[[#This Row],['#_of_functional_handwashing_facilities_at_HH_level]]*6)</f>
        <v>0</v>
      </c>
      <c r="BI13" s="421">
        <f>IF(WWWW[[#This Row],['# people reached by regular dedicated hygiene promotion]]&gt;WWWW[[#This Row],['# People received regular supply of hygiene items]],WWWW[[#This Row],['# people reached by regular dedicated hygiene promotion]],WWWW[[#This Row],['# People received regular supply of hygiene items]])</f>
        <v>60</v>
      </c>
      <c r="BJ13" s="424">
        <f>IF(WWWW[[#This Row],[HRP3]]/WWWW[[#This Row],[Total PoP ]]&gt;100%,100%,WWWW[[#This Row],[HRP3]]/WWWW[[#This Row],[Total PoP ]])</f>
        <v>0.19108280254777071</v>
      </c>
      <c r="BK13" s="423">
        <f>1-WWWW[[#This Row],[Hygiene Coverage%]]</f>
        <v>0.80891719745222934</v>
      </c>
      <c r="BL13" s="422">
        <f>WWWW[[#This Row],['# people reached by regular dedicated hygiene promotion]]/WWWW[[#This Row],[Total PoP ]]</f>
        <v>0.19108280254777071</v>
      </c>
      <c r="BM1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 s="421">
        <f>WWWW[[#This Row],['#_of_affected_women_and_girls_receiving_a_sufficient_quantity_of_sanitary_pads]]</f>
        <v>0</v>
      </c>
      <c r="BO13" s="420">
        <f>IF(WWWW[[#This Row],['# People with access to soap]]&gt;WWWW[[#This Row],['# People with access to Sanity Pads]],WWWW[[#This Row],['# People with access to soap]],WWWW[[#This Row],['# People with access to Sanity Pads]])</f>
        <v>0</v>
      </c>
      <c r="BP13" s="419" t="str">
        <f>IF(OR(WWWW[[#This Row],['#of students in school]]="",WWWW[[#This Row],['#of students in school]]=0),"No","Yes")</f>
        <v>No</v>
      </c>
      <c r="BQ13" s="417" t="str">
        <f>VLOOKUP(WWWW[[#This Row],[Village  Name]],SiteDB6[[Site Name]:[Location Type 1]],9,FALSE)</f>
        <v>Village</v>
      </c>
      <c r="BR13" s="417" t="str">
        <f>VLOOKUP(WWWW[[#This Row],[Village  Name]],SiteDB6[[Site Name]:[Type of Accommodation]],10,FALSE)</f>
        <v>Village</v>
      </c>
      <c r="BS13" s="417" t="str">
        <f>VLOOKUP(WWWW[[#This Row],[Village  Name]],SiteDB6[[Site Name]:[Ethnic or GCA/NGCA]],11,FALSE)</f>
        <v>Rakhine</v>
      </c>
      <c r="BT13" s="417">
        <f>VLOOKUP(WWWW[[#This Row],[Village  Name]],SiteDB6[[Site Name]:[Lat]],12,FALSE)</f>
        <v>20.646560668945298</v>
      </c>
      <c r="BU13" s="417">
        <f>VLOOKUP(WWWW[[#This Row],[Village  Name]],SiteDB6[[Site Name]:[Long]],13,FALSE)</f>
        <v>92.976043701171903</v>
      </c>
      <c r="BV13" s="417">
        <f>VLOOKUP(WWWW[[#This Row],[Village  Name]],SiteDB6[[Site Name]:[Pcode]],3,FALSE)</f>
        <v>196937</v>
      </c>
      <c r="BW13" s="425" t="str">
        <f t="shared" si="0"/>
        <v>Covered</v>
      </c>
      <c r="BX13" s="425"/>
      <c r="BY13" s="33"/>
      <c r="CA13"/>
      <c r="CB13" s="33"/>
      <c r="CC13" s="36"/>
      <c r="CE13" s="37"/>
      <c r="CN13" s="20"/>
    </row>
    <row r="14" spans="1:92" hidden="1">
      <c r="A14" s="412" t="s">
        <v>2380</v>
      </c>
      <c r="B14" s="412" t="s">
        <v>2540</v>
      </c>
      <c r="C14" s="418" t="s">
        <v>371</v>
      </c>
      <c r="D14" s="418" t="s">
        <v>2541</v>
      </c>
      <c r="E14" s="551" t="s">
        <v>2686</v>
      </c>
      <c r="F14" s="418" t="s">
        <v>321</v>
      </c>
      <c r="G14" s="551" t="str">
        <f>VLOOKUP(WWWW[[#This Row],[Village  Name]],SiteDB6[[Site Name]:[Location Type]],8,FALSE)</f>
        <v>Village</v>
      </c>
      <c r="H14" s="418" t="s">
        <v>2550</v>
      </c>
      <c r="I14" s="420">
        <v>95</v>
      </c>
      <c r="J14" s="420">
        <v>570</v>
      </c>
      <c r="K14" s="426">
        <v>43480</v>
      </c>
      <c r="L14" s="427">
        <v>43723</v>
      </c>
      <c r="M14" s="420"/>
      <c r="N14" s="420"/>
      <c r="O14" s="420"/>
      <c r="P14" s="420"/>
      <c r="Q14" s="420"/>
      <c r="R14" s="420"/>
      <c r="S14" s="420"/>
      <c r="T14" s="642"/>
      <c r="U14" s="420"/>
      <c r="V14" s="611" t="s">
        <v>132</v>
      </c>
      <c r="W14" s="420"/>
      <c r="X14" s="420"/>
      <c r="Y14" s="420"/>
      <c r="Z14" s="420"/>
      <c r="AA14" s="420"/>
      <c r="AB14" s="642"/>
      <c r="AC14" s="420">
        <v>67</v>
      </c>
      <c r="AD14" s="420">
        <v>28</v>
      </c>
      <c r="AE14" s="420"/>
      <c r="AF14" s="420"/>
      <c r="AG14" s="420"/>
      <c r="AH14" s="420"/>
      <c r="AI14" s="420"/>
      <c r="AJ14" s="420"/>
      <c r="AK14" s="420"/>
      <c r="AL14" s="420"/>
      <c r="AM14" s="642"/>
      <c r="AN14" s="420"/>
      <c r="AO14" s="420"/>
      <c r="AP1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4" s="419">
        <f>WWWW[[#This Row],[%Equitable and continuous access to sufficient quantity of safe drinking water]]*WWWW[[#This Row],[Total PoP ]]</f>
        <v>0</v>
      </c>
      <c r="AR1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 s="419">
        <f>WWWW[[#This Row],[% Access to unimproved water points]]*WWWW[[#This Row],[Total PoP ]]</f>
        <v>0</v>
      </c>
      <c r="AT1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4" s="419">
        <f>WWWW[[#This Row],[HRP1]]/250</f>
        <v>0</v>
      </c>
      <c r="AW14" s="424">
        <f>1-WWWW[[#This Row],[% Equitable and continuous access to sufficient quantity of domestic water]]</f>
        <v>1</v>
      </c>
      <c r="AX14" s="419">
        <f>WWWW[[#This Row],[%equitable and continuous access to sufficient quantity of safe drinking and domestic water''s GAP]]*WWWW[[#This Row],[Total PoP ]]</f>
        <v>570</v>
      </c>
      <c r="AY14" s="421">
        <f>IF(WWWW[[#This Row],[Total required water points]]-WWWW[[#This Row],['#Water points coverage]]&lt;0,0,WWWW[[#This Row],[Total required water points]]-WWWW[[#This Row],['#Water points coverage]])</f>
        <v>2</v>
      </c>
      <c r="AZ14" s="421">
        <f>ROUND(IF(WWWW[[#This Row],[Total PoP ]]&lt;250,1,WWWW[[#This Row],[Total PoP ]]/250),0)</f>
        <v>2</v>
      </c>
      <c r="BA1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 s="419">
        <f>WWWW[[#This Row],[% people access to functioning Latrine]]*WWWW[[#This Row],[Total PoP ]]</f>
        <v>0</v>
      </c>
      <c r="BC14" s="421">
        <f>WWWW[[#This Row],['#_of_Functioning_latrines_in_school]]*50</f>
        <v>0</v>
      </c>
      <c r="BD14" s="421">
        <f>ROUND((WWWW[[#This Row],[Total PoP ]]/6),0)</f>
        <v>95</v>
      </c>
      <c r="BE14" s="421">
        <f>IF(WWWW[[#This Row],[Total required Latrines]]-(WWWW[[#This Row],['#_of_sanitary_fly-proof_HH_latrines]])&lt;0,0,WWWW[[#This Row],[Total required Latrines]]-(WWWW[[#This Row],['#_of_sanitary_fly-proof_HH_latrines]]))</f>
        <v>95</v>
      </c>
      <c r="BF14" s="72">
        <f>1-WWWW[[#This Row],[% people access to functioning Latrine]]</f>
        <v>1</v>
      </c>
      <c r="BG1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95</v>
      </c>
      <c r="BH14" s="419">
        <f>IF(WWWW[[#This Row],['#_of_functional_handwashing_facilities_at_HH_level]]*6&gt;WWWW[[#This Row],[Total PoP ]],WWWW[[#This Row],[Total PoP ]],WWWW[[#This Row],['#_of_functional_handwashing_facilities_at_HH_level]]*6)</f>
        <v>0</v>
      </c>
      <c r="BI14" s="421">
        <f>IF(WWWW[[#This Row],['# people reached by regular dedicated hygiene promotion]]&gt;WWWW[[#This Row],['# People received regular supply of hygiene items]],WWWW[[#This Row],['# people reached by regular dedicated hygiene promotion]],WWWW[[#This Row],['# People received regular supply of hygiene items]])</f>
        <v>95</v>
      </c>
      <c r="BJ14" s="424">
        <f>IF(WWWW[[#This Row],[HRP3]]/WWWW[[#This Row],[Total PoP ]]&gt;100%,100%,WWWW[[#This Row],[HRP3]]/WWWW[[#This Row],[Total PoP ]])</f>
        <v>0.16666666666666666</v>
      </c>
      <c r="BK14" s="423">
        <f>1-WWWW[[#This Row],[Hygiene Coverage%]]</f>
        <v>0.83333333333333337</v>
      </c>
      <c r="BL14" s="422">
        <f>WWWW[[#This Row],['# people reached by regular dedicated hygiene promotion]]/WWWW[[#This Row],[Total PoP ]]</f>
        <v>0.16666666666666666</v>
      </c>
      <c r="BM1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 s="421">
        <f>WWWW[[#This Row],['#_of_affected_women_and_girls_receiving_a_sufficient_quantity_of_sanitary_pads]]</f>
        <v>0</v>
      </c>
      <c r="BO14" s="420">
        <f>IF(WWWW[[#This Row],['# People with access to soap]]&gt;WWWW[[#This Row],['# People with access to Sanity Pads]],WWWW[[#This Row],['# People with access to soap]],WWWW[[#This Row],['# People with access to Sanity Pads]])</f>
        <v>0</v>
      </c>
      <c r="BP14" s="419" t="str">
        <f>IF(OR(WWWW[[#This Row],['#of students in school]]="",WWWW[[#This Row],['#of students in school]]=0),"No","Yes")</f>
        <v>No</v>
      </c>
      <c r="BQ14" s="417" t="str">
        <f>VLOOKUP(WWWW[[#This Row],[Village  Name]],SiteDB6[[Site Name]:[Location Type 1]],9,FALSE)</f>
        <v>Village</v>
      </c>
      <c r="BR14" s="417" t="str">
        <f>VLOOKUP(WWWW[[#This Row],[Village  Name]],SiteDB6[[Site Name]:[Type of Accommodation]],10,FALSE)</f>
        <v>Village</v>
      </c>
      <c r="BS14" s="417" t="str">
        <f>VLOOKUP(WWWW[[#This Row],[Village  Name]],SiteDB6[[Site Name]:[Ethnic or GCA/NGCA]],11,FALSE)</f>
        <v>Muslim</v>
      </c>
      <c r="BT14" s="417">
        <f>VLOOKUP(WWWW[[#This Row],[Village  Name]],SiteDB6[[Site Name]:[Lat]],12,FALSE)</f>
        <v>0</v>
      </c>
      <c r="BU14" s="417">
        <f>VLOOKUP(WWWW[[#This Row],[Village  Name]],SiteDB6[[Site Name]:[Long]],13,FALSE)</f>
        <v>0</v>
      </c>
      <c r="BV14" s="417">
        <f>VLOOKUP(WWWW[[#This Row],[Village  Name]],SiteDB6[[Site Name]:[Pcode]],3,FALSE)</f>
        <v>198427</v>
      </c>
      <c r="BW14" s="425" t="str">
        <f t="shared" si="0"/>
        <v>Covered</v>
      </c>
      <c r="BX14" s="425"/>
      <c r="BY14" s="33"/>
      <c r="CA14"/>
      <c r="CB14" s="33"/>
      <c r="CC14" s="36"/>
      <c r="CE14" s="37"/>
      <c r="CN14" s="20"/>
    </row>
    <row r="15" spans="1:92" hidden="1">
      <c r="A15" s="412" t="s">
        <v>2380</v>
      </c>
      <c r="B15" s="412" t="s">
        <v>2540</v>
      </c>
      <c r="C15" s="418" t="s">
        <v>371</v>
      </c>
      <c r="D15" s="418" t="s">
        <v>2541</v>
      </c>
      <c r="E15" s="551" t="s">
        <v>2686</v>
      </c>
      <c r="F15" s="418" t="s">
        <v>321</v>
      </c>
      <c r="G15" s="551" t="str">
        <f>VLOOKUP(WWWW[[#This Row],[Village  Name]],SiteDB6[[Site Name]:[Location Type]],8,FALSE)</f>
        <v>Village</v>
      </c>
      <c r="H15" s="418" t="s">
        <v>2549</v>
      </c>
      <c r="I15" s="420">
        <v>8</v>
      </c>
      <c r="J15" s="420">
        <v>42</v>
      </c>
      <c r="K15" s="426">
        <v>43480</v>
      </c>
      <c r="L15" s="427">
        <v>43723</v>
      </c>
      <c r="M15" s="420"/>
      <c r="N15" s="420"/>
      <c r="O15" s="420"/>
      <c r="P15" s="420"/>
      <c r="Q15" s="420"/>
      <c r="R15" s="420"/>
      <c r="S15" s="420"/>
      <c r="T15" s="642"/>
      <c r="U15" s="420"/>
      <c r="V15" s="611" t="s">
        <v>132</v>
      </c>
      <c r="W15" s="420"/>
      <c r="X15" s="420"/>
      <c r="Y15" s="420"/>
      <c r="Z15" s="420"/>
      <c r="AA15" s="420"/>
      <c r="AB15" s="642"/>
      <c r="AC15" s="420">
        <v>2</v>
      </c>
      <c r="AD15" s="420">
        <v>6</v>
      </c>
      <c r="AE15" s="420"/>
      <c r="AF15" s="420"/>
      <c r="AG15" s="420"/>
      <c r="AH15" s="420"/>
      <c r="AI15" s="420"/>
      <c r="AJ15" s="420"/>
      <c r="AK15" s="420"/>
      <c r="AL15" s="420"/>
      <c r="AM15" s="642"/>
      <c r="AN15" s="420"/>
      <c r="AO15" s="420"/>
      <c r="AP1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5" s="419">
        <f>WWWW[[#This Row],[%Equitable and continuous access to sufficient quantity of safe drinking water]]*WWWW[[#This Row],[Total PoP ]]</f>
        <v>0</v>
      </c>
      <c r="AR1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 s="419">
        <f>WWWW[[#This Row],[% Access to unimproved water points]]*WWWW[[#This Row],[Total PoP ]]</f>
        <v>0</v>
      </c>
      <c r="AT1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5" s="419">
        <f>WWWW[[#This Row],[HRP1]]/250</f>
        <v>0</v>
      </c>
      <c r="AW15" s="424">
        <f>1-WWWW[[#This Row],[% Equitable and continuous access to sufficient quantity of domestic water]]</f>
        <v>1</v>
      </c>
      <c r="AX15" s="419">
        <f>WWWW[[#This Row],[%equitable and continuous access to sufficient quantity of safe drinking and domestic water''s GAP]]*WWWW[[#This Row],[Total PoP ]]</f>
        <v>42</v>
      </c>
      <c r="AY15" s="421">
        <f>IF(WWWW[[#This Row],[Total required water points]]-WWWW[[#This Row],['#Water points coverage]]&lt;0,0,WWWW[[#This Row],[Total required water points]]-WWWW[[#This Row],['#Water points coverage]])</f>
        <v>1</v>
      </c>
      <c r="AZ15" s="421">
        <f>ROUND(IF(WWWW[[#This Row],[Total PoP ]]&lt;250,1,WWWW[[#This Row],[Total PoP ]]/250),0)</f>
        <v>1</v>
      </c>
      <c r="BA1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 s="419">
        <f>WWWW[[#This Row],[% people access to functioning Latrine]]*WWWW[[#This Row],[Total PoP ]]</f>
        <v>0</v>
      </c>
      <c r="BC15" s="421">
        <f>WWWW[[#This Row],['#_of_Functioning_latrines_in_school]]*50</f>
        <v>0</v>
      </c>
      <c r="BD15" s="421">
        <f>ROUND((WWWW[[#This Row],[Total PoP ]]/6),0)</f>
        <v>7</v>
      </c>
      <c r="BE15" s="421">
        <f>IF(WWWW[[#This Row],[Total required Latrines]]-(WWWW[[#This Row],['#_of_sanitary_fly-proof_HH_latrines]])&lt;0,0,WWWW[[#This Row],[Total required Latrines]]-(WWWW[[#This Row],['#_of_sanitary_fly-proof_HH_latrines]]))</f>
        <v>7</v>
      </c>
      <c r="BF15" s="72">
        <f>1-WWWW[[#This Row],[% people access to functioning Latrine]]</f>
        <v>1</v>
      </c>
      <c r="BG1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v>
      </c>
      <c r="BH15" s="419">
        <f>IF(WWWW[[#This Row],['#_of_functional_handwashing_facilities_at_HH_level]]*6&gt;WWWW[[#This Row],[Total PoP ]],WWWW[[#This Row],[Total PoP ]],WWWW[[#This Row],['#_of_functional_handwashing_facilities_at_HH_level]]*6)</f>
        <v>0</v>
      </c>
      <c r="BI15" s="421">
        <f>IF(WWWW[[#This Row],['# people reached by regular dedicated hygiene promotion]]&gt;WWWW[[#This Row],['# People received regular supply of hygiene items]],WWWW[[#This Row],['# people reached by regular dedicated hygiene promotion]],WWWW[[#This Row],['# People received regular supply of hygiene items]])</f>
        <v>8</v>
      </c>
      <c r="BJ15" s="424">
        <f>IF(WWWW[[#This Row],[HRP3]]/WWWW[[#This Row],[Total PoP ]]&gt;100%,100%,WWWW[[#This Row],[HRP3]]/WWWW[[#This Row],[Total PoP ]])</f>
        <v>0.19047619047619047</v>
      </c>
      <c r="BK15" s="423">
        <f>1-WWWW[[#This Row],[Hygiene Coverage%]]</f>
        <v>0.80952380952380953</v>
      </c>
      <c r="BL15" s="422">
        <f>WWWW[[#This Row],['# people reached by regular dedicated hygiene promotion]]/WWWW[[#This Row],[Total PoP ]]</f>
        <v>0.19047619047619047</v>
      </c>
      <c r="BM1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 s="421">
        <f>WWWW[[#This Row],['#_of_affected_women_and_girls_receiving_a_sufficient_quantity_of_sanitary_pads]]</f>
        <v>0</v>
      </c>
      <c r="BO15" s="420">
        <f>IF(WWWW[[#This Row],['# People with access to soap]]&gt;WWWW[[#This Row],['# People with access to Sanity Pads]],WWWW[[#This Row],['# People with access to soap]],WWWW[[#This Row],['# People with access to Sanity Pads]])</f>
        <v>0</v>
      </c>
      <c r="BP15" s="419" t="str">
        <f>IF(OR(WWWW[[#This Row],['#of students in school]]="",WWWW[[#This Row],['#of students in school]]=0),"No","Yes")</f>
        <v>No</v>
      </c>
      <c r="BQ15" s="417" t="str">
        <f>VLOOKUP(WWWW[[#This Row],[Village  Name]],SiteDB6[[Site Name]:[Location Type 1]],9,FALSE)</f>
        <v>Village</v>
      </c>
      <c r="BR15" s="417" t="str">
        <f>VLOOKUP(WWWW[[#This Row],[Village  Name]],SiteDB6[[Site Name]:[Type of Accommodation]],10,FALSE)</f>
        <v>Village</v>
      </c>
      <c r="BS15" s="417" t="str">
        <f>VLOOKUP(WWWW[[#This Row],[Village  Name]],SiteDB6[[Site Name]:[Ethnic or GCA/NGCA]],11,FALSE)</f>
        <v>Rakhine</v>
      </c>
      <c r="BT15" s="417">
        <f>VLOOKUP(WWWW[[#This Row],[Village  Name]],SiteDB6[[Site Name]:[Lat]],12,FALSE)</f>
        <v>0</v>
      </c>
      <c r="BU15" s="417">
        <f>VLOOKUP(WWWW[[#This Row],[Village  Name]],SiteDB6[[Site Name]:[Long]],13,FALSE)</f>
        <v>0</v>
      </c>
      <c r="BV15" s="417">
        <f>VLOOKUP(WWWW[[#This Row],[Village  Name]],SiteDB6[[Site Name]:[Pcode]],3,FALSE)</f>
        <v>198426</v>
      </c>
      <c r="BW15" s="425" t="str">
        <f t="shared" si="0"/>
        <v>Covered</v>
      </c>
      <c r="BX15" s="425"/>
      <c r="BY15" s="33"/>
      <c r="CA15"/>
      <c r="CB15" s="33"/>
      <c r="CC15" s="36"/>
      <c r="CE15" s="37"/>
      <c r="CN15" s="20"/>
    </row>
    <row r="16" spans="1:92" hidden="1">
      <c r="A16" s="412" t="s">
        <v>2380</v>
      </c>
      <c r="B16" s="412" t="s">
        <v>2540</v>
      </c>
      <c r="C16" s="418" t="s">
        <v>371</v>
      </c>
      <c r="D16" s="418" t="s">
        <v>2541</v>
      </c>
      <c r="E16" s="551" t="s">
        <v>2686</v>
      </c>
      <c r="F16" s="418" t="s">
        <v>321</v>
      </c>
      <c r="G16" s="551" t="str">
        <f>VLOOKUP(WWWW[[#This Row],[Village  Name]],SiteDB6[[Site Name]:[Location Type]],8,FALSE)</f>
        <v>Village</v>
      </c>
      <c r="H16" s="418" t="s">
        <v>649</v>
      </c>
      <c r="I16" s="420">
        <v>96</v>
      </c>
      <c r="J16" s="420">
        <v>533</v>
      </c>
      <c r="K16" s="426">
        <v>43480</v>
      </c>
      <c r="L16" s="427">
        <v>43723</v>
      </c>
      <c r="M16" s="420"/>
      <c r="N16" s="420"/>
      <c r="O16" s="420"/>
      <c r="P16" s="420"/>
      <c r="Q16" s="420"/>
      <c r="R16" s="420"/>
      <c r="S16" s="420"/>
      <c r="T16" s="642"/>
      <c r="U16" s="420"/>
      <c r="V16" s="611" t="s">
        <v>132</v>
      </c>
      <c r="W16" s="420"/>
      <c r="X16" s="420"/>
      <c r="Y16" s="420"/>
      <c r="Z16" s="420"/>
      <c r="AA16" s="420"/>
      <c r="AB16" s="642"/>
      <c r="AC16" s="420">
        <v>79</v>
      </c>
      <c r="AD16" s="420">
        <v>18</v>
      </c>
      <c r="AE16" s="420"/>
      <c r="AF16" s="420"/>
      <c r="AG16" s="420"/>
      <c r="AH16" s="420"/>
      <c r="AI16" s="420"/>
      <c r="AJ16" s="420"/>
      <c r="AK16" s="420"/>
      <c r="AL16" s="420"/>
      <c r="AM16" s="642"/>
      <c r="AN16" s="420"/>
      <c r="AO16" s="420"/>
      <c r="AP1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 s="419">
        <f>WWWW[[#This Row],[%Equitable and continuous access to sufficient quantity of safe drinking water]]*WWWW[[#This Row],[Total PoP ]]</f>
        <v>0</v>
      </c>
      <c r="AR1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 s="419">
        <f>WWWW[[#This Row],[% Access to unimproved water points]]*WWWW[[#This Row],[Total PoP ]]</f>
        <v>0</v>
      </c>
      <c r="AT1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 s="419">
        <f>WWWW[[#This Row],[HRP1]]/250</f>
        <v>0</v>
      </c>
      <c r="AW16" s="424">
        <f>1-WWWW[[#This Row],[% Equitable and continuous access to sufficient quantity of domestic water]]</f>
        <v>1</v>
      </c>
      <c r="AX16" s="419">
        <f>WWWW[[#This Row],[%equitable and continuous access to sufficient quantity of safe drinking and domestic water''s GAP]]*WWWW[[#This Row],[Total PoP ]]</f>
        <v>533</v>
      </c>
      <c r="AY16" s="421">
        <f>IF(WWWW[[#This Row],[Total required water points]]-WWWW[[#This Row],['#Water points coverage]]&lt;0,0,WWWW[[#This Row],[Total required water points]]-WWWW[[#This Row],['#Water points coverage]])</f>
        <v>2</v>
      </c>
      <c r="AZ16" s="421">
        <f>ROUND(IF(WWWW[[#This Row],[Total PoP ]]&lt;250,1,WWWW[[#This Row],[Total PoP ]]/250),0)</f>
        <v>2</v>
      </c>
      <c r="BA1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 s="419">
        <f>WWWW[[#This Row],[% people access to functioning Latrine]]*WWWW[[#This Row],[Total PoP ]]</f>
        <v>0</v>
      </c>
      <c r="BC16" s="421">
        <f>WWWW[[#This Row],['#_of_Functioning_latrines_in_school]]*50</f>
        <v>0</v>
      </c>
      <c r="BD16" s="421">
        <f>ROUND((WWWW[[#This Row],[Total PoP ]]/6),0)</f>
        <v>89</v>
      </c>
      <c r="BE16" s="421">
        <f>IF(WWWW[[#This Row],[Total required Latrines]]-(WWWW[[#This Row],['#_of_sanitary_fly-proof_HH_latrines]])&lt;0,0,WWWW[[#This Row],[Total required Latrines]]-(WWWW[[#This Row],['#_of_sanitary_fly-proof_HH_latrines]]))</f>
        <v>89</v>
      </c>
      <c r="BF16" s="72">
        <f>1-WWWW[[#This Row],[% people access to functioning Latrine]]</f>
        <v>1</v>
      </c>
      <c r="BG1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97</v>
      </c>
      <c r="BH16" s="419">
        <f>IF(WWWW[[#This Row],['#_of_functional_handwashing_facilities_at_HH_level]]*6&gt;WWWW[[#This Row],[Total PoP ]],WWWW[[#This Row],[Total PoP ]],WWWW[[#This Row],['#_of_functional_handwashing_facilities_at_HH_level]]*6)</f>
        <v>0</v>
      </c>
      <c r="BI16" s="421">
        <f>IF(WWWW[[#This Row],['# people reached by regular dedicated hygiene promotion]]&gt;WWWW[[#This Row],['# People received regular supply of hygiene items]],WWWW[[#This Row],['# people reached by regular dedicated hygiene promotion]],WWWW[[#This Row],['# People received regular supply of hygiene items]])</f>
        <v>97</v>
      </c>
      <c r="BJ16" s="424">
        <f>IF(WWWW[[#This Row],[HRP3]]/WWWW[[#This Row],[Total PoP ]]&gt;100%,100%,WWWW[[#This Row],[HRP3]]/WWWW[[#This Row],[Total PoP ]])</f>
        <v>0.18198874296435272</v>
      </c>
      <c r="BK16" s="423">
        <f>1-WWWW[[#This Row],[Hygiene Coverage%]]</f>
        <v>0.81801125703564725</v>
      </c>
      <c r="BL16" s="422">
        <f>WWWW[[#This Row],['# people reached by regular dedicated hygiene promotion]]/WWWW[[#This Row],[Total PoP ]]</f>
        <v>0.18198874296435272</v>
      </c>
      <c r="BM1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 s="421">
        <f>WWWW[[#This Row],['#_of_affected_women_and_girls_receiving_a_sufficient_quantity_of_sanitary_pads]]</f>
        <v>0</v>
      </c>
      <c r="BO16" s="420">
        <f>IF(WWWW[[#This Row],['# People with access to soap]]&gt;WWWW[[#This Row],['# People with access to Sanity Pads]],WWWW[[#This Row],['# People with access to soap]],WWWW[[#This Row],['# People with access to Sanity Pads]])</f>
        <v>0</v>
      </c>
      <c r="BP16" s="419" t="str">
        <f>IF(OR(WWWW[[#This Row],['#of students in school]]="",WWWW[[#This Row],['#of students in school]]=0),"No","Yes")</f>
        <v>No</v>
      </c>
      <c r="BQ16" s="417" t="str">
        <f>VLOOKUP(WWWW[[#This Row],[Village  Name]],SiteDB6[[Site Name]:[Location Type 1]],9,FALSE)</f>
        <v>Village</v>
      </c>
      <c r="BR16" s="417" t="str">
        <f>VLOOKUP(WWWW[[#This Row],[Village  Name]],SiteDB6[[Site Name]:[Type of Accommodation]],10,FALSE)</f>
        <v>Village</v>
      </c>
      <c r="BS16" s="417" t="str">
        <f>VLOOKUP(WWWW[[#This Row],[Village  Name]],SiteDB6[[Site Name]:[Ethnic or GCA/NGCA]],11,FALSE)</f>
        <v>Muslim</v>
      </c>
      <c r="BT16" s="417">
        <f>VLOOKUP(WWWW[[#This Row],[Village  Name]],SiteDB6[[Site Name]:[Lat]],12,FALSE)</f>
        <v>0</v>
      </c>
      <c r="BU16" s="417">
        <f>VLOOKUP(WWWW[[#This Row],[Village  Name]],SiteDB6[[Site Name]:[Long]],13,FALSE)</f>
        <v>0</v>
      </c>
      <c r="BV16" s="417">
        <f>VLOOKUP(WWWW[[#This Row],[Village  Name]],SiteDB6[[Site Name]:[Pcode]],3,FALSE)</f>
        <v>198435</v>
      </c>
      <c r="BW16" s="425" t="str">
        <f t="shared" si="0"/>
        <v>Covered</v>
      </c>
      <c r="BX16" s="425"/>
      <c r="BY16" s="33"/>
      <c r="CA16"/>
      <c r="CB16" s="33"/>
      <c r="CC16" s="36"/>
      <c r="CE16" s="37"/>
      <c r="CN16" s="20"/>
    </row>
    <row r="17" spans="1:92" hidden="1">
      <c r="A17" s="412" t="s">
        <v>2380</v>
      </c>
      <c r="B17" s="412" t="s">
        <v>2540</v>
      </c>
      <c r="C17" s="418" t="s">
        <v>371</v>
      </c>
      <c r="D17" s="418" t="s">
        <v>2541</v>
      </c>
      <c r="E17" s="551" t="s">
        <v>2686</v>
      </c>
      <c r="F17" s="418" t="s">
        <v>321</v>
      </c>
      <c r="G17" s="551" t="str">
        <f>VLOOKUP(WWWW[[#This Row],[Village  Name]],SiteDB6[[Site Name]:[Location Type]],8,FALSE)</f>
        <v>Village</v>
      </c>
      <c r="H17" s="418" t="s">
        <v>2551</v>
      </c>
      <c r="I17" s="420">
        <v>217</v>
      </c>
      <c r="J17" s="420">
        <v>1155</v>
      </c>
      <c r="K17" s="426">
        <v>43480</v>
      </c>
      <c r="L17" s="427">
        <v>43723</v>
      </c>
      <c r="M17" s="420"/>
      <c r="N17" s="420"/>
      <c r="O17" s="420"/>
      <c r="P17" s="420"/>
      <c r="Q17" s="420"/>
      <c r="R17" s="420"/>
      <c r="S17" s="420"/>
      <c r="T17" s="642"/>
      <c r="U17" s="420"/>
      <c r="V17" s="611" t="s">
        <v>132</v>
      </c>
      <c r="W17" s="420"/>
      <c r="X17" s="420"/>
      <c r="Y17" s="420"/>
      <c r="Z17" s="420"/>
      <c r="AA17" s="420"/>
      <c r="AB17" s="642"/>
      <c r="AC17" s="420">
        <v>174</v>
      </c>
      <c r="AD17" s="420">
        <v>43</v>
      </c>
      <c r="AE17" s="420"/>
      <c r="AF17" s="420"/>
      <c r="AG17" s="420"/>
      <c r="AH17" s="420"/>
      <c r="AI17" s="420"/>
      <c r="AJ17" s="420"/>
      <c r="AK17" s="420"/>
      <c r="AL17" s="420"/>
      <c r="AM17" s="642"/>
      <c r="AN17" s="420"/>
      <c r="AO17" s="420"/>
      <c r="AP1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 s="419">
        <f>WWWW[[#This Row],[%Equitable and continuous access to sufficient quantity of safe drinking water]]*WWWW[[#This Row],[Total PoP ]]</f>
        <v>0</v>
      </c>
      <c r="AR1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 s="419">
        <f>WWWW[[#This Row],[% Access to unimproved water points]]*WWWW[[#This Row],[Total PoP ]]</f>
        <v>0</v>
      </c>
      <c r="AT1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 s="419">
        <f>WWWW[[#This Row],[HRP1]]/250</f>
        <v>0</v>
      </c>
      <c r="AW17" s="424">
        <f>1-WWWW[[#This Row],[% Equitable and continuous access to sufficient quantity of domestic water]]</f>
        <v>1</v>
      </c>
      <c r="AX17" s="419">
        <f>WWWW[[#This Row],[%equitable and continuous access to sufficient quantity of safe drinking and domestic water''s GAP]]*WWWW[[#This Row],[Total PoP ]]</f>
        <v>1155</v>
      </c>
      <c r="AY17" s="421">
        <f>IF(WWWW[[#This Row],[Total required water points]]-WWWW[[#This Row],['#Water points coverage]]&lt;0,0,WWWW[[#This Row],[Total required water points]]-WWWW[[#This Row],['#Water points coverage]])</f>
        <v>5</v>
      </c>
      <c r="AZ17" s="421">
        <f>ROUND(IF(WWWW[[#This Row],[Total PoP ]]&lt;250,1,WWWW[[#This Row],[Total PoP ]]/250),0)</f>
        <v>5</v>
      </c>
      <c r="BA1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 s="419">
        <f>WWWW[[#This Row],[% people access to functioning Latrine]]*WWWW[[#This Row],[Total PoP ]]</f>
        <v>0</v>
      </c>
      <c r="BC17" s="421">
        <f>WWWW[[#This Row],['#_of_Functioning_latrines_in_school]]*50</f>
        <v>0</v>
      </c>
      <c r="BD17" s="421">
        <f>ROUND((WWWW[[#This Row],[Total PoP ]]/6),0)</f>
        <v>193</v>
      </c>
      <c r="BE17" s="421">
        <f>IF(WWWW[[#This Row],[Total required Latrines]]-(WWWW[[#This Row],['#_of_sanitary_fly-proof_HH_latrines]])&lt;0,0,WWWW[[#This Row],[Total required Latrines]]-(WWWW[[#This Row],['#_of_sanitary_fly-proof_HH_latrines]]))</f>
        <v>193</v>
      </c>
      <c r="BF17" s="72">
        <f>1-WWWW[[#This Row],[% people access to functioning Latrine]]</f>
        <v>1</v>
      </c>
      <c r="BG1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H17" s="419">
        <f>IF(WWWW[[#This Row],['#_of_functional_handwashing_facilities_at_HH_level]]*6&gt;WWWW[[#This Row],[Total PoP ]],WWWW[[#This Row],[Total PoP ]],WWWW[[#This Row],['#_of_functional_handwashing_facilities_at_HH_level]]*6)</f>
        <v>0</v>
      </c>
      <c r="BI17" s="421">
        <f>IF(WWWW[[#This Row],['# people reached by regular dedicated hygiene promotion]]&gt;WWWW[[#This Row],['# People received regular supply of hygiene items]],WWWW[[#This Row],['# people reached by regular dedicated hygiene promotion]],WWWW[[#This Row],['# People received regular supply of hygiene items]])</f>
        <v>217</v>
      </c>
      <c r="BJ17" s="424">
        <f>IF(WWWW[[#This Row],[HRP3]]/WWWW[[#This Row],[Total PoP ]]&gt;100%,100%,WWWW[[#This Row],[HRP3]]/WWWW[[#This Row],[Total PoP ]])</f>
        <v>0.18787878787878787</v>
      </c>
      <c r="BK17" s="423">
        <f>1-WWWW[[#This Row],[Hygiene Coverage%]]</f>
        <v>0.81212121212121213</v>
      </c>
      <c r="BL17" s="422">
        <f>WWWW[[#This Row],['# people reached by regular dedicated hygiene promotion]]/WWWW[[#This Row],[Total PoP ]]</f>
        <v>0.18787878787878787</v>
      </c>
      <c r="BM1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 s="421">
        <f>WWWW[[#This Row],['#_of_affected_women_and_girls_receiving_a_sufficient_quantity_of_sanitary_pads]]</f>
        <v>0</v>
      </c>
      <c r="BO17" s="420">
        <f>IF(WWWW[[#This Row],['# People with access to soap]]&gt;WWWW[[#This Row],['# People with access to Sanity Pads]],WWWW[[#This Row],['# People with access to soap]],WWWW[[#This Row],['# People with access to Sanity Pads]])</f>
        <v>0</v>
      </c>
      <c r="BP17" s="419" t="str">
        <f>IF(OR(WWWW[[#This Row],['#of students in school]]="",WWWW[[#This Row],['#of students in school]]=0),"No","Yes")</f>
        <v>No</v>
      </c>
      <c r="BQ17" s="417" t="str">
        <f>VLOOKUP(WWWW[[#This Row],[Village  Name]],SiteDB6[[Site Name]:[Location Type 1]],9,FALSE)</f>
        <v>Village</v>
      </c>
      <c r="BR17" s="417" t="str">
        <f>VLOOKUP(WWWW[[#This Row],[Village  Name]],SiteDB6[[Site Name]:[Type of Accommodation]],10,FALSE)</f>
        <v>Village</v>
      </c>
      <c r="BS17" s="417" t="str">
        <f>VLOOKUP(WWWW[[#This Row],[Village  Name]],SiteDB6[[Site Name]:[Ethnic or GCA/NGCA]],11,FALSE)</f>
        <v>Muslim</v>
      </c>
      <c r="BT17" s="417">
        <f>VLOOKUP(WWWW[[#This Row],[Village  Name]],SiteDB6[[Site Name]:[Lat]],12,FALSE)</f>
        <v>20.703790659999999</v>
      </c>
      <c r="BU17" s="417">
        <f>VLOOKUP(WWWW[[#This Row],[Village  Name]],SiteDB6[[Site Name]:[Long]],13,FALSE)</f>
        <v>92.628463749999995</v>
      </c>
      <c r="BV17" s="417">
        <f>VLOOKUP(WWWW[[#This Row],[Village  Name]],SiteDB6[[Site Name]:[Pcode]],3,FALSE)</f>
        <v>198431</v>
      </c>
      <c r="BW17" s="425" t="str">
        <f t="shared" si="0"/>
        <v>Covered</v>
      </c>
      <c r="BX17" s="425"/>
      <c r="BY17" s="33"/>
      <c r="CA17"/>
      <c r="CB17" s="33"/>
      <c r="CC17" s="36"/>
      <c r="CE17" s="37"/>
      <c r="CN17" s="20"/>
    </row>
    <row r="18" spans="1:92" hidden="1">
      <c r="A18" s="412" t="s">
        <v>2380</v>
      </c>
      <c r="B18" s="412" t="s">
        <v>2540</v>
      </c>
      <c r="C18" s="418" t="s">
        <v>371</v>
      </c>
      <c r="D18" s="418" t="s">
        <v>2541</v>
      </c>
      <c r="E18" s="551" t="s">
        <v>2686</v>
      </c>
      <c r="F18" s="418" t="s">
        <v>321</v>
      </c>
      <c r="G18" s="551" t="str">
        <f>VLOOKUP(WWWW[[#This Row],[Village  Name]],SiteDB6[[Site Name]:[Location Type]],8,FALSE)</f>
        <v>Village</v>
      </c>
      <c r="H18" s="418" t="s">
        <v>2552</v>
      </c>
      <c r="I18" s="420">
        <v>129</v>
      </c>
      <c r="J18" s="420">
        <v>664</v>
      </c>
      <c r="K18" s="426">
        <v>43480</v>
      </c>
      <c r="L18" s="427">
        <v>43723</v>
      </c>
      <c r="M18" s="420"/>
      <c r="N18" s="420"/>
      <c r="O18" s="420"/>
      <c r="P18" s="420"/>
      <c r="Q18" s="420"/>
      <c r="R18" s="420"/>
      <c r="S18" s="420"/>
      <c r="T18" s="642"/>
      <c r="U18" s="420"/>
      <c r="V18" s="611" t="s">
        <v>132</v>
      </c>
      <c r="W18" s="420"/>
      <c r="X18" s="420"/>
      <c r="Y18" s="420"/>
      <c r="Z18" s="420"/>
      <c r="AA18" s="420"/>
      <c r="AB18" s="642"/>
      <c r="AC18" s="420">
        <v>127</v>
      </c>
      <c r="AD18" s="420">
        <v>33</v>
      </c>
      <c r="AE18" s="420"/>
      <c r="AF18" s="420"/>
      <c r="AG18" s="420"/>
      <c r="AH18" s="420"/>
      <c r="AI18" s="420"/>
      <c r="AJ18" s="420"/>
      <c r="AK18" s="420"/>
      <c r="AL18" s="420"/>
      <c r="AM18" s="642"/>
      <c r="AN18" s="420"/>
      <c r="AO18" s="420"/>
      <c r="AP1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8" s="419">
        <f>WWWW[[#This Row],[%Equitable and continuous access to sufficient quantity of safe drinking water]]*WWWW[[#This Row],[Total PoP ]]</f>
        <v>0</v>
      </c>
      <c r="AR1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8" s="419">
        <f>WWWW[[#This Row],[% Access to unimproved water points]]*WWWW[[#This Row],[Total PoP ]]</f>
        <v>0</v>
      </c>
      <c r="AT1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8" s="419">
        <f>WWWW[[#This Row],[HRP1]]/250</f>
        <v>0</v>
      </c>
      <c r="AW18" s="424">
        <f>1-WWWW[[#This Row],[% Equitable and continuous access to sufficient quantity of domestic water]]</f>
        <v>1</v>
      </c>
      <c r="AX18" s="419">
        <f>WWWW[[#This Row],[%equitable and continuous access to sufficient quantity of safe drinking and domestic water''s GAP]]*WWWW[[#This Row],[Total PoP ]]</f>
        <v>664</v>
      </c>
      <c r="AY18" s="421">
        <f>IF(WWWW[[#This Row],[Total required water points]]-WWWW[[#This Row],['#Water points coverage]]&lt;0,0,WWWW[[#This Row],[Total required water points]]-WWWW[[#This Row],['#Water points coverage]])</f>
        <v>3</v>
      </c>
      <c r="AZ18" s="421">
        <f>ROUND(IF(WWWW[[#This Row],[Total PoP ]]&lt;250,1,WWWW[[#This Row],[Total PoP ]]/250),0)</f>
        <v>3</v>
      </c>
      <c r="BA1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8" s="419">
        <f>WWWW[[#This Row],[% people access to functioning Latrine]]*WWWW[[#This Row],[Total PoP ]]</f>
        <v>0</v>
      </c>
      <c r="BC18" s="421">
        <f>WWWW[[#This Row],['#_of_Functioning_latrines_in_school]]*50</f>
        <v>0</v>
      </c>
      <c r="BD18" s="421">
        <f>ROUND((WWWW[[#This Row],[Total PoP ]]/6),0)</f>
        <v>111</v>
      </c>
      <c r="BE18" s="421">
        <f>IF(WWWW[[#This Row],[Total required Latrines]]-(WWWW[[#This Row],['#_of_sanitary_fly-proof_HH_latrines]])&lt;0,0,WWWW[[#This Row],[Total required Latrines]]-(WWWW[[#This Row],['#_of_sanitary_fly-proof_HH_latrines]]))</f>
        <v>111</v>
      </c>
      <c r="BF18" s="72">
        <f>1-WWWW[[#This Row],[% people access to functioning Latrine]]</f>
        <v>1</v>
      </c>
      <c r="BG1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160</v>
      </c>
      <c r="BH18" s="419">
        <f>IF(WWWW[[#This Row],['#_of_functional_handwashing_facilities_at_HH_level]]*6&gt;WWWW[[#This Row],[Total PoP ]],WWWW[[#This Row],[Total PoP ]],WWWW[[#This Row],['#_of_functional_handwashing_facilities_at_HH_level]]*6)</f>
        <v>0</v>
      </c>
      <c r="BI18" s="421">
        <f>IF(WWWW[[#This Row],['# people reached by regular dedicated hygiene promotion]]&gt;WWWW[[#This Row],['# People received regular supply of hygiene items]],WWWW[[#This Row],['# people reached by regular dedicated hygiene promotion]],WWWW[[#This Row],['# People received regular supply of hygiene items]])</f>
        <v>160</v>
      </c>
      <c r="BJ18" s="424">
        <f>IF(WWWW[[#This Row],[HRP3]]/WWWW[[#This Row],[Total PoP ]]&gt;100%,100%,WWWW[[#This Row],[HRP3]]/WWWW[[#This Row],[Total PoP ]])</f>
        <v>0.24096385542168675</v>
      </c>
      <c r="BK18" s="423">
        <f>1-WWWW[[#This Row],[Hygiene Coverage%]]</f>
        <v>0.75903614457831325</v>
      </c>
      <c r="BL18" s="422">
        <f>WWWW[[#This Row],['# people reached by regular dedicated hygiene promotion]]/WWWW[[#This Row],[Total PoP ]]</f>
        <v>0.24096385542168675</v>
      </c>
      <c r="BM1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 s="421">
        <f>WWWW[[#This Row],['#_of_affected_women_and_girls_receiving_a_sufficient_quantity_of_sanitary_pads]]</f>
        <v>0</v>
      </c>
      <c r="BO18" s="420">
        <f>IF(WWWW[[#This Row],['# People with access to soap]]&gt;WWWW[[#This Row],['# People with access to Sanity Pads]],WWWW[[#This Row],['# People with access to soap]],WWWW[[#This Row],['# People with access to Sanity Pads]])</f>
        <v>0</v>
      </c>
      <c r="BP18" s="419" t="str">
        <f>IF(OR(WWWW[[#This Row],['#of students in school]]="",WWWW[[#This Row],['#of students in school]]=0),"No","Yes")</f>
        <v>No</v>
      </c>
      <c r="BQ18" s="417" t="str">
        <f>VLOOKUP(WWWW[[#This Row],[Village  Name]],SiteDB6[[Site Name]:[Location Type 1]],9,FALSE)</f>
        <v>Village</v>
      </c>
      <c r="BR18" s="417" t="str">
        <f>VLOOKUP(WWWW[[#This Row],[Village  Name]],SiteDB6[[Site Name]:[Type of Accommodation]],10,FALSE)</f>
        <v>Village</v>
      </c>
      <c r="BS18" s="417" t="str">
        <f>VLOOKUP(WWWW[[#This Row],[Village  Name]],SiteDB6[[Site Name]:[Ethnic or GCA/NGCA]],11,FALSE)</f>
        <v>Rakhine</v>
      </c>
      <c r="BT18" s="417">
        <f>VLOOKUP(WWWW[[#This Row],[Village  Name]],SiteDB6[[Site Name]:[Lat]],12,FALSE)</f>
        <v>20.703920360000001</v>
      </c>
      <c r="BU18" s="417">
        <f>VLOOKUP(WWWW[[#This Row],[Village  Name]],SiteDB6[[Site Name]:[Long]],13,FALSE)</f>
        <v>92.631500239999994</v>
      </c>
      <c r="BV18" s="417">
        <f>VLOOKUP(WWWW[[#This Row],[Village  Name]],SiteDB6[[Site Name]:[Pcode]],3,FALSE)</f>
        <v>198428</v>
      </c>
      <c r="BW18" s="425" t="str">
        <f t="shared" si="0"/>
        <v>Covered</v>
      </c>
      <c r="BX18" s="425"/>
      <c r="BY18" s="33"/>
      <c r="CA18"/>
      <c r="CB18" s="33"/>
      <c r="CC18" s="36"/>
      <c r="CE18" s="37"/>
      <c r="CN18" s="20"/>
    </row>
    <row r="19" spans="1:92" hidden="1">
      <c r="A19" s="412" t="s">
        <v>2380</v>
      </c>
      <c r="B19" s="412" t="s">
        <v>2540</v>
      </c>
      <c r="C19" s="418" t="s">
        <v>371</v>
      </c>
      <c r="D19" s="418" t="s">
        <v>2541</v>
      </c>
      <c r="E19" s="551" t="s">
        <v>2686</v>
      </c>
      <c r="F19" s="418" t="s">
        <v>321</v>
      </c>
      <c r="G19" s="551" t="str">
        <f>VLOOKUP(WWWW[[#This Row],[Village  Name]],SiteDB6[[Site Name]:[Location Type]],8,FALSE)</f>
        <v>Village</v>
      </c>
      <c r="H19" s="418" t="s">
        <v>2542</v>
      </c>
      <c r="I19" s="420">
        <v>171</v>
      </c>
      <c r="J19" s="420">
        <v>908</v>
      </c>
      <c r="K19" s="426">
        <v>43480</v>
      </c>
      <c r="L19" s="427">
        <v>43723</v>
      </c>
      <c r="M19" s="420"/>
      <c r="N19" s="420"/>
      <c r="O19" s="420"/>
      <c r="P19" s="420"/>
      <c r="Q19" s="420"/>
      <c r="R19" s="420"/>
      <c r="S19" s="420"/>
      <c r="T19" s="642"/>
      <c r="U19" s="420"/>
      <c r="V19" s="611" t="s">
        <v>132</v>
      </c>
      <c r="W19" s="420"/>
      <c r="X19" s="420"/>
      <c r="Y19" s="420"/>
      <c r="Z19" s="420"/>
      <c r="AA19" s="420"/>
      <c r="AB19" s="642"/>
      <c r="AC19" s="420">
        <v>137</v>
      </c>
      <c r="AD19" s="420">
        <v>34</v>
      </c>
      <c r="AE19" s="420"/>
      <c r="AF19" s="420"/>
      <c r="AG19" s="420"/>
      <c r="AH19" s="420"/>
      <c r="AI19" s="420"/>
      <c r="AJ19" s="420"/>
      <c r="AK19" s="420"/>
      <c r="AL19" s="420"/>
      <c r="AM19" s="642"/>
      <c r="AN19" s="420"/>
      <c r="AO19" s="420"/>
      <c r="AP1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9" s="419">
        <f>WWWW[[#This Row],[%Equitable and continuous access to sufficient quantity of safe drinking water]]*WWWW[[#This Row],[Total PoP ]]</f>
        <v>0</v>
      </c>
      <c r="AR1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9" s="419">
        <f>WWWW[[#This Row],[% Access to unimproved water points]]*WWWW[[#This Row],[Total PoP ]]</f>
        <v>0</v>
      </c>
      <c r="AT1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9" s="419">
        <f>WWWW[[#This Row],[HRP1]]/250</f>
        <v>0</v>
      </c>
      <c r="AW19" s="424">
        <f>1-WWWW[[#This Row],[% Equitable and continuous access to sufficient quantity of domestic water]]</f>
        <v>1</v>
      </c>
      <c r="AX19" s="419">
        <f>WWWW[[#This Row],[%equitable and continuous access to sufficient quantity of safe drinking and domestic water''s GAP]]*WWWW[[#This Row],[Total PoP ]]</f>
        <v>908</v>
      </c>
      <c r="AY19" s="421">
        <f>IF(WWWW[[#This Row],[Total required water points]]-WWWW[[#This Row],['#Water points coverage]]&lt;0,0,WWWW[[#This Row],[Total required water points]]-WWWW[[#This Row],['#Water points coverage]])</f>
        <v>4</v>
      </c>
      <c r="AZ19" s="421">
        <f>ROUND(IF(WWWW[[#This Row],[Total PoP ]]&lt;250,1,WWWW[[#This Row],[Total PoP ]]/250),0)</f>
        <v>4</v>
      </c>
      <c r="BA1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9" s="419">
        <f>WWWW[[#This Row],[% people access to functioning Latrine]]*WWWW[[#This Row],[Total PoP ]]</f>
        <v>0</v>
      </c>
      <c r="BC19" s="421">
        <f>WWWW[[#This Row],['#_of_Functioning_latrines_in_school]]*50</f>
        <v>0</v>
      </c>
      <c r="BD19" s="421">
        <f>ROUND((WWWW[[#This Row],[Total PoP ]]/6),0)</f>
        <v>151</v>
      </c>
      <c r="BE19" s="421">
        <f>IF(WWWW[[#This Row],[Total required Latrines]]-(WWWW[[#This Row],['#_of_sanitary_fly-proof_HH_latrines]])&lt;0,0,WWWW[[#This Row],[Total required Latrines]]-(WWWW[[#This Row],['#_of_sanitary_fly-proof_HH_latrines]]))</f>
        <v>151</v>
      </c>
      <c r="BF19" s="72">
        <f>1-WWWW[[#This Row],[% people access to functioning Latrine]]</f>
        <v>1</v>
      </c>
      <c r="BG1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171</v>
      </c>
      <c r="BH19" s="419">
        <f>IF(WWWW[[#This Row],['#_of_functional_handwashing_facilities_at_HH_level]]*6&gt;WWWW[[#This Row],[Total PoP ]],WWWW[[#This Row],[Total PoP ]],WWWW[[#This Row],['#_of_functional_handwashing_facilities_at_HH_level]]*6)</f>
        <v>0</v>
      </c>
      <c r="BI19" s="421">
        <f>IF(WWWW[[#This Row],['# people reached by regular dedicated hygiene promotion]]&gt;WWWW[[#This Row],['# People received regular supply of hygiene items]],WWWW[[#This Row],['# people reached by regular dedicated hygiene promotion]],WWWW[[#This Row],['# People received regular supply of hygiene items]])</f>
        <v>171</v>
      </c>
      <c r="BJ19" s="424">
        <f>IF(WWWW[[#This Row],[HRP3]]/WWWW[[#This Row],[Total PoP ]]&gt;100%,100%,WWWW[[#This Row],[HRP3]]/WWWW[[#This Row],[Total PoP ]])</f>
        <v>0.18832599118942731</v>
      </c>
      <c r="BK19" s="423">
        <f>1-WWWW[[#This Row],[Hygiene Coverage%]]</f>
        <v>0.81167400881057272</v>
      </c>
      <c r="BL19" s="422">
        <f>WWWW[[#This Row],['# people reached by regular dedicated hygiene promotion]]/WWWW[[#This Row],[Total PoP ]]</f>
        <v>0.18832599118942731</v>
      </c>
      <c r="BM1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 s="421">
        <f>WWWW[[#This Row],['#_of_affected_women_and_girls_receiving_a_sufficient_quantity_of_sanitary_pads]]</f>
        <v>0</v>
      </c>
      <c r="BO19" s="420">
        <f>IF(WWWW[[#This Row],['# People with access to soap]]&gt;WWWW[[#This Row],['# People with access to Sanity Pads]],WWWW[[#This Row],['# People with access to soap]],WWWW[[#This Row],['# People with access to Sanity Pads]])</f>
        <v>0</v>
      </c>
      <c r="BP19" s="419" t="str">
        <f>IF(OR(WWWW[[#This Row],['#of students in school]]="",WWWW[[#This Row],['#of students in school]]=0),"No","Yes")</f>
        <v>No</v>
      </c>
      <c r="BQ19" s="417" t="str">
        <f>VLOOKUP(WWWW[[#This Row],[Village  Name]],SiteDB6[[Site Name]:[Location Type 1]],9,FALSE)</f>
        <v>Village</v>
      </c>
      <c r="BR19" s="417" t="str">
        <f>VLOOKUP(WWWW[[#This Row],[Village  Name]],SiteDB6[[Site Name]:[Type of Accommodation]],10,FALSE)</f>
        <v>Village</v>
      </c>
      <c r="BS19" s="417" t="str">
        <f>VLOOKUP(WWWW[[#This Row],[Village  Name]],SiteDB6[[Site Name]:[Ethnic or GCA/NGCA]],11,FALSE)</f>
        <v>Muslim</v>
      </c>
      <c r="BT19" s="417">
        <f>VLOOKUP(WWWW[[#This Row],[Village  Name]],SiteDB6[[Site Name]:[Lat]],12,FALSE)</f>
        <v>0</v>
      </c>
      <c r="BU19" s="417">
        <f>VLOOKUP(WWWW[[#This Row],[Village  Name]],SiteDB6[[Site Name]:[Long]],13,FALSE)</f>
        <v>0</v>
      </c>
      <c r="BV19" s="417">
        <f>VLOOKUP(WWWW[[#This Row],[Village  Name]],SiteDB6[[Site Name]:[Pcode]],3,FALSE)</f>
        <v>198350</v>
      </c>
      <c r="BW19" s="425" t="str">
        <f t="shared" si="0"/>
        <v>Covered</v>
      </c>
      <c r="BX19" s="425"/>
      <c r="BY19" s="33"/>
      <c r="CA19"/>
      <c r="CB19" s="33"/>
      <c r="CC19" s="36"/>
      <c r="CE19" s="37"/>
      <c r="CN19" s="20"/>
    </row>
    <row r="20" spans="1:92" hidden="1">
      <c r="A20" s="412" t="s">
        <v>2380</v>
      </c>
      <c r="B20" s="412" t="s">
        <v>2540</v>
      </c>
      <c r="C20" s="418" t="s">
        <v>371</v>
      </c>
      <c r="D20" s="418" t="s">
        <v>2541</v>
      </c>
      <c r="E20" s="551" t="s">
        <v>2686</v>
      </c>
      <c r="F20" s="418" t="s">
        <v>307</v>
      </c>
      <c r="G20" s="551" t="str">
        <f>VLOOKUP(WWWW[[#This Row],[Village  Name]],SiteDB6[[Site Name]:[Location Type]],8,FALSE)</f>
        <v>Village</v>
      </c>
      <c r="H20" s="418" t="s">
        <v>369</v>
      </c>
      <c r="I20" s="420">
        <v>376</v>
      </c>
      <c r="J20" s="420">
        <v>2392</v>
      </c>
      <c r="K20" s="426">
        <v>43480</v>
      </c>
      <c r="L20" s="427">
        <v>43723</v>
      </c>
      <c r="M20" s="420"/>
      <c r="N20" s="420"/>
      <c r="O20" s="420"/>
      <c r="P20" s="420"/>
      <c r="Q20" s="420"/>
      <c r="R20" s="420"/>
      <c r="S20" s="420"/>
      <c r="T20" s="642"/>
      <c r="U20" s="420"/>
      <c r="V20" s="611" t="s">
        <v>132</v>
      </c>
      <c r="W20" s="420"/>
      <c r="X20" s="420"/>
      <c r="Y20" s="420"/>
      <c r="Z20" s="420"/>
      <c r="AA20" s="420"/>
      <c r="AB20" s="642"/>
      <c r="AC20" s="420">
        <v>250</v>
      </c>
      <c r="AD20" s="420">
        <v>126</v>
      </c>
      <c r="AE20" s="420"/>
      <c r="AF20" s="420"/>
      <c r="AG20" s="420"/>
      <c r="AH20" s="420"/>
      <c r="AI20" s="420"/>
      <c r="AJ20" s="420"/>
      <c r="AK20" s="420"/>
      <c r="AL20" s="420"/>
      <c r="AM20" s="642"/>
      <c r="AN20" s="420"/>
      <c r="AO20" s="420"/>
      <c r="AP2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 s="419">
        <f>WWWW[[#This Row],[%Equitable and continuous access to sufficient quantity of safe drinking water]]*WWWW[[#This Row],[Total PoP ]]</f>
        <v>0</v>
      </c>
      <c r="AR2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 s="419">
        <f>WWWW[[#This Row],[% Access to unimproved water points]]*WWWW[[#This Row],[Total PoP ]]</f>
        <v>0</v>
      </c>
      <c r="AT2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 s="419">
        <f>WWWW[[#This Row],[HRP1]]/250</f>
        <v>0</v>
      </c>
      <c r="AW20" s="424">
        <f>1-WWWW[[#This Row],[% Equitable and continuous access to sufficient quantity of domestic water]]</f>
        <v>1</v>
      </c>
      <c r="AX20" s="419">
        <f>WWWW[[#This Row],[%equitable and continuous access to sufficient quantity of safe drinking and domestic water''s GAP]]*WWWW[[#This Row],[Total PoP ]]</f>
        <v>2392</v>
      </c>
      <c r="AY20" s="421">
        <f>IF(WWWW[[#This Row],[Total required water points]]-WWWW[[#This Row],['#Water points coverage]]&lt;0,0,WWWW[[#This Row],[Total required water points]]-WWWW[[#This Row],['#Water points coverage]])</f>
        <v>10</v>
      </c>
      <c r="AZ20" s="421">
        <f>ROUND(IF(WWWW[[#This Row],[Total PoP ]]&lt;250,1,WWWW[[#This Row],[Total PoP ]]/250),0)</f>
        <v>10</v>
      </c>
      <c r="BA2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 s="419">
        <f>WWWW[[#This Row],[% people access to functioning Latrine]]*WWWW[[#This Row],[Total PoP ]]</f>
        <v>0</v>
      </c>
      <c r="BC20" s="421">
        <f>WWWW[[#This Row],['#_of_Functioning_latrines_in_school]]*50</f>
        <v>0</v>
      </c>
      <c r="BD20" s="421">
        <f>ROUND((WWWW[[#This Row],[Total PoP ]]/6),0)</f>
        <v>399</v>
      </c>
      <c r="BE20" s="421">
        <f>IF(WWWW[[#This Row],[Total required Latrines]]-(WWWW[[#This Row],['#_of_sanitary_fly-proof_HH_latrines]])&lt;0,0,WWWW[[#This Row],[Total required Latrines]]-(WWWW[[#This Row],['#_of_sanitary_fly-proof_HH_latrines]]))</f>
        <v>399</v>
      </c>
      <c r="BF20" s="72">
        <f>1-WWWW[[#This Row],[% people access to functioning Latrine]]</f>
        <v>1</v>
      </c>
      <c r="BG2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376</v>
      </c>
      <c r="BH20" s="419">
        <f>IF(WWWW[[#This Row],['#_of_functional_handwashing_facilities_at_HH_level]]*6&gt;WWWW[[#This Row],[Total PoP ]],WWWW[[#This Row],[Total PoP ]],WWWW[[#This Row],['#_of_functional_handwashing_facilities_at_HH_level]]*6)</f>
        <v>0</v>
      </c>
      <c r="BI20" s="421">
        <f>IF(WWWW[[#This Row],['# people reached by regular dedicated hygiene promotion]]&gt;WWWW[[#This Row],['# People received regular supply of hygiene items]],WWWW[[#This Row],['# people reached by regular dedicated hygiene promotion]],WWWW[[#This Row],['# People received regular supply of hygiene items]])</f>
        <v>376</v>
      </c>
      <c r="BJ20" s="424">
        <f>IF(WWWW[[#This Row],[HRP3]]/WWWW[[#This Row],[Total PoP ]]&gt;100%,100%,WWWW[[#This Row],[HRP3]]/WWWW[[#This Row],[Total PoP ]])</f>
        <v>0.15719063545150502</v>
      </c>
      <c r="BK20" s="423">
        <f>1-WWWW[[#This Row],[Hygiene Coverage%]]</f>
        <v>0.84280936454849498</v>
      </c>
      <c r="BL20" s="422">
        <f>WWWW[[#This Row],['# people reached by regular dedicated hygiene promotion]]/WWWW[[#This Row],[Total PoP ]]</f>
        <v>0.15719063545150502</v>
      </c>
      <c r="BM2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 s="421">
        <f>WWWW[[#This Row],['#_of_affected_women_and_girls_receiving_a_sufficient_quantity_of_sanitary_pads]]</f>
        <v>0</v>
      </c>
      <c r="BO20" s="420">
        <f>IF(WWWW[[#This Row],['# People with access to soap]]&gt;WWWW[[#This Row],['# People with access to Sanity Pads]],WWWW[[#This Row],['# People with access to soap]],WWWW[[#This Row],['# People with access to Sanity Pads]])</f>
        <v>0</v>
      </c>
      <c r="BP20" s="419" t="str">
        <f>IF(OR(WWWW[[#This Row],['#of students in school]]="",WWWW[[#This Row],['#of students in school]]=0),"No","Yes")</f>
        <v>No</v>
      </c>
      <c r="BQ20" s="417" t="str">
        <f>VLOOKUP(WWWW[[#This Row],[Village  Name]],SiteDB6[[Site Name]:[Location Type 1]],9,FALSE)</f>
        <v>Village</v>
      </c>
      <c r="BR20" s="417" t="str">
        <f>VLOOKUP(WWWW[[#This Row],[Village  Name]],SiteDB6[[Site Name]:[Type of Accommodation]],10,FALSE)</f>
        <v>Relocated</v>
      </c>
      <c r="BS20" s="417" t="str">
        <f>VLOOKUP(WWWW[[#This Row],[Village  Name]],SiteDB6[[Site Name]:[Ethnic or GCA/NGCA]],11,FALSE)</f>
        <v>Rakhine</v>
      </c>
      <c r="BT20" s="417">
        <f>VLOOKUP(WWWW[[#This Row],[Village  Name]],SiteDB6[[Site Name]:[Lat]],12,FALSE)</f>
        <v>19.421102000000001</v>
      </c>
      <c r="BU20" s="417">
        <f>VLOOKUP(WWWW[[#This Row],[Village  Name]],SiteDB6[[Site Name]:[Long]],13,FALSE)</f>
        <v>93.552452000000002</v>
      </c>
      <c r="BV20" s="417" t="str">
        <f>VLOOKUP(WWWW[[#This Row],[Village  Name]],SiteDB6[[Site Name]:[Pcode]],3,FALSE)</f>
        <v>MMR012CMP036</v>
      </c>
      <c r="BW20" s="425" t="str">
        <f t="shared" si="0"/>
        <v>Covered</v>
      </c>
      <c r="BX20" s="425"/>
      <c r="BY20" s="33"/>
      <c r="CA20"/>
      <c r="CB20" s="33"/>
      <c r="CC20" s="36"/>
      <c r="CE20" s="37"/>
      <c r="CN20" s="20"/>
    </row>
    <row r="21" spans="1:92" hidden="1">
      <c r="A21" s="412" t="s">
        <v>2380</v>
      </c>
      <c r="B21" s="412" t="s">
        <v>2540</v>
      </c>
      <c r="C21" s="418" t="s">
        <v>371</v>
      </c>
      <c r="D21" s="418" t="s">
        <v>2541</v>
      </c>
      <c r="E21" s="551" t="s">
        <v>2686</v>
      </c>
      <c r="F21" s="418" t="s">
        <v>307</v>
      </c>
      <c r="G21" s="551" t="str">
        <f>VLOOKUP(WWWW[[#This Row],[Village  Name]],SiteDB6[[Site Name]:[Location Type]],8,FALSE)</f>
        <v>Village</v>
      </c>
      <c r="H21" s="418" t="s">
        <v>2562</v>
      </c>
      <c r="I21" s="420">
        <v>145</v>
      </c>
      <c r="J21" s="420">
        <v>702</v>
      </c>
      <c r="K21" s="426">
        <v>43480</v>
      </c>
      <c r="L21" s="427">
        <v>43723</v>
      </c>
      <c r="M21" s="420"/>
      <c r="N21" s="420"/>
      <c r="O21" s="420"/>
      <c r="P21" s="420"/>
      <c r="Q21" s="420"/>
      <c r="R21" s="420"/>
      <c r="S21" s="420"/>
      <c r="T21" s="642"/>
      <c r="U21" s="420"/>
      <c r="V21" s="611" t="s">
        <v>132</v>
      </c>
      <c r="W21" s="420"/>
      <c r="X21" s="420"/>
      <c r="Y21" s="420"/>
      <c r="Z21" s="420"/>
      <c r="AA21" s="420"/>
      <c r="AB21" s="642"/>
      <c r="AC21" s="420">
        <v>112</v>
      </c>
      <c r="AD21" s="420">
        <v>33</v>
      </c>
      <c r="AE21" s="420"/>
      <c r="AF21" s="420"/>
      <c r="AG21" s="420"/>
      <c r="AH21" s="420"/>
      <c r="AI21" s="420"/>
      <c r="AJ21" s="420"/>
      <c r="AK21" s="420"/>
      <c r="AL21" s="420"/>
      <c r="AM21" s="642"/>
      <c r="AN21" s="420"/>
      <c r="AO21" s="420"/>
      <c r="AP2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 s="419">
        <f>WWWW[[#This Row],[%Equitable and continuous access to sufficient quantity of safe drinking water]]*WWWW[[#This Row],[Total PoP ]]</f>
        <v>0</v>
      </c>
      <c r="AR2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 s="419">
        <f>WWWW[[#This Row],[% Access to unimproved water points]]*WWWW[[#This Row],[Total PoP ]]</f>
        <v>0</v>
      </c>
      <c r="AT2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 s="419">
        <f>WWWW[[#This Row],[HRP1]]/250</f>
        <v>0</v>
      </c>
      <c r="AW21" s="424">
        <f>1-WWWW[[#This Row],[% Equitable and continuous access to sufficient quantity of domestic water]]</f>
        <v>1</v>
      </c>
      <c r="AX21" s="419">
        <f>WWWW[[#This Row],[%equitable and continuous access to sufficient quantity of safe drinking and domestic water''s GAP]]*WWWW[[#This Row],[Total PoP ]]</f>
        <v>702</v>
      </c>
      <c r="AY21" s="421">
        <f>IF(WWWW[[#This Row],[Total required water points]]-WWWW[[#This Row],['#Water points coverage]]&lt;0,0,WWWW[[#This Row],[Total required water points]]-WWWW[[#This Row],['#Water points coverage]])</f>
        <v>3</v>
      </c>
      <c r="AZ21" s="421">
        <f>ROUND(IF(WWWW[[#This Row],[Total PoP ]]&lt;250,1,WWWW[[#This Row],[Total PoP ]]/250),0)</f>
        <v>3</v>
      </c>
      <c r="BA2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 s="419">
        <f>WWWW[[#This Row],[% people access to functioning Latrine]]*WWWW[[#This Row],[Total PoP ]]</f>
        <v>0</v>
      </c>
      <c r="BC21" s="421">
        <f>WWWW[[#This Row],['#_of_Functioning_latrines_in_school]]*50</f>
        <v>0</v>
      </c>
      <c r="BD21" s="421">
        <f>ROUND((WWWW[[#This Row],[Total PoP ]]/6),0)</f>
        <v>117</v>
      </c>
      <c r="BE21" s="421">
        <f>IF(WWWW[[#This Row],[Total required Latrines]]-(WWWW[[#This Row],['#_of_sanitary_fly-proof_HH_latrines]])&lt;0,0,WWWW[[#This Row],[Total required Latrines]]-(WWWW[[#This Row],['#_of_sanitary_fly-proof_HH_latrines]]))</f>
        <v>117</v>
      </c>
      <c r="BF21" s="72">
        <f>1-WWWW[[#This Row],[% people access to functioning Latrine]]</f>
        <v>1</v>
      </c>
      <c r="BG2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145</v>
      </c>
      <c r="BH21" s="419">
        <f>IF(WWWW[[#This Row],['#_of_functional_handwashing_facilities_at_HH_level]]*6&gt;WWWW[[#This Row],[Total PoP ]],WWWW[[#This Row],[Total PoP ]],WWWW[[#This Row],['#_of_functional_handwashing_facilities_at_HH_level]]*6)</f>
        <v>0</v>
      </c>
      <c r="BI21" s="421">
        <f>IF(WWWW[[#This Row],['# people reached by regular dedicated hygiene promotion]]&gt;WWWW[[#This Row],['# People received regular supply of hygiene items]],WWWW[[#This Row],['# people reached by regular dedicated hygiene promotion]],WWWW[[#This Row],['# People received regular supply of hygiene items]])</f>
        <v>145</v>
      </c>
      <c r="BJ21" s="424">
        <f>IF(WWWW[[#This Row],[HRP3]]/WWWW[[#This Row],[Total PoP ]]&gt;100%,100%,WWWW[[#This Row],[HRP3]]/WWWW[[#This Row],[Total PoP ]])</f>
        <v>0.20655270655270655</v>
      </c>
      <c r="BK21" s="423">
        <f>1-WWWW[[#This Row],[Hygiene Coverage%]]</f>
        <v>0.79344729344729348</v>
      </c>
      <c r="BL21" s="422">
        <f>WWWW[[#This Row],['# people reached by regular dedicated hygiene promotion]]/WWWW[[#This Row],[Total PoP ]]</f>
        <v>0.20655270655270655</v>
      </c>
      <c r="BM2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 s="421">
        <f>WWWW[[#This Row],['#_of_affected_women_and_girls_receiving_a_sufficient_quantity_of_sanitary_pads]]</f>
        <v>0</v>
      </c>
      <c r="BO21" s="420">
        <f>IF(WWWW[[#This Row],['# People with access to soap]]&gt;WWWW[[#This Row],['# People with access to Sanity Pads]],WWWW[[#This Row],['# People with access to soap]],WWWW[[#This Row],['# People with access to Sanity Pads]])</f>
        <v>0</v>
      </c>
      <c r="BP21" s="419" t="str">
        <f>IF(OR(WWWW[[#This Row],['#of students in school]]="",WWWW[[#This Row],['#of students in school]]=0),"No","Yes")</f>
        <v>No</v>
      </c>
      <c r="BQ21" s="417" t="str">
        <f>VLOOKUP(WWWW[[#This Row],[Village  Name]],SiteDB6[[Site Name]:[Location Type 1]],9,FALSE)</f>
        <v>Village</v>
      </c>
      <c r="BR21" s="417" t="str">
        <f>VLOOKUP(WWWW[[#This Row],[Village  Name]],SiteDB6[[Site Name]:[Type of Accommodation]],10,FALSE)</f>
        <v>Village</v>
      </c>
      <c r="BS21" s="417" t="str">
        <f>VLOOKUP(WWWW[[#This Row],[Village  Name]],SiteDB6[[Site Name]:[Ethnic or GCA/NGCA]],11,FALSE)</f>
        <v>Muslim</v>
      </c>
      <c r="BT21" s="417">
        <f>VLOOKUP(WWWW[[#This Row],[Village  Name]],SiteDB6[[Site Name]:[Lat]],12,FALSE)</f>
        <v>0</v>
      </c>
      <c r="BU21" s="417">
        <f>VLOOKUP(WWWW[[#This Row],[Village  Name]],SiteDB6[[Site Name]:[Long]],13,FALSE)</f>
        <v>0</v>
      </c>
      <c r="BV21" s="417">
        <f>VLOOKUP(WWWW[[#This Row],[Village  Name]],SiteDB6[[Site Name]:[Pcode]],3,FALSE)</f>
        <v>0</v>
      </c>
      <c r="BW21" s="425" t="str">
        <f t="shared" si="0"/>
        <v>Covered</v>
      </c>
      <c r="BX21" s="425"/>
      <c r="BY21" s="33"/>
      <c r="CA21"/>
      <c r="CB21" s="33"/>
      <c r="CC21" s="36"/>
      <c r="CE21" s="37"/>
      <c r="CN21" s="20"/>
    </row>
    <row r="22" spans="1:92" hidden="1">
      <c r="A22" s="412" t="s">
        <v>2380</v>
      </c>
      <c r="B22" s="412" t="s">
        <v>2540</v>
      </c>
      <c r="C22" s="418" t="s">
        <v>371</v>
      </c>
      <c r="D22" s="418" t="s">
        <v>2541</v>
      </c>
      <c r="E22" s="551" t="s">
        <v>2686</v>
      </c>
      <c r="F22" s="418" t="s">
        <v>321</v>
      </c>
      <c r="G22" s="551" t="str">
        <f>VLOOKUP(WWWW[[#This Row],[Village  Name]],SiteDB6[[Site Name]:[Location Type]],8,FALSE)</f>
        <v>Village</v>
      </c>
      <c r="H22" s="418" t="s">
        <v>611</v>
      </c>
      <c r="I22" s="420">
        <v>22</v>
      </c>
      <c r="J22" s="420">
        <v>100</v>
      </c>
      <c r="K22" s="426">
        <v>43480</v>
      </c>
      <c r="L22" s="427">
        <v>43723</v>
      </c>
      <c r="M22" s="420"/>
      <c r="N22" s="420"/>
      <c r="O22" s="420"/>
      <c r="P22" s="420"/>
      <c r="Q22" s="420"/>
      <c r="R22" s="420"/>
      <c r="S22" s="420"/>
      <c r="T22" s="642"/>
      <c r="U22" s="420"/>
      <c r="V22" s="611" t="s">
        <v>132</v>
      </c>
      <c r="W22" s="420"/>
      <c r="X22" s="420"/>
      <c r="Y22" s="420"/>
      <c r="Z22" s="420"/>
      <c r="AA22" s="420"/>
      <c r="AB22" s="642"/>
      <c r="AC22" s="420">
        <v>22</v>
      </c>
      <c r="AD22" s="420">
        <v>0</v>
      </c>
      <c r="AE22" s="420"/>
      <c r="AF22" s="420"/>
      <c r="AG22" s="420"/>
      <c r="AH22" s="420"/>
      <c r="AI22" s="420"/>
      <c r="AJ22" s="420"/>
      <c r="AK22" s="420"/>
      <c r="AL22" s="420"/>
      <c r="AM22" s="642"/>
      <c r="AN22" s="420"/>
      <c r="AO22" s="420"/>
      <c r="AP2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 s="419">
        <f>WWWW[[#This Row],[%Equitable and continuous access to sufficient quantity of safe drinking water]]*WWWW[[#This Row],[Total PoP ]]</f>
        <v>0</v>
      </c>
      <c r="AR2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2" s="419">
        <f>WWWW[[#This Row],[% Access to unimproved water points]]*WWWW[[#This Row],[Total PoP ]]</f>
        <v>0</v>
      </c>
      <c r="AT2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2" s="419">
        <f>WWWW[[#This Row],[HRP1]]/250</f>
        <v>0</v>
      </c>
      <c r="AW22" s="424">
        <f>1-WWWW[[#This Row],[% Equitable and continuous access to sufficient quantity of domestic water]]</f>
        <v>1</v>
      </c>
      <c r="AX22" s="419">
        <f>WWWW[[#This Row],[%equitable and continuous access to sufficient quantity of safe drinking and domestic water''s GAP]]*WWWW[[#This Row],[Total PoP ]]</f>
        <v>100</v>
      </c>
      <c r="AY22" s="421">
        <f>IF(WWWW[[#This Row],[Total required water points]]-WWWW[[#This Row],['#Water points coverage]]&lt;0,0,WWWW[[#This Row],[Total required water points]]-WWWW[[#This Row],['#Water points coverage]])</f>
        <v>1</v>
      </c>
      <c r="AZ22" s="421">
        <f>ROUND(IF(WWWW[[#This Row],[Total PoP ]]&lt;250,1,WWWW[[#This Row],[Total PoP ]]/250),0)</f>
        <v>1</v>
      </c>
      <c r="BA2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2" s="419">
        <f>WWWW[[#This Row],[% people access to functioning Latrine]]*WWWW[[#This Row],[Total PoP ]]</f>
        <v>0</v>
      </c>
      <c r="BC22" s="421">
        <f>WWWW[[#This Row],['#_of_Functioning_latrines_in_school]]*50</f>
        <v>0</v>
      </c>
      <c r="BD22" s="421">
        <f>ROUND((WWWW[[#This Row],[Total PoP ]]/6),0)</f>
        <v>17</v>
      </c>
      <c r="BE22" s="421">
        <f>IF(WWWW[[#This Row],[Total required Latrines]]-(WWWW[[#This Row],['#_of_sanitary_fly-proof_HH_latrines]])&lt;0,0,WWWW[[#This Row],[Total required Latrines]]-(WWWW[[#This Row],['#_of_sanitary_fly-proof_HH_latrines]]))</f>
        <v>17</v>
      </c>
      <c r="BF22" s="72">
        <f>1-WWWW[[#This Row],[% people access to functioning Latrine]]</f>
        <v>1</v>
      </c>
      <c r="BG2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v>
      </c>
      <c r="BH22" s="419">
        <f>IF(WWWW[[#This Row],['#_of_functional_handwashing_facilities_at_HH_level]]*6&gt;WWWW[[#This Row],[Total PoP ]],WWWW[[#This Row],[Total PoP ]],WWWW[[#This Row],['#_of_functional_handwashing_facilities_at_HH_level]]*6)</f>
        <v>0</v>
      </c>
      <c r="BI22" s="421">
        <f>IF(WWWW[[#This Row],['# people reached by regular dedicated hygiene promotion]]&gt;WWWW[[#This Row],['# People received regular supply of hygiene items]],WWWW[[#This Row],['# people reached by regular dedicated hygiene promotion]],WWWW[[#This Row],['# People received regular supply of hygiene items]])</f>
        <v>22</v>
      </c>
      <c r="BJ22" s="424">
        <f>IF(WWWW[[#This Row],[HRP3]]/WWWW[[#This Row],[Total PoP ]]&gt;100%,100%,WWWW[[#This Row],[HRP3]]/WWWW[[#This Row],[Total PoP ]])</f>
        <v>0.22</v>
      </c>
      <c r="BK22" s="423">
        <f>1-WWWW[[#This Row],[Hygiene Coverage%]]</f>
        <v>0.78</v>
      </c>
      <c r="BL22" s="422">
        <f>WWWW[[#This Row],['# people reached by regular dedicated hygiene promotion]]/WWWW[[#This Row],[Total PoP ]]</f>
        <v>0.22</v>
      </c>
      <c r="BM2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 s="421">
        <f>WWWW[[#This Row],['#_of_affected_women_and_girls_receiving_a_sufficient_quantity_of_sanitary_pads]]</f>
        <v>0</v>
      </c>
      <c r="BO22" s="420">
        <f>IF(WWWW[[#This Row],['# People with access to soap]]&gt;WWWW[[#This Row],['# People with access to Sanity Pads]],WWWW[[#This Row],['# People with access to soap]],WWWW[[#This Row],['# People with access to Sanity Pads]])</f>
        <v>0</v>
      </c>
      <c r="BP22" s="419" t="str">
        <f>IF(OR(WWWW[[#This Row],['#of students in school]]="",WWWW[[#This Row],['#of students in school]]=0),"No","Yes")</f>
        <v>No</v>
      </c>
      <c r="BQ22" s="417" t="str">
        <f>VLOOKUP(WWWW[[#This Row],[Village  Name]],SiteDB6[[Site Name]:[Location Type 1]],9,FALSE)</f>
        <v>Village</v>
      </c>
      <c r="BR22" s="417" t="str">
        <f>VLOOKUP(WWWW[[#This Row],[Village  Name]],SiteDB6[[Site Name]:[Type of Accommodation]],10,FALSE)</f>
        <v>Village</v>
      </c>
      <c r="BS22" s="417" t="str">
        <f>VLOOKUP(WWWW[[#This Row],[Village  Name]],SiteDB6[[Site Name]:[Ethnic or GCA/NGCA]],11,FALSE)</f>
        <v>Rakhine</v>
      </c>
      <c r="BT22" s="417">
        <f>VLOOKUP(WWWW[[#This Row],[Village  Name]],SiteDB6[[Site Name]:[Lat]],12,FALSE)</f>
        <v>20.80558014</v>
      </c>
      <c r="BU22" s="417">
        <f>VLOOKUP(WWWW[[#This Row],[Village  Name]],SiteDB6[[Site Name]:[Long]],13,FALSE)</f>
        <v>92.549842830000003</v>
      </c>
      <c r="BV22" s="417">
        <f>VLOOKUP(WWWW[[#This Row],[Village  Name]],SiteDB6[[Site Name]:[Pcode]],3,FALSE)</f>
        <v>198336</v>
      </c>
      <c r="BW22" s="425" t="str">
        <f t="shared" si="0"/>
        <v>Covered</v>
      </c>
      <c r="BX22" s="425"/>
      <c r="BY22" s="33"/>
      <c r="CA22"/>
      <c r="CB22" s="33"/>
      <c r="CC22" s="36"/>
      <c r="CE22" s="37"/>
      <c r="CN22" s="20"/>
    </row>
    <row r="23" spans="1:92" hidden="1">
      <c r="A23" s="412" t="s">
        <v>2380</v>
      </c>
      <c r="B23" s="412" t="s">
        <v>2540</v>
      </c>
      <c r="C23" s="418" t="s">
        <v>371</v>
      </c>
      <c r="D23" s="418" t="s">
        <v>2541</v>
      </c>
      <c r="E23" s="551" t="s">
        <v>2686</v>
      </c>
      <c r="F23" s="418" t="s">
        <v>321</v>
      </c>
      <c r="G23" s="551" t="str">
        <f>VLOOKUP(WWWW[[#This Row],[Village  Name]],SiteDB6[[Site Name]:[Location Type]],8,FALSE)</f>
        <v>Village</v>
      </c>
      <c r="H23" s="418" t="s">
        <v>2558</v>
      </c>
      <c r="I23" s="420">
        <v>18</v>
      </c>
      <c r="J23" s="420">
        <v>85</v>
      </c>
      <c r="K23" s="426">
        <v>43480</v>
      </c>
      <c r="L23" s="427">
        <v>43723</v>
      </c>
      <c r="M23" s="420"/>
      <c r="N23" s="420"/>
      <c r="O23" s="420"/>
      <c r="P23" s="420"/>
      <c r="Q23" s="420"/>
      <c r="R23" s="420"/>
      <c r="S23" s="420"/>
      <c r="T23" s="642"/>
      <c r="U23" s="420"/>
      <c r="V23" s="611" t="s">
        <v>132</v>
      </c>
      <c r="W23" s="420"/>
      <c r="X23" s="420"/>
      <c r="Y23" s="420"/>
      <c r="Z23" s="420"/>
      <c r="AA23" s="420"/>
      <c r="AB23" s="642"/>
      <c r="AC23" s="420">
        <v>15</v>
      </c>
      <c r="AD23" s="420">
        <v>1</v>
      </c>
      <c r="AE23" s="420"/>
      <c r="AF23" s="420"/>
      <c r="AG23" s="420"/>
      <c r="AH23" s="420"/>
      <c r="AI23" s="420"/>
      <c r="AJ23" s="420"/>
      <c r="AK23" s="420"/>
      <c r="AL23" s="420"/>
      <c r="AM23" s="642"/>
      <c r="AN23" s="420"/>
      <c r="AO23" s="420"/>
      <c r="AP2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 s="419">
        <f>WWWW[[#This Row],[%Equitable and continuous access to sufficient quantity of safe drinking water]]*WWWW[[#This Row],[Total PoP ]]</f>
        <v>0</v>
      </c>
      <c r="AR2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 s="419">
        <f>WWWW[[#This Row],[% Access to unimproved water points]]*WWWW[[#This Row],[Total PoP ]]</f>
        <v>0</v>
      </c>
      <c r="AT2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 s="419">
        <f>WWWW[[#This Row],[HRP1]]/250</f>
        <v>0</v>
      </c>
      <c r="AW23" s="424">
        <f>1-WWWW[[#This Row],[% Equitable and continuous access to sufficient quantity of domestic water]]</f>
        <v>1</v>
      </c>
      <c r="AX23" s="419">
        <f>WWWW[[#This Row],[%equitable and continuous access to sufficient quantity of safe drinking and domestic water''s GAP]]*WWWW[[#This Row],[Total PoP ]]</f>
        <v>85</v>
      </c>
      <c r="AY23" s="421">
        <f>IF(WWWW[[#This Row],[Total required water points]]-WWWW[[#This Row],['#Water points coverage]]&lt;0,0,WWWW[[#This Row],[Total required water points]]-WWWW[[#This Row],['#Water points coverage]])</f>
        <v>1</v>
      </c>
      <c r="AZ23" s="421">
        <f>ROUND(IF(WWWW[[#This Row],[Total PoP ]]&lt;250,1,WWWW[[#This Row],[Total PoP ]]/250),0)</f>
        <v>1</v>
      </c>
      <c r="BA2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 s="419">
        <f>WWWW[[#This Row],[% people access to functioning Latrine]]*WWWW[[#This Row],[Total PoP ]]</f>
        <v>0</v>
      </c>
      <c r="BC23" s="421">
        <f>WWWW[[#This Row],['#_of_Functioning_latrines_in_school]]*50</f>
        <v>0</v>
      </c>
      <c r="BD23" s="421">
        <f>ROUND((WWWW[[#This Row],[Total PoP ]]/6),0)</f>
        <v>14</v>
      </c>
      <c r="BE23" s="421">
        <f>IF(WWWW[[#This Row],[Total required Latrines]]-(WWWW[[#This Row],['#_of_sanitary_fly-proof_HH_latrines]])&lt;0,0,WWWW[[#This Row],[Total required Latrines]]-(WWWW[[#This Row],['#_of_sanitary_fly-proof_HH_latrines]]))</f>
        <v>14</v>
      </c>
      <c r="BF23" s="72">
        <f>1-WWWW[[#This Row],[% people access to functioning Latrine]]</f>
        <v>1</v>
      </c>
      <c r="BG2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v>
      </c>
      <c r="BH23" s="419">
        <f>IF(WWWW[[#This Row],['#_of_functional_handwashing_facilities_at_HH_level]]*6&gt;WWWW[[#This Row],[Total PoP ]],WWWW[[#This Row],[Total PoP ]],WWWW[[#This Row],['#_of_functional_handwashing_facilities_at_HH_level]]*6)</f>
        <v>0</v>
      </c>
      <c r="BI23" s="421">
        <f>IF(WWWW[[#This Row],['# people reached by regular dedicated hygiene promotion]]&gt;WWWW[[#This Row],['# People received regular supply of hygiene items]],WWWW[[#This Row],['# people reached by regular dedicated hygiene promotion]],WWWW[[#This Row],['# People received regular supply of hygiene items]])</f>
        <v>16</v>
      </c>
      <c r="BJ23" s="424">
        <f>IF(WWWW[[#This Row],[HRP3]]/WWWW[[#This Row],[Total PoP ]]&gt;100%,100%,WWWW[[#This Row],[HRP3]]/WWWW[[#This Row],[Total PoP ]])</f>
        <v>0.18823529411764706</v>
      </c>
      <c r="BK23" s="423">
        <f>1-WWWW[[#This Row],[Hygiene Coverage%]]</f>
        <v>0.81176470588235294</v>
      </c>
      <c r="BL23" s="422">
        <f>WWWW[[#This Row],['# people reached by regular dedicated hygiene promotion]]/WWWW[[#This Row],[Total PoP ]]</f>
        <v>0.18823529411764706</v>
      </c>
      <c r="BM2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3" s="421">
        <f>WWWW[[#This Row],['#_of_affected_women_and_girls_receiving_a_sufficient_quantity_of_sanitary_pads]]</f>
        <v>0</v>
      </c>
      <c r="BO23" s="420">
        <f>IF(WWWW[[#This Row],['# People with access to soap]]&gt;WWWW[[#This Row],['# People with access to Sanity Pads]],WWWW[[#This Row],['# People with access to soap]],WWWW[[#This Row],['# People with access to Sanity Pads]])</f>
        <v>0</v>
      </c>
      <c r="BP23" s="419" t="str">
        <f>IF(OR(WWWW[[#This Row],['#of students in school]]="",WWWW[[#This Row],['#of students in school]]=0),"No","Yes")</f>
        <v>No</v>
      </c>
      <c r="BQ23" s="417" t="str">
        <f>VLOOKUP(WWWW[[#This Row],[Village  Name]],SiteDB6[[Site Name]:[Location Type 1]],9,FALSE)</f>
        <v>Village</v>
      </c>
      <c r="BR23" s="417" t="str">
        <f>VLOOKUP(WWWW[[#This Row],[Village  Name]],SiteDB6[[Site Name]:[Type of Accommodation]],10,FALSE)</f>
        <v>Village</v>
      </c>
      <c r="BS23" s="417" t="str">
        <f>VLOOKUP(WWWW[[#This Row],[Village  Name]],SiteDB6[[Site Name]:[Ethnic or GCA/NGCA]],11,FALSE)</f>
        <v>Rakhine</v>
      </c>
      <c r="BT23" s="417">
        <f>VLOOKUP(WWWW[[#This Row],[Village  Name]],SiteDB6[[Site Name]:[Lat]],12,FALSE)</f>
        <v>20.892290119999998</v>
      </c>
      <c r="BU23" s="417">
        <f>VLOOKUP(WWWW[[#This Row],[Village  Name]],SiteDB6[[Site Name]:[Long]],13,FALSE)</f>
        <v>92.550079350000004</v>
      </c>
      <c r="BV23" s="417">
        <f>VLOOKUP(WWWW[[#This Row],[Village  Name]],SiteDB6[[Site Name]:[Pcode]],3,FALSE)</f>
        <v>198303</v>
      </c>
      <c r="BW23" s="425" t="str">
        <f t="shared" si="0"/>
        <v>Covered</v>
      </c>
      <c r="BX23" s="425"/>
      <c r="BY23" s="33"/>
      <c r="CA23"/>
      <c r="CB23" s="33"/>
      <c r="CC23" s="36"/>
      <c r="CE23" s="37"/>
      <c r="CN23" s="20"/>
    </row>
    <row r="24" spans="1:92" hidden="1">
      <c r="A24" s="412" t="s">
        <v>2380</v>
      </c>
      <c r="B24" s="412" t="s">
        <v>2540</v>
      </c>
      <c r="C24" s="418" t="s">
        <v>371</v>
      </c>
      <c r="D24" s="418" t="s">
        <v>2541</v>
      </c>
      <c r="E24" s="551" t="s">
        <v>2686</v>
      </c>
      <c r="F24" s="418" t="s">
        <v>321</v>
      </c>
      <c r="G24" s="551" t="str">
        <f>VLOOKUP(WWWW[[#This Row],[Village  Name]],SiteDB6[[Site Name]:[Location Type]],8,FALSE)</f>
        <v>Village</v>
      </c>
      <c r="H24" s="418" t="s">
        <v>2555</v>
      </c>
      <c r="I24" s="420">
        <v>162</v>
      </c>
      <c r="J24" s="420">
        <v>927</v>
      </c>
      <c r="K24" s="426">
        <v>43480</v>
      </c>
      <c r="L24" s="427">
        <v>43723</v>
      </c>
      <c r="M24" s="420"/>
      <c r="N24" s="420"/>
      <c r="O24" s="420"/>
      <c r="P24" s="420"/>
      <c r="Q24" s="420"/>
      <c r="R24" s="420"/>
      <c r="S24" s="420"/>
      <c r="T24" s="642"/>
      <c r="U24" s="420"/>
      <c r="V24" s="611" t="s">
        <v>132</v>
      </c>
      <c r="W24" s="420"/>
      <c r="X24" s="420"/>
      <c r="Y24" s="420"/>
      <c r="Z24" s="420"/>
      <c r="AA24" s="420"/>
      <c r="AB24" s="642"/>
      <c r="AC24" s="420">
        <v>121</v>
      </c>
      <c r="AD24" s="420">
        <v>41</v>
      </c>
      <c r="AE24" s="420"/>
      <c r="AF24" s="420"/>
      <c r="AG24" s="420"/>
      <c r="AH24" s="420"/>
      <c r="AI24" s="420"/>
      <c r="AJ24" s="420"/>
      <c r="AK24" s="420"/>
      <c r="AL24" s="420"/>
      <c r="AM24" s="642"/>
      <c r="AN24" s="420"/>
      <c r="AO24" s="420"/>
      <c r="AP2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 s="419">
        <f>WWWW[[#This Row],[%Equitable and continuous access to sufficient quantity of safe drinking water]]*WWWW[[#This Row],[Total PoP ]]</f>
        <v>0</v>
      </c>
      <c r="AR2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4" s="419">
        <f>WWWW[[#This Row],[% Access to unimproved water points]]*WWWW[[#This Row],[Total PoP ]]</f>
        <v>0</v>
      </c>
      <c r="AT2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4" s="419">
        <f>WWWW[[#This Row],[HRP1]]/250</f>
        <v>0</v>
      </c>
      <c r="AW24" s="424">
        <f>1-WWWW[[#This Row],[% Equitable and continuous access to sufficient quantity of domestic water]]</f>
        <v>1</v>
      </c>
      <c r="AX24" s="419">
        <f>WWWW[[#This Row],[%equitable and continuous access to sufficient quantity of safe drinking and domestic water''s GAP]]*WWWW[[#This Row],[Total PoP ]]</f>
        <v>927</v>
      </c>
      <c r="AY24" s="421">
        <f>IF(WWWW[[#This Row],[Total required water points]]-WWWW[[#This Row],['#Water points coverage]]&lt;0,0,WWWW[[#This Row],[Total required water points]]-WWWW[[#This Row],['#Water points coverage]])</f>
        <v>4</v>
      </c>
      <c r="AZ24" s="421">
        <f>ROUND(IF(WWWW[[#This Row],[Total PoP ]]&lt;250,1,WWWW[[#This Row],[Total PoP ]]/250),0)</f>
        <v>4</v>
      </c>
      <c r="BA2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4" s="419">
        <f>WWWW[[#This Row],[% people access to functioning Latrine]]*WWWW[[#This Row],[Total PoP ]]</f>
        <v>0</v>
      </c>
      <c r="BC24" s="421">
        <f>WWWW[[#This Row],['#_of_Functioning_latrines_in_school]]*50</f>
        <v>0</v>
      </c>
      <c r="BD24" s="421">
        <f>ROUND((WWWW[[#This Row],[Total PoP ]]/6),0)</f>
        <v>155</v>
      </c>
      <c r="BE24" s="421">
        <f>IF(WWWW[[#This Row],[Total required Latrines]]-(WWWW[[#This Row],['#_of_sanitary_fly-proof_HH_latrines]])&lt;0,0,WWWW[[#This Row],[Total required Latrines]]-(WWWW[[#This Row],['#_of_sanitary_fly-proof_HH_latrines]]))</f>
        <v>155</v>
      </c>
      <c r="BF24" s="72">
        <f>1-WWWW[[#This Row],[% people access to functioning Latrine]]</f>
        <v>1</v>
      </c>
      <c r="BG2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162</v>
      </c>
      <c r="BH24" s="419">
        <f>IF(WWWW[[#This Row],['#_of_functional_handwashing_facilities_at_HH_level]]*6&gt;WWWW[[#This Row],[Total PoP ]],WWWW[[#This Row],[Total PoP ]],WWWW[[#This Row],['#_of_functional_handwashing_facilities_at_HH_level]]*6)</f>
        <v>0</v>
      </c>
      <c r="BI24" s="421">
        <f>IF(WWWW[[#This Row],['# people reached by regular dedicated hygiene promotion]]&gt;WWWW[[#This Row],['# People received regular supply of hygiene items]],WWWW[[#This Row],['# people reached by regular dedicated hygiene promotion]],WWWW[[#This Row],['# People received regular supply of hygiene items]])</f>
        <v>162</v>
      </c>
      <c r="BJ24" s="424">
        <f>IF(WWWW[[#This Row],[HRP3]]/WWWW[[#This Row],[Total PoP ]]&gt;100%,100%,WWWW[[#This Row],[HRP3]]/WWWW[[#This Row],[Total PoP ]])</f>
        <v>0.17475728155339806</v>
      </c>
      <c r="BK24" s="423">
        <f>1-WWWW[[#This Row],[Hygiene Coverage%]]</f>
        <v>0.82524271844660191</v>
      </c>
      <c r="BL24" s="422">
        <f>WWWW[[#This Row],['# people reached by regular dedicated hygiene promotion]]/WWWW[[#This Row],[Total PoP ]]</f>
        <v>0.17475728155339806</v>
      </c>
      <c r="BM2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4" s="421">
        <f>WWWW[[#This Row],['#_of_affected_women_and_girls_receiving_a_sufficient_quantity_of_sanitary_pads]]</f>
        <v>0</v>
      </c>
      <c r="BO24" s="420">
        <f>IF(WWWW[[#This Row],['# People with access to soap]]&gt;WWWW[[#This Row],['# People with access to Sanity Pads]],WWWW[[#This Row],['# People with access to soap]],WWWW[[#This Row],['# People with access to Sanity Pads]])</f>
        <v>0</v>
      </c>
      <c r="BP24" s="419" t="str">
        <f>IF(OR(WWWW[[#This Row],['#of students in school]]="",WWWW[[#This Row],['#of students in school]]=0),"No","Yes")</f>
        <v>No</v>
      </c>
      <c r="BQ24" s="417" t="str">
        <f>VLOOKUP(WWWW[[#This Row],[Village  Name]],SiteDB6[[Site Name]:[Location Type 1]],9,FALSE)</f>
        <v>Village</v>
      </c>
      <c r="BR24" s="417" t="str">
        <f>VLOOKUP(WWWW[[#This Row],[Village  Name]],SiteDB6[[Site Name]:[Type of Accommodation]],10,FALSE)</f>
        <v>Village</v>
      </c>
      <c r="BS24" s="417" t="str">
        <f>VLOOKUP(WWWW[[#This Row],[Village  Name]],SiteDB6[[Site Name]:[Ethnic or GCA/NGCA]],11,FALSE)</f>
        <v>Muslim</v>
      </c>
      <c r="BT24" s="417">
        <f>VLOOKUP(WWWW[[#This Row],[Village  Name]],SiteDB6[[Site Name]:[Lat]],12,FALSE)</f>
        <v>0</v>
      </c>
      <c r="BU24" s="417">
        <f>VLOOKUP(WWWW[[#This Row],[Village  Name]],SiteDB6[[Site Name]:[Long]],13,FALSE)</f>
        <v>0</v>
      </c>
      <c r="BV24" s="417">
        <f>VLOOKUP(WWWW[[#This Row],[Village  Name]],SiteDB6[[Site Name]:[Pcode]],3,FALSE)</f>
        <v>198405</v>
      </c>
      <c r="BW24" s="425" t="str">
        <f t="shared" si="0"/>
        <v>Covered</v>
      </c>
      <c r="BX24" s="425"/>
      <c r="BY24" s="33"/>
      <c r="CA24"/>
      <c r="CB24" s="33"/>
      <c r="CC24" s="36"/>
      <c r="CE24" s="37"/>
      <c r="CN24" s="20"/>
    </row>
    <row r="25" spans="1:92" hidden="1">
      <c r="A25" s="412" t="s">
        <v>2380</v>
      </c>
      <c r="B25" s="412" t="s">
        <v>2540</v>
      </c>
      <c r="C25" s="418" t="s">
        <v>371</v>
      </c>
      <c r="D25" s="418" t="s">
        <v>2541</v>
      </c>
      <c r="E25" s="551" t="s">
        <v>2686</v>
      </c>
      <c r="F25" s="418" t="s">
        <v>307</v>
      </c>
      <c r="G25" s="551" t="str">
        <f>VLOOKUP(WWWW[[#This Row],[Village  Name]],SiteDB6[[Site Name]:[Location Type]],8,FALSE)</f>
        <v>Village</v>
      </c>
      <c r="H25" s="418" t="s">
        <v>546</v>
      </c>
      <c r="I25" s="420">
        <v>181</v>
      </c>
      <c r="J25" s="420">
        <v>1089</v>
      </c>
      <c r="K25" s="426">
        <v>43480</v>
      </c>
      <c r="L25" s="427">
        <v>43723</v>
      </c>
      <c r="M25" s="420"/>
      <c r="N25" s="420"/>
      <c r="O25" s="420"/>
      <c r="P25" s="420"/>
      <c r="Q25" s="420"/>
      <c r="R25" s="420"/>
      <c r="S25" s="420"/>
      <c r="T25" s="642"/>
      <c r="U25" s="420"/>
      <c r="V25" s="611" t="s">
        <v>132</v>
      </c>
      <c r="W25" s="420"/>
      <c r="X25" s="420"/>
      <c r="Y25" s="420"/>
      <c r="Z25" s="420"/>
      <c r="AA25" s="420"/>
      <c r="AB25" s="642"/>
      <c r="AC25" s="420">
        <v>136</v>
      </c>
      <c r="AD25" s="420">
        <v>45</v>
      </c>
      <c r="AE25" s="420"/>
      <c r="AF25" s="420"/>
      <c r="AG25" s="420"/>
      <c r="AH25" s="420"/>
      <c r="AI25" s="420"/>
      <c r="AJ25" s="420"/>
      <c r="AK25" s="420"/>
      <c r="AL25" s="420"/>
      <c r="AM25" s="642"/>
      <c r="AN25" s="420"/>
      <c r="AO25" s="420"/>
      <c r="AP2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 s="419">
        <f>WWWW[[#This Row],[%Equitable and continuous access to sufficient quantity of safe drinking water]]*WWWW[[#This Row],[Total PoP ]]</f>
        <v>0</v>
      </c>
      <c r="AR2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5" s="419">
        <f>WWWW[[#This Row],[% Access to unimproved water points]]*WWWW[[#This Row],[Total PoP ]]</f>
        <v>0</v>
      </c>
      <c r="AT2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5" s="419">
        <f>WWWW[[#This Row],[HRP1]]/250</f>
        <v>0</v>
      </c>
      <c r="AW25" s="424">
        <f>1-WWWW[[#This Row],[% Equitable and continuous access to sufficient quantity of domestic water]]</f>
        <v>1</v>
      </c>
      <c r="AX25" s="419">
        <f>WWWW[[#This Row],[%equitable and continuous access to sufficient quantity of safe drinking and domestic water''s GAP]]*WWWW[[#This Row],[Total PoP ]]</f>
        <v>1089</v>
      </c>
      <c r="AY25" s="421">
        <f>IF(WWWW[[#This Row],[Total required water points]]-WWWW[[#This Row],['#Water points coverage]]&lt;0,0,WWWW[[#This Row],[Total required water points]]-WWWW[[#This Row],['#Water points coverage]])</f>
        <v>4</v>
      </c>
      <c r="AZ25" s="421">
        <f>ROUND(IF(WWWW[[#This Row],[Total PoP ]]&lt;250,1,WWWW[[#This Row],[Total PoP ]]/250),0)</f>
        <v>4</v>
      </c>
      <c r="BA2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5" s="419">
        <f>WWWW[[#This Row],[% people access to functioning Latrine]]*WWWW[[#This Row],[Total PoP ]]</f>
        <v>0</v>
      </c>
      <c r="BC25" s="421">
        <f>WWWW[[#This Row],['#_of_Functioning_latrines_in_school]]*50</f>
        <v>0</v>
      </c>
      <c r="BD25" s="421">
        <f>ROUND((WWWW[[#This Row],[Total PoP ]]/6),0)</f>
        <v>182</v>
      </c>
      <c r="BE25" s="421">
        <f>IF(WWWW[[#This Row],[Total required Latrines]]-(WWWW[[#This Row],['#_of_sanitary_fly-proof_HH_latrines]])&lt;0,0,WWWW[[#This Row],[Total required Latrines]]-(WWWW[[#This Row],['#_of_sanitary_fly-proof_HH_latrines]]))</f>
        <v>182</v>
      </c>
      <c r="BF25" s="72">
        <f>1-WWWW[[#This Row],[% people access to functioning Latrine]]</f>
        <v>1</v>
      </c>
      <c r="BG2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181</v>
      </c>
      <c r="BH25" s="419">
        <f>IF(WWWW[[#This Row],['#_of_functional_handwashing_facilities_at_HH_level]]*6&gt;WWWW[[#This Row],[Total PoP ]],WWWW[[#This Row],[Total PoP ]],WWWW[[#This Row],['#_of_functional_handwashing_facilities_at_HH_level]]*6)</f>
        <v>0</v>
      </c>
      <c r="BI25" s="421">
        <f>IF(WWWW[[#This Row],['# people reached by regular dedicated hygiene promotion]]&gt;WWWW[[#This Row],['# People received regular supply of hygiene items]],WWWW[[#This Row],['# people reached by regular dedicated hygiene promotion]],WWWW[[#This Row],['# People received regular supply of hygiene items]])</f>
        <v>181</v>
      </c>
      <c r="BJ25" s="424">
        <f>IF(WWWW[[#This Row],[HRP3]]/WWWW[[#This Row],[Total PoP ]]&gt;100%,100%,WWWW[[#This Row],[HRP3]]/WWWW[[#This Row],[Total PoP ]])</f>
        <v>0.16620752984389348</v>
      </c>
      <c r="BK25" s="423">
        <f>1-WWWW[[#This Row],[Hygiene Coverage%]]</f>
        <v>0.83379247015610658</v>
      </c>
      <c r="BL25" s="422">
        <f>WWWW[[#This Row],['# people reached by regular dedicated hygiene promotion]]/WWWW[[#This Row],[Total PoP ]]</f>
        <v>0.16620752984389348</v>
      </c>
      <c r="BM2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 s="421">
        <f>WWWW[[#This Row],['#_of_affected_women_and_girls_receiving_a_sufficient_quantity_of_sanitary_pads]]</f>
        <v>0</v>
      </c>
      <c r="BO25" s="420">
        <f>IF(WWWW[[#This Row],['# People with access to soap]]&gt;WWWW[[#This Row],['# People with access to Sanity Pads]],WWWW[[#This Row],['# People with access to soap]],WWWW[[#This Row],['# People with access to Sanity Pads]])</f>
        <v>0</v>
      </c>
      <c r="BP25" s="419" t="str">
        <f>IF(OR(WWWW[[#This Row],['#of students in school]]="",WWWW[[#This Row],['#of students in school]]=0),"No","Yes")</f>
        <v>No</v>
      </c>
      <c r="BQ25" s="417" t="str">
        <f>VLOOKUP(WWWW[[#This Row],[Village  Name]],SiteDB6[[Site Name]:[Location Type 1]],9,FALSE)</f>
        <v>Village</v>
      </c>
      <c r="BR25" s="417" t="str">
        <f>VLOOKUP(WWWW[[#This Row],[Village  Name]],SiteDB6[[Site Name]:[Type of Accommodation]],10,FALSE)</f>
        <v>Village</v>
      </c>
      <c r="BS25" s="417" t="str">
        <f>VLOOKUP(WWWW[[#This Row],[Village  Name]],SiteDB6[[Site Name]:[Ethnic or GCA/NGCA]],11,FALSE)</f>
        <v>Rakhine</v>
      </c>
      <c r="BT25" s="417">
        <f>VLOOKUP(WWWW[[#This Row],[Village  Name]],SiteDB6[[Site Name]:[Lat]],12,FALSE)</f>
        <v>20.691099170000001</v>
      </c>
      <c r="BU25" s="417">
        <f>VLOOKUP(WWWW[[#This Row],[Village  Name]],SiteDB6[[Site Name]:[Long]],13,FALSE)</f>
        <v>92.590652469999995</v>
      </c>
      <c r="BV25" s="417">
        <f>VLOOKUP(WWWW[[#This Row],[Village  Name]],SiteDB6[[Site Name]:[Pcode]],3,FALSE)</f>
        <v>198446</v>
      </c>
      <c r="BW25" s="425" t="str">
        <f t="shared" si="0"/>
        <v>Covered</v>
      </c>
      <c r="BX25" s="425"/>
      <c r="BY25" s="33"/>
      <c r="CA25"/>
      <c r="CB25" s="33"/>
      <c r="CC25" s="36"/>
      <c r="CE25" s="37"/>
      <c r="CN25" s="20"/>
    </row>
    <row r="26" spans="1:92" hidden="1">
      <c r="A26" s="412" t="s">
        <v>2380</v>
      </c>
      <c r="B26" s="412" t="s">
        <v>2540</v>
      </c>
      <c r="C26" s="418" t="s">
        <v>371</v>
      </c>
      <c r="D26" s="418" t="s">
        <v>2541</v>
      </c>
      <c r="E26" s="551" t="s">
        <v>2686</v>
      </c>
      <c r="F26" s="418" t="s">
        <v>307</v>
      </c>
      <c r="G26" s="551" t="str">
        <f>VLOOKUP(WWWW[[#This Row],[Village  Name]],SiteDB6[[Site Name]:[Location Type]],8,FALSE)</f>
        <v>Village</v>
      </c>
      <c r="H26" s="418" t="s">
        <v>1913</v>
      </c>
      <c r="I26" s="420">
        <v>241</v>
      </c>
      <c r="J26" s="420">
        <v>1397</v>
      </c>
      <c r="K26" s="426">
        <v>43480</v>
      </c>
      <c r="L26" s="427">
        <v>43723</v>
      </c>
      <c r="M26" s="420"/>
      <c r="N26" s="420"/>
      <c r="O26" s="420"/>
      <c r="P26" s="420"/>
      <c r="Q26" s="420"/>
      <c r="R26" s="420"/>
      <c r="S26" s="420"/>
      <c r="T26" s="642"/>
      <c r="U26" s="420"/>
      <c r="V26" s="611" t="s">
        <v>132</v>
      </c>
      <c r="W26" s="420"/>
      <c r="X26" s="420"/>
      <c r="Y26" s="420"/>
      <c r="Z26" s="420"/>
      <c r="AA26" s="420"/>
      <c r="AB26" s="642"/>
      <c r="AC26" s="420">
        <v>193</v>
      </c>
      <c r="AD26" s="420">
        <v>48</v>
      </c>
      <c r="AE26" s="420"/>
      <c r="AF26" s="420"/>
      <c r="AG26" s="420"/>
      <c r="AH26" s="420"/>
      <c r="AI26" s="420"/>
      <c r="AJ26" s="420"/>
      <c r="AK26" s="420"/>
      <c r="AL26" s="420"/>
      <c r="AM26" s="642"/>
      <c r="AN26" s="420"/>
      <c r="AO26" s="420"/>
      <c r="AP2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 s="419">
        <f>WWWW[[#This Row],[%Equitable and continuous access to sufficient quantity of safe drinking water]]*WWWW[[#This Row],[Total PoP ]]</f>
        <v>0</v>
      </c>
      <c r="AR2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6" s="419">
        <f>WWWW[[#This Row],[% Access to unimproved water points]]*WWWW[[#This Row],[Total PoP ]]</f>
        <v>0</v>
      </c>
      <c r="AT2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6" s="419">
        <f>WWWW[[#This Row],[HRP1]]/250</f>
        <v>0</v>
      </c>
      <c r="AW26" s="424">
        <f>1-WWWW[[#This Row],[% Equitable and continuous access to sufficient quantity of domestic water]]</f>
        <v>1</v>
      </c>
      <c r="AX26" s="419">
        <f>WWWW[[#This Row],[%equitable and continuous access to sufficient quantity of safe drinking and domestic water''s GAP]]*WWWW[[#This Row],[Total PoP ]]</f>
        <v>1397</v>
      </c>
      <c r="AY26" s="421">
        <f>IF(WWWW[[#This Row],[Total required water points]]-WWWW[[#This Row],['#Water points coverage]]&lt;0,0,WWWW[[#This Row],[Total required water points]]-WWWW[[#This Row],['#Water points coverage]])</f>
        <v>6</v>
      </c>
      <c r="AZ26" s="421">
        <f>ROUND(IF(WWWW[[#This Row],[Total PoP ]]&lt;250,1,WWWW[[#This Row],[Total PoP ]]/250),0)</f>
        <v>6</v>
      </c>
      <c r="BA2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6" s="419">
        <f>WWWW[[#This Row],[% people access to functioning Latrine]]*WWWW[[#This Row],[Total PoP ]]</f>
        <v>0</v>
      </c>
      <c r="BC26" s="421">
        <f>WWWW[[#This Row],['#_of_Functioning_latrines_in_school]]*50</f>
        <v>0</v>
      </c>
      <c r="BD26" s="421">
        <f>ROUND((WWWW[[#This Row],[Total PoP ]]/6),0)</f>
        <v>233</v>
      </c>
      <c r="BE26" s="421">
        <f>IF(WWWW[[#This Row],[Total required Latrines]]-(WWWW[[#This Row],['#_of_sanitary_fly-proof_HH_latrines]])&lt;0,0,WWWW[[#This Row],[Total required Latrines]]-(WWWW[[#This Row],['#_of_sanitary_fly-proof_HH_latrines]]))</f>
        <v>233</v>
      </c>
      <c r="BF26" s="72">
        <f>1-WWWW[[#This Row],[% people access to functioning Latrine]]</f>
        <v>1</v>
      </c>
      <c r="BG2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241</v>
      </c>
      <c r="BH26" s="419">
        <f>IF(WWWW[[#This Row],['#_of_functional_handwashing_facilities_at_HH_level]]*6&gt;WWWW[[#This Row],[Total PoP ]],WWWW[[#This Row],[Total PoP ]],WWWW[[#This Row],['#_of_functional_handwashing_facilities_at_HH_level]]*6)</f>
        <v>0</v>
      </c>
      <c r="BI26" s="421">
        <f>IF(WWWW[[#This Row],['# people reached by regular dedicated hygiene promotion]]&gt;WWWW[[#This Row],['# People received regular supply of hygiene items]],WWWW[[#This Row],['# people reached by regular dedicated hygiene promotion]],WWWW[[#This Row],['# People received regular supply of hygiene items]])</f>
        <v>241</v>
      </c>
      <c r="BJ26" s="424">
        <f>IF(WWWW[[#This Row],[HRP3]]/WWWW[[#This Row],[Total PoP ]]&gt;100%,100%,WWWW[[#This Row],[HRP3]]/WWWW[[#This Row],[Total PoP ]])</f>
        <v>0.17251252684323551</v>
      </c>
      <c r="BK26" s="423">
        <f>1-WWWW[[#This Row],[Hygiene Coverage%]]</f>
        <v>0.82748747315676452</v>
      </c>
      <c r="BL26" s="422">
        <f>WWWW[[#This Row],['# people reached by regular dedicated hygiene promotion]]/WWWW[[#This Row],[Total PoP ]]</f>
        <v>0.17251252684323551</v>
      </c>
      <c r="BM2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 s="421">
        <f>WWWW[[#This Row],['#_of_affected_women_and_girls_receiving_a_sufficient_quantity_of_sanitary_pads]]</f>
        <v>0</v>
      </c>
      <c r="BO26" s="420">
        <f>IF(WWWW[[#This Row],['# People with access to soap]]&gt;WWWW[[#This Row],['# People with access to Sanity Pads]],WWWW[[#This Row],['# People with access to soap]],WWWW[[#This Row],['# People with access to Sanity Pads]])</f>
        <v>0</v>
      </c>
      <c r="BP26" s="419" t="str">
        <f>IF(OR(WWWW[[#This Row],['#of students in school]]="",WWWW[[#This Row],['#of students in school]]=0),"No","Yes")</f>
        <v>No</v>
      </c>
      <c r="BQ26" s="417" t="str">
        <f>VLOOKUP(WWWW[[#This Row],[Village  Name]],SiteDB6[[Site Name]:[Location Type 1]],9,FALSE)</f>
        <v>Village</v>
      </c>
      <c r="BR26" s="417" t="str">
        <f>VLOOKUP(WWWW[[#This Row],[Village  Name]],SiteDB6[[Site Name]:[Type of Accommodation]],10,FALSE)</f>
        <v>Village</v>
      </c>
      <c r="BS26" s="417" t="str">
        <f>VLOOKUP(WWWW[[#This Row],[Village  Name]],SiteDB6[[Site Name]:[Ethnic or GCA/NGCA]],11,FALSE)</f>
        <v>Muslim</v>
      </c>
      <c r="BT26" s="417">
        <f>VLOOKUP(WWWW[[#This Row],[Village  Name]],SiteDB6[[Site Name]:[Lat]],12,FALSE)</f>
        <v>20.872400280000001</v>
      </c>
      <c r="BU26" s="417">
        <f>VLOOKUP(WWWW[[#This Row],[Village  Name]],SiteDB6[[Site Name]:[Long]],13,FALSE)</f>
        <v>92.337608340000003</v>
      </c>
      <c r="BV26" s="417">
        <f>VLOOKUP(WWWW[[#This Row],[Village  Name]],SiteDB6[[Site Name]:[Pcode]],3,FALSE)</f>
        <v>197971</v>
      </c>
      <c r="BW26" s="425" t="str">
        <f t="shared" si="0"/>
        <v>Covered</v>
      </c>
      <c r="BX26" s="425"/>
      <c r="BY26" s="33"/>
      <c r="CA26"/>
      <c r="CB26" s="33"/>
      <c r="CC26" s="36"/>
      <c r="CE26" s="37"/>
      <c r="CN26" s="20"/>
    </row>
    <row r="27" spans="1:92" hidden="1">
      <c r="A27" s="412" t="s">
        <v>2380</v>
      </c>
      <c r="B27" s="412" t="s">
        <v>2540</v>
      </c>
      <c r="C27" s="418" t="s">
        <v>371</v>
      </c>
      <c r="D27" s="418" t="s">
        <v>2541</v>
      </c>
      <c r="E27" s="551" t="s">
        <v>2686</v>
      </c>
      <c r="F27" s="418" t="s">
        <v>321</v>
      </c>
      <c r="G27" s="551" t="str">
        <f>VLOOKUP(WWWW[[#This Row],[Village  Name]],SiteDB6[[Site Name]:[Location Type]],8,FALSE)</f>
        <v>Village</v>
      </c>
      <c r="H27" s="418" t="s">
        <v>2544</v>
      </c>
      <c r="I27" s="420">
        <v>152</v>
      </c>
      <c r="J27" s="420">
        <v>798</v>
      </c>
      <c r="K27" s="426">
        <v>43480</v>
      </c>
      <c r="L27" s="427">
        <v>43723</v>
      </c>
      <c r="M27" s="420"/>
      <c r="N27" s="420"/>
      <c r="O27" s="420"/>
      <c r="P27" s="420"/>
      <c r="Q27" s="420"/>
      <c r="R27" s="420"/>
      <c r="S27" s="420"/>
      <c r="T27" s="642"/>
      <c r="U27" s="420"/>
      <c r="V27" s="611" t="s">
        <v>132</v>
      </c>
      <c r="W27" s="420"/>
      <c r="X27" s="420"/>
      <c r="Y27" s="420"/>
      <c r="Z27" s="420"/>
      <c r="AA27" s="420"/>
      <c r="AB27" s="642"/>
      <c r="AC27" s="420">
        <v>130</v>
      </c>
      <c r="AD27" s="420">
        <v>22</v>
      </c>
      <c r="AE27" s="420"/>
      <c r="AF27" s="420"/>
      <c r="AG27" s="420"/>
      <c r="AH27" s="420"/>
      <c r="AI27" s="420"/>
      <c r="AJ27" s="420"/>
      <c r="AK27" s="420"/>
      <c r="AL27" s="420"/>
      <c r="AM27" s="642"/>
      <c r="AN27" s="420"/>
      <c r="AO27" s="420"/>
      <c r="AP2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 s="419">
        <f>WWWW[[#This Row],[%Equitable and continuous access to sufficient quantity of safe drinking water]]*WWWW[[#This Row],[Total PoP ]]</f>
        <v>0</v>
      </c>
      <c r="AR2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 s="419">
        <f>WWWW[[#This Row],[% Access to unimproved water points]]*WWWW[[#This Row],[Total PoP ]]</f>
        <v>0</v>
      </c>
      <c r="AT2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 s="419">
        <f>WWWW[[#This Row],[HRP1]]/250</f>
        <v>0</v>
      </c>
      <c r="AW27" s="424">
        <f>1-WWWW[[#This Row],[% Equitable and continuous access to sufficient quantity of domestic water]]</f>
        <v>1</v>
      </c>
      <c r="AX27" s="419">
        <f>WWWW[[#This Row],[%equitable and continuous access to sufficient quantity of safe drinking and domestic water''s GAP]]*WWWW[[#This Row],[Total PoP ]]</f>
        <v>798</v>
      </c>
      <c r="AY27" s="421">
        <f>IF(WWWW[[#This Row],[Total required water points]]-WWWW[[#This Row],['#Water points coverage]]&lt;0,0,WWWW[[#This Row],[Total required water points]]-WWWW[[#This Row],['#Water points coverage]])</f>
        <v>3</v>
      </c>
      <c r="AZ27" s="421">
        <f>ROUND(IF(WWWW[[#This Row],[Total PoP ]]&lt;250,1,WWWW[[#This Row],[Total PoP ]]/250),0)</f>
        <v>3</v>
      </c>
      <c r="BA2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 s="419">
        <f>WWWW[[#This Row],[% people access to functioning Latrine]]*WWWW[[#This Row],[Total PoP ]]</f>
        <v>0</v>
      </c>
      <c r="BC27" s="421">
        <f>WWWW[[#This Row],['#_of_Functioning_latrines_in_school]]*50</f>
        <v>0</v>
      </c>
      <c r="BD27" s="421">
        <f>ROUND((WWWW[[#This Row],[Total PoP ]]/6),0)</f>
        <v>133</v>
      </c>
      <c r="BE27" s="421">
        <f>IF(WWWW[[#This Row],[Total required Latrines]]-(WWWW[[#This Row],['#_of_sanitary_fly-proof_HH_latrines]])&lt;0,0,WWWW[[#This Row],[Total required Latrines]]-(WWWW[[#This Row],['#_of_sanitary_fly-proof_HH_latrines]]))</f>
        <v>133</v>
      </c>
      <c r="BF27" s="72">
        <f>1-WWWW[[#This Row],[% people access to functioning Latrine]]</f>
        <v>1</v>
      </c>
      <c r="BG2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152</v>
      </c>
      <c r="BH27" s="419">
        <f>IF(WWWW[[#This Row],['#_of_functional_handwashing_facilities_at_HH_level]]*6&gt;WWWW[[#This Row],[Total PoP ]],WWWW[[#This Row],[Total PoP ]],WWWW[[#This Row],['#_of_functional_handwashing_facilities_at_HH_level]]*6)</f>
        <v>0</v>
      </c>
      <c r="BI27" s="421">
        <f>IF(WWWW[[#This Row],['# people reached by regular dedicated hygiene promotion]]&gt;WWWW[[#This Row],['# People received regular supply of hygiene items]],WWWW[[#This Row],['# people reached by regular dedicated hygiene promotion]],WWWW[[#This Row],['# People received regular supply of hygiene items]])</f>
        <v>152</v>
      </c>
      <c r="BJ27" s="424">
        <f>IF(WWWW[[#This Row],[HRP3]]/WWWW[[#This Row],[Total PoP ]]&gt;100%,100%,WWWW[[#This Row],[HRP3]]/WWWW[[#This Row],[Total PoP ]])</f>
        <v>0.19047619047619047</v>
      </c>
      <c r="BK27" s="423">
        <f>1-WWWW[[#This Row],[Hygiene Coverage%]]</f>
        <v>0.80952380952380953</v>
      </c>
      <c r="BL27" s="422">
        <f>WWWW[[#This Row],['# people reached by regular dedicated hygiene promotion]]/WWWW[[#This Row],[Total PoP ]]</f>
        <v>0.19047619047619047</v>
      </c>
      <c r="BM2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 s="421">
        <f>WWWW[[#This Row],['#_of_affected_women_and_girls_receiving_a_sufficient_quantity_of_sanitary_pads]]</f>
        <v>0</v>
      </c>
      <c r="BO27" s="420">
        <f>IF(WWWW[[#This Row],['# People with access to soap]]&gt;WWWW[[#This Row],['# People with access to Sanity Pads]],WWWW[[#This Row],['# People with access to soap]],WWWW[[#This Row],['# People with access to Sanity Pads]])</f>
        <v>0</v>
      </c>
      <c r="BP27" s="419" t="str">
        <f>IF(OR(WWWW[[#This Row],['#of students in school]]="",WWWW[[#This Row],['#of students in school]]=0),"No","Yes")</f>
        <v>No</v>
      </c>
      <c r="BQ27" s="417" t="str">
        <f>VLOOKUP(WWWW[[#This Row],[Village  Name]],SiteDB6[[Site Name]:[Location Type 1]],9,FALSE)</f>
        <v>Village</v>
      </c>
      <c r="BR27" s="417" t="str">
        <f>VLOOKUP(WWWW[[#This Row],[Village  Name]],SiteDB6[[Site Name]:[Type of Accommodation]],10,FALSE)</f>
        <v>Village</v>
      </c>
      <c r="BS27" s="417" t="str">
        <f>VLOOKUP(WWWW[[#This Row],[Village  Name]],SiteDB6[[Site Name]:[Ethnic or GCA/NGCA]],11,FALSE)</f>
        <v>Muslim</v>
      </c>
      <c r="BT27" s="417">
        <f>VLOOKUP(WWWW[[#This Row],[Village  Name]],SiteDB6[[Site Name]:[Lat]],12,FALSE)</f>
        <v>0</v>
      </c>
      <c r="BU27" s="417">
        <f>VLOOKUP(WWWW[[#This Row],[Village  Name]],SiteDB6[[Site Name]:[Long]],13,FALSE)</f>
        <v>0</v>
      </c>
      <c r="BV27" s="417">
        <f>VLOOKUP(WWWW[[#This Row],[Village  Name]],SiteDB6[[Site Name]:[Pcode]],3,FALSE)</f>
        <v>198351</v>
      </c>
      <c r="BW27" s="425" t="str">
        <f t="shared" si="0"/>
        <v>Covered</v>
      </c>
      <c r="BX27" s="425"/>
      <c r="BY27" s="33"/>
      <c r="CA27"/>
      <c r="CB27" s="33"/>
      <c r="CC27" s="36"/>
      <c r="CE27" s="37"/>
      <c r="CN27" s="20"/>
    </row>
    <row r="28" spans="1:92" hidden="1">
      <c r="A28" s="412" t="s">
        <v>2380</v>
      </c>
      <c r="B28" s="412" t="s">
        <v>2540</v>
      </c>
      <c r="C28" s="418" t="s">
        <v>371</v>
      </c>
      <c r="D28" s="418" t="s">
        <v>2541</v>
      </c>
      <c r="E28" s="551" t="s">
        <v>2686</v>
      </c>
      <c r="F28" s="418" t="s">
        <v>321</v>
      </c>
      <c r="G28" s="551" t="str">
        <f>VLOOKUP(WWWW[[#This Row],[Village  Name]],SiteDB6[[Site Name]:[Location Type]],8,FALSE)</f>
        <v>Village</v>
      </c>
      <c r="H28" s="418" t="s">
        <v>2546</v>
      </c>
      <c r="I28" s="420">
        <v>136</v>
      </c>
      <c r="J28" s="420">
        <v>847</v>
      </c>
      <c r="K28" s="426">
        <v>43480</v>
      </c>
      <c r="L28" s="427">
        <v>43723</v>
      </c>
      <c r="M28" s="420"/>
      <c r="N28" s="420"/>
      <c r="O28" s="420"/>
      <c r="P28" s="420"/>
      <c r="Q28" s="420"/>
      <c r="R28" s="420"/>
      <c r="S28" s="420"/>
      <c r="T28" s="642"/>
      <c r="U28" s="420"/>
      <c r="V28" s="611" t="s">
        <v>132</v>
      </c>
      <c r="W28" s="420"/>
      <c r="X28" s="420"/>
      <c r="Y28" s="420"/>
      <c r="Z28" s="420"/>
      <c r="AA28" s="420"/>
      <c r="AB28" s="642"/>
      <c r="AC28" s="420">
        <v>96</v>
      </c>
      <c r="AD28" s="420">
        <v>41</v>
      </c>
      <c r="AE28" s="420"/>
      <c r="AF28" s="420"/>
      <c r="AG28" s="420"/>
      <c r="AH28" s="420"/>
      <c r="AI28" s="420"/>
      <c r="AJ28" s="420"/>
      <c r="AK28" s="420"/>
      <c r="AL28" s="420"/>
      <c r="AM28" s="642"/>
      <c r="AN28" s="420"/>
      <c r="AO28" s="420"/>
      <c r="AP2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 s="419">
        <f>WWWW[[#This Row],[%Equitable and continuous access to sufficient quantity of safe drinking water]]*WWWW[[#This Row],[Total PoP ]]</f>
        <v>0</v>
      </c>
      <c r="AR2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 s="419">
        <f>WWWW[[#This Row],[% Access to unimproved water points]]*WWWW[[#This Row],[Total PoP ]]</f>
        <v>0</v>
      </c>
      <c r="AT2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 s="419">
        <f>WWWW[[#This Row],[HRP1]]/250</f>
        <v>0</v>
      </c>
      <c r="AW28" s="424">
        <f>1-WWWW[[#This Row],[% Equitable and continuous access to sufficient quantity of domestic water]]</f>
        <v>1</v>
      </c>
      <c r="AX28" s="419">
        <f>WWWW[[#This Row],[%equitable and continuous access to sufficient quantity of safe drinking and domestic water''s GAP]]*WWWW[[#This Row],[Total PoP ]]</f>
        <v>847</v>
      </c>
      <c r="AY28" s="421">
        <f>IF(WWWW[[#This Row],[Total required water points]]-WWWW[[#This Row],['#Water points coverage]]&lt;0,0,WWWW[[#This Row],[Total required water points]]-WWWW[[#This Row],['#Water points coverage]])</f>
        <v>3</v>
      </c>
      <c r="AZ28" s="421">
        <f>ROUND(IF(WWWW[[#This Row],[Total PoP ]]&lt;250,1,WWWW[[#This Row],[Total PoP ]]/250),0)</f>
        <v>3</v>
      </c>
      <c r="BA2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 s="419">
        <f>WWWW[[#This Row],[% people access to functioning Latrine]]*WWWW[[#This Row],[Total PoP ]]</f>
        <v>0</v>
      </c>
      <c r="BC28" s="421">
        <f>WWWW[[#This Row],['#_of_Functioning_latrines_in_school]]*50</f>
        <v>0</v>
      </c>
      <c r="BD28" s="421">
        <f>ROUND((WWWW[[#This Row],[Total PoP ]]/6),0)</f>
        <v>141</v>
      </c>
      <c r="BE28" s="421">
        <f>IF(WWWW[[#This Row],[Total required Latrines]]-(WWWW[[#This Row],['#_of_sanitary_fly-proof_HH_latrines]])&lt;0,0,WWWW[[#This Row],[Total required Latrines]]-(WWWW[[#This Row],['#_of_sanitary_fly-proof_HH_latrines]]))</f>
        <v>141</v>
      </c>
      <c r="BF28" s="72">
        <f>1-WWWW[[#This Row],[% people access to functioning Latrine]]</f>
        <v>1</v>
      </c>
      <c r="BG2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137</v>
      </c>
      <c r="BH28" s="419">
        <f>IF(WWWW[[#This Row],['#_of_functional_handwashing_facilities_at_HH_level]]*6&gt;WWWW[[#This Row],[Total PoP ]],WWWW[[#This Row],[Total PoP ]],WWWW[[#This Row],['#_of_functional_handwashing_facilities_at_HH_level]]*6)</f>
        <v>0</v>
      </c>
      <c r="BI28" s="421">
        <f>IF(WWWW[[#This Row],['# people reached by regular dedicated hygiene promotion]]&gt;WWWW[[#This Row],['# People received regular supply of hygiene items]],WWWW[[#This Row],['# people reached by regular dedicated hygiene promotion]],WWWW[[#This Row],['# People received regular supply of hygiene items]])</f>
        <v>137</v>
      </c>
      <c r="BJ28" s="424">
        <f>IF(WWWW[[#This Row],[HRP3]]/WWWW[[#This Row],[Total PoP ]]&gt;100%,100%,WWWW[[#This Row],[HRP3]]/WWWW[[#This Row],[Total PoP ]])</f>
        <v>0.16174734356552539</v>
      </c>
      <c r="BK28" s="423">
        <f>1-WWWW[[#This Row],[Hygiene Coverage%]]</f>
        <v>0.83825265643447455</v>
      </c>
      <c r="BL28" s="422">
        <f>WWWW[[#This Row],['# people reached by regular dedicated hygiene promotion]]/WWWW[[#This Row],[Total PoP ]]</f>
        <v>0.16174734356552539</v>
      </c>
      <c r="BM2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 s="421">
        <f>WWWW[[#This Row],['#_of_affected_women_and_girls_receiving_a_sufficient_quantity_of_sanitary_pads]]</f>
        <v>0</v>
      </c>
      <c r="BO28" s="420">
        <f>IF(WWWW[[#This Row],['# People with access to soap]]&gt;WWWW[[#This Row],['# People with access to Sanity Pads]],WWWW[[#This Row],['# People with access to soap]],WWWW[[#This Row],['# People with access to Sanity Pads]])</f>
        <v>0</v>
      </c>
      <c r="BP28" s="419" t="str">
        <f>IF(OR(WWWW[[#This Row],['#of students in school]]="",WWWW[[#This Row],['#of students in school]]=0),"No","Yes")</f>
        <v>No</v>
      </c>
      <c r="BQ28" s="417" t="str">
        <f>VLOOKUP(WWWW[[#This Row],[Village  Name]],SiteDB6[[Site Name]:[Location Type 1]],9,FALSE)</f>
        <v>Village</v>
      </c>
      <c r="BR28" s="417" t="str">
        <f>VLOOKUP(WWWW[[#This Row],[Village  Name]],SiteDB6[[Site Name]:[Type of Accommodation]],10,FALSE)</f>
        <v>Village</v>
      </c>
      <c r="BS28" s="417" t="str">
        <f>VLOOKUP(WWWW[[#This Row],[Village  Name]],SiteDB6[[Site Name]:[Ethnic or GCA/NGCA]],11,FALSE)</f>
        <v>Muslim</v>
      </c>
      <c r="BT28" s="417">
        <f>VLOOKUP(WWWW[[#This Row],[Village  Name]],SiteDB6[[Site Name]:[Lat]],12,FALSE)</f>
        <v>0</v>
      </c>
      <c r="BU28" s="417">
        <f>VLOOKUP(WWWW[[#This Row],[Village  Name]],SiteDB6[[Site Name]:[Long]],13,FALSE)</f>
        <v>0</v>
      </c>
      <c r="BV28" s="417">
        <f>VLOOKUP(WWWW[[#This Row],[Village  Name]],SiteDB6[[Site Name]:[Pcode]],3,FALSE)</f>
        <v>0</v>
      </c>
      <c r="BW28" s="425" t="str">
        <f t="shared" si="0"/>
        <v>Covered</v>
      </c>
      <c r="BX28" s="425"/>
      <c r="BY28" s="33"/>
      <c r="CA28"/>
      <c r="CB28" s="33"/>
      <c r="CC28" s="36"/>
      <c r="CE28" s="37"/>
      <c r="CN28" s="20"/>
    </row>
    <row r="29" spans="1:92" hidden="1">
      <c r="A29" s="412" t="s">
        <v>2380</v>
      </c>
      <c r="B29" s="412" t="s">
        <v>2540</v>
      </c>
      <c r="C29" s="418" t="s">
        <v>371</v>
      </c>
      <c r="D29" s="418" t="s">
        <v>2541</v>
      </c>
      <c r="E29" s="551" t="s">
        <v>2686</v>
      </c>
      <c r="F29" s="418" t="s">
        <v>321</v>
      </c>
      <c r="G29" s="551" t="str">
        <f>VLOOKUP(WWWW[[#This Row],[Village  Name]],SiteDB6[[Site Name]:[Location Type]],8,FALSE)</f>
        <v>Village</v>
      </c>
      <c r="H29" s="418" t="s">
        <v>588</v>
      </c>
      <c r="I29" s="420">
        <v>20</v>
      </c>
      <c r="J29" s="420">
        <v>91</v>
      </c>
      <c r="K29" s="426">
        <v>43480</v>
      </c>
      <c r="L29" s="427">
        <v>43723</v>
      </c>
      <c r="M29" s="420"/>
      <c r="N29" s="420"/>
      <c r="O29" s="420"/>
      <c r="P29" s="420"/>
      <c r="Q29" s="420"/>
      <c r="R29" s="420"/>
      <c r="S29" s="420"/>
      <c r="T29" s="642"/>
      <c r="U29" s="420"/>
      <c r="V29" s="611" t="s">
        <v>132</v>
      </c>
      <c r="W29" s="420"/>
      <c r="X29" s="420"/>
      <c r="Y29" s="420"/>
      <c r="Z29" s="420"/>
      <c r="AA29" s="420"/>
      <c r="AB29" s="642"/>
      <c r="AC29" s="420">
        <v>15</v>
      </c>
      <c r="AD29" s="420">
        <v>5</v>
      </c>
      <c r="AE29" s="420"/>
      <c r="AF29" s="420"/>
      <c r="AG29" s="420"/>
      <c r="AH29" s="420"/>
      <c r="AI29" s="420"/>
      <c r="AJ29" s="420"/>
      <c r="AK29" s="420"/>
      <c r="AL29" s="420"/>
      <c r="AM29" s="642"/>
      <c r="AN29" s="420"/>
      <c r="AO29" s="420"/>
      <c r="AP2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 s="419">
        <f>WWWW[[#This Row],[%Equitable and continuous access to sufficient quantity of safe drinking water]]*WWWW[[#This Row],[Total PoP ]]</f>
        <v>0</v>
      </c>
      <c r="AR2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 s="419">
        <f>WWWW[[#This Row],[% Access to unimproved water points]]*WWWW[[#This Row],[Total PoP ]]</f>
        <v>0</v>
      </c>
      <c r="AT2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 s="419">
        <f>WWWW[[#This Row],[HRP1]]/250</f>
        <v>0</v>
      </c>
      <c r="AW29" s="424">
        <f>1-WWWW[[#This Row],[% Equitable and continuous access to sufficient quantity of domestic water]]</f>
        <v>1</v>
      </c>
      <c r="AX29" s="419">
        <f>WWWW[[#This Row],[%equitable and continuous access to sufficient quantity of safe drinking and domestic water''s GAP]]*WWWW[[#This Row],[Total PoP ]]</f>
        <v>91</v>
      </c>
      <c r="AY29" s="421">
        <f>IF(WWWW[[#This Row],[Total required water points]]-WWWW[[#This Row],['#Water points coverage]]&lt;0,0,WWWW[[#This Row],[Total required water points]]-WWWW[[#This Row],['#Water points coverage]])</f>
        <v>1</v>
      </c>
      <c r="AZ29" s="421">
        <f>ROUND(IF(WWWW[[#This Row],[Total PoP ]]&lt;250,1,WWWW[[#This Row],[Total PoP ]]/250),0)</f>
        <v>1</v>
      </c>
      <c r="BA2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 s="419">
        <f>WWWW[[#This Row],[% people access to functioning Latrine]]*WWWW[[#This Row],[Total PoP ]]</f>
        <v>0</v>
      </c>
      <c r="BC29" s="421">
        <f>WWWW[[#This Row],['#_of_Functioning_latrines_in_school]]*50</f>
        <v>0</v>
      </c>
      <c r="BD29" s="421">
        <f>ROUND((WWWW[[#This Row],[Total PoP ]]/6),0)</f>
        <v>15</v>
      </c>
      <c r="BE29" s="421">
        <f>IF(WWWW[[#This Row],[Total required Latrines]]-(WWWW[[#This Row],['#_of_sanitary_fly-proof_HH_latrines]])&lt;0,0,WWWW[[#This Row],[Total required Latrines]]-(WWWW[[#This Row],['#_of_sanitary_fly-proof_HH_latrines]]))</f>
        <v>15</v>
      </c>
      <c r="BF29" s="72">
        <f>1-WWWW[[#This Row],[% people access to functioning Latrine]]</f>
        <v>1</v>
      </c>
      <c r="BG2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29" s="419">
        <f>IF(WWWW[[#This Row],['#_of_functional_handwashing_facilities_at_HH_level]]*6&gt;WWWW[[#This Row],[Total PoP ]],WWWW[[#This Row],[Total PoP ]],WWWW[[#This Row],['#_of_functional_handwashing_facilities_at_HH_level]]*6)</f>
        <v>0</v>
      </c>
      <c r="BI29" s="421">
        <f>IF(WWWW[[#This Row],['# people reached by regular dedicated hygiene promotion]]&gt;WWWW[[#This Row],['# People received regular supply of hygiene items]],WWWW[[#This Row],['# people reached by regular dedicated hygiene promotion]],WWWW[[#This Row],['# People received regular supply of hygiene items]])</f>
        <v>20</v>
      </c>
      <c r="BJ29" s="424">
        <f>IF(WWWW[[#This Row],[HRP3]]/WWWW[[#This Row],[Total PoP ]]&gt;100%,100%,WWWW[[#This Row],[HRP3]]/WWWW[[#This Row],[Total PoP ]])</f>
        <v>0.21978021978021978</v>
      </c>
      <c r="BK29" s="423">
        <f>1-WWWW[[#This Row],[Hygiene Coverage%]]</f>
        <v>0.78021978021978022</v>
      </c>
      <c r="BL29" s="422">
        <f>WWWW[[#This Row],['# people reached by regular dedicated hygiene promotion]]/WWWW[[#This Row],[Total PoP ]]</f>
        <v>0.21978021978021978</v>
      </c>
      <c r="BM2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 s="421">
        <f>WWWW[[#This Row],['#_of_affected_women_and_girls_receiving_a_sufficient_quantity_of_sanitary_pads]]</f>
        <v>0</v>
      </c>
      <c r="BO29" s="420">
        <f>IF(WWWW[[#This Row],['# People with access to soap]]&gt;WWWW[[#This Row],['# People with access to Sanity Pads]],WWWW[[#This Row],['# People with access to soap]],WWWW[[#This Row],['# People with access to Sanity Pads]])</f>
        <v>0</v>
      </c>
      <c r="BP29" s="419" t="str">
        <f>IF(OR(WWWW[[#This Row],['#of students in school]]="",WWWW[[#This Row],['#of students in school]]=0),"No","Yes")</f>
        <v>No</v>
      </c>
      <c r="BQ29" s="417" t="str">
        <f>VLOOKUP(WWWW[[#This Row],[Village  Name]],SiteDB6[[Site Name]:[Location Type 1]],9,FALSE)</f>
        <v>Village</v>
      </c>
      <c r="BR29" s="417" t="str">
        <f>VLOOKUP(WWWW[[#This Row],[Village  Name]],SiteDB6[[Site Name]:[Type of Accommodation]],10,FALSE)</f>
        <v>Village</v>
      </c>
      <c r="BS29" s="417" t="str">
        <f>VLOOKUP(WWWW[[#This Row],[Village  Name]],SiteDB6[[Site Name]:[Ethnic or GCA/NGCA]],11,FALSE)</f>
        <v>Rakhine</v>
      </c>
      <c r="BT29" s="417">
        <f>VLOOKUP(WWWW[[#This Row],[Village  Name]],SiteDB6[[Site Name]:[Lat]],12,FALSE)</f>
        <v>20.767719270000001</v>
      </c>
      <c r="BU29" s="417">
        <f>VLOOKUP(WWWW[[#This Row],[Village  Name]],SiteDB6[[Site Name]:[Long]],13,FALSE)</f>
        <v>92.631736759999995</v>
      </c>
      <c r="BV29" s="417">
        <f>VLOOKUP(WWWW[[#This Row],[Village  Name]],SiteDB6[[Site Name]:[Pcode]],3,FALSE)</f>
        <v>198409</v>
      </c>
      <c r="BW29" s="425" t="str">
        <f t="shared" si="0"/>
        <v>Covered</v>
      </c>
      <c r="BX29" s="425"/>
      <c r="BY29" s="33"/>
      <c r="CA29"/>
      <c r="CB29" s="33"/>
      <c r="CC29" s="36"/>
      <c r="CE29" s="37"/>
      <c r="CN29" s="20"/>
    </row>
    <row r="30" spans="1:92" hidden="1">
      <c r="A30" s="412" t="s">
        <v>2380</v>
      </c>
      <c r="B30" s="412" t="s">
        <v>2540</v>
      </c>
      <c r="C30" s="418" t="s">
        <v>371</v>
      </c>
      <c r="D30" s="418" t="s">
        <v>2541</v>
      </c>
      <c r="E30" s="551" t="s">
        <v>2686</v>
      </c>
      <c r="F30" s="418" t="s">
        <v>307</v>
      </c>
      <c r="G30" s="551" t="str">
        <f>VLOOKUP(WWWW[[#This Row],[Village  Name]],SiteDB6[[Site Name]:[Location Type]],8,FALSE)</f>
        <v>Village</v>
      </c>
      <c r="H30" s="418" t="s">
        <v>2559</v>
      </c>
      <c r="I30" s="420">
        <v>31</v>
      </c>
      <c r="J30" s="420">
        <v>256</v>
      </c>
      <c r="K30" s="426">
        <v>43480</v>
      </c>
      <c r="L30" s="427">
        <v>43723</v>
      </c>
      <c r="M30" s="420"/>
      <c r="N30" s="420"/>
      <c r="O30" s="420"/>
      <c r="P30" s="420"/>
      <c r="Q30" s="420"/>
      <c r="R30" s="420"/>
      <c r="S30" s="420"/>
      <c r="T30" s="642"/>
      <c r="U30" s="420"/>
      <c r="V30" s="611" t="s">
        <v>132</v>
      </c>
      <c r="W30" s="420"/>
      <c r="X30" s="420"/>
      <c r="Y30" s="420"/>
      <c r="Z30" s="420"/>
      <c r="AA30" s="420"/>
      <c r="AB30" s="642"/>
      <c r="AC30" s="420">
        <v>40</v>
      </c>
      <c r="AD30" s="420">
        <v>24</v>
      </c>
      <c r="AE30" s="420"/>
      <c r="AF30" s="420"/>
      <c r="AG30" s="420"/>
      <c r="AH30" s="420"/>
      <c r="AI30" s="420"/>
      <c r="AJ30" s="420"/>
      <c r="AK30" s="420"/>
      <c r="AL30" s="420"/>
      <c r="AM30" s="642"/>
      <c r="AN30" s="420"/>
      <c r="AO30" s="420"/>
      <c r="AP3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 s="419">
        <f>WWWW[[#This Row],[%Equitable and continuous access to sufficient quantity of safe drinking water]]*WWWW[[#This Row],[Total PoP ]]</f>
        <v>0</v>
      </c>
      <c r="AR3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 s="419">
        <f>WWWW[[#This Row],[% Access to unimproved water points]]*WWWW[[#This Row],[Total PoP ]]</f>
        <v>0</v>
      </c>
      <c r="AT3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 s="419">
        <f>WWWW[[#This Row],[HRP1]]/250</f>
        <v>0</v>
      </c>
      <c r="AW30" s="424">
        <f>1-WWWW[[#This Row],[% Equitable and continuous access to sufficient quantity of domestic water]]</f>
        <v>1</v>
      </c>
      <c r="AX30" s="419">
        <f>WWWW[[#This Row],[%equitable and continuous access to sufficient quantity of safe drinking and domestic water''s GAP]]*WWWW[[#This Row],[Total PoP ]]</f>
        <v>256</v>
      </c>
      <c r="AY30" s="421">
        <f>IF(WWWW[[#This Row],[Total required water points]]-WWWW[[#This Row],['#Water points coverage]]&lt;0,0,WWWW[[#This Row],[Total required water points]]-WWWW[[#This Row],['#Water points coverage]])</f>
        <v>1</v>
      </c>
      <c r="AZ30" s="421">
        <f>ROUND(IF(WWWW[[#This Row],[Total PoP ]]&lt;250,1,WWWW[[#This Row],[Total PoP ]]/250),0)</f>
        <v>1</v>
      </c>
      <c r="BA3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 s="419">
        <f>WWWW[[#This Row],[% people access to functioning Latrine]]*WWWW[[#This Row],[Total PoP ]]</f>
        <v>0</v>
      </c>
      <c r="BC30" s="421">
        <f>WWWW[[#This Row],['#_of_Functioning_latrines_in_school]]*50</f>
        <v>0</v>
      </c>
      <c r="BD30" s="421">
        <f>ROUND((WWWW[[#This Row],[Total PoP ]]/6),0)</f>
        <v>43</v>
      </c>
      <c r="BE30" s="421">
        <f>IF(WWWW[[#This Row],[Total required Latrines]]-(WWWW[[#This Row],['#_of_sanitary_fly-proof_HH_latrines]])&lt;0,0,WWWW[[#This Row],[Total required Latrines]]-(WWWW[[#This Row],['#_of_sanitary_fly-proof_HH_latrines]]))</f>
        <v>43</v>
      </c>
      <c r="BF30" s="72">
        <f>1-WWWW[[#This Row],[% people access to functioning Latrine]]</f>
        <v>1</v>
      </c>
      <c r="BG3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64</v>
      </c>
      <c r="BH30" s="419">
        <f>IF(WWWW[[#This Row],['#_of_functional_handwashing_facilities_at_HH_level]]*6&gt;WWWW[[#This Row],[Total PoP ]],WWWW[[#This Row],[Total PoP ]],WWWW[[#This Row],['#_of_functional_handwashing_facilities_at_HH_level]]*6)</f>
        <v>0</v>
      </c>
      <c r="BI30" s="421">
        <f>IF(WWWW[[#This Row],['# people reached by regular dedicated hygiene promotion]]&gt;WWWW[[#This Row],['# People received regular supply of hygiene items]],WWWW[[#This Row],['# people reached by regular dedicated hygiene promotion]],WWWW[[#This Row],['# People received regular supply of hygiene items]])</f>
        <v>64</v>
      </c>
      <c r="BJ30" s="424">
        <f>IF(WWWW[[#This Row],[HRP3]]/WWWW[[#This Row],[Total PoP ]]&gt;100%,100%,WWWW[[#This Row],[HRP3]]/WWWW[[#This Row],[Total PoP ]])</f>
        <v>0.25</v>
      </c>
      <c r="BK30" s="423">
        <f>1-WWWW[[#This Row],[Hygiene Coverage%]]</f>
        <v>0.75</v>
      </c>
      <c r="BL30" s="422">
        <f>WWWW[[#This Row],['# people reached by regular dedicated hygiene promotion]]/WWWW[[#This Row],[Total PoP ]]</f>
        <v>0.25</v>
      </c>
      <c r="BM3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 s="421">
        <f>WWWW[[#This Row],['#_of_affected_women_and_girls_receiving_a_sufficient_quantity_of_sanitary_pads]]</f>
        <v>0</v>
      </c>
      <c r="BO30" s="420">
        <f>IF(WWWW[[#This Row],['# People with access to soap]]&gt;WWWW[[#This Row],['# People with access to Sanity Pads]],WWWW[[#This Row],['# People with access to soap]],WWWW[[#This Row],['# People with access to Sanity Pads]])</f>
        <v>0</v>
      </c>
      <c r="BP30" s="419" t="str">
        <f>IF(OR(WWWW[[#This Row],['#of students in school]]="",WWWW[[#This Row],['#of students in school]]=0),"No","Yes")</f>
        <v>No</v>
      </c>
      <c r="BQ30" s="417" t="str">
        <f>VLOOKUP(WWWW[[#This Row],[Village  Name]],SiteDB6[[Site Name]:[Location Type 1]],9,FALSE)</f>
        <v>Village</v>
      </c>
      <c r="BR30" s="417" t="str">
        <f>VLOOKUP(WWWW[[#This Row],[Village  Name]],SiteDB6[[Site Name]:[Type of Accommodation]],10,FALSE)</f>
        <v>Village</v>
      </c>
      <c r="BS30" s="417" t="str">
        <f>VLOOKUP(WWWW[[#This Row],[Village  Name]],SiteDB6[[Site Name]:[Ethnic or GCA/NGCA]],11,FALSE)</f>
        <v>Rakhine</v>
      </c>
      <c r="BT30" s="417">
        <f>VLOOKUP(WWWW[[#This Row],[Village  Name]],SiteDB6[[Site Name]:[Lat]],12,FALSE)</f>
        <v>0</v>
      </c>
      <c r="BU30" s="417">
        <f>VLOOKUP(WWWW[[#This Row],[Village  Name]],SiteDB6[[Site Name]:[Long]],13,FALSE)</f>
        <v>0</v>
      </c>
      <c r="BV30" s="417">
        <f>VLOOKUP(WWWW[[#This Row],[Village  Name]],SiteDB6[[Site Name]:[Pcode]],3,FALSE)</f>
        <v>0</v>
      </c>
      <c r="BW30" s="425" t="str">
        <f t="shared" si="0"/>
        <v>Covered</v>
      </c>
      <c r="BX30" s="425"/>
      <c r="BY30" s="33"/>
      <c r="CA30"/>
      <c r="CB30" s="33"/>
      <c r="CC30" s="36"/>
      <c r="CE30" s="37"/>
      <c r="CN30" s="20"/>
    </row>
    <row r="31" spans="1:92" hidden="1">
      <c r="A31" s="412" t="s">
        <v>2380</v>
      </c>
      <c r="B31" s="412" t="s">
        <v>2540</v>
      </c>
      <c r="C31" s="418" t="s">
        <v>371</v>
      </c>
      <c r="D31" s="418" t="s">
        <v>2541</v>
      </c>
      <c r="E31" s="551" t="s">
        <v>2686</v>
      </c>
      <c r="F31" s="418" t="s">
        <v>307</v>
      </c>
      <c r="G31" s="551" t="str">
        <f>VLOOKUP(WWWW[[#This Row],[Village  Name]],SiteDB6[[Site Name]:[Location Type]],8,FALSE)</f>
        <v>Village</v>
      </c>
      <c r="H31" s="418" t="s">
        <v>2061</v>
      </c>
      <c r="I31" s="420">
        <v>86</v>
      </c>
      <c r="J31" s="420">
        <v>401</v>
      </c>
      <c r="K31" s="426">
        <v>43480</v>
      </c>
      <c r="L31" s="427">
        <v>43723</v>
      </c>
      <c r="M31" s="420"/>
      <c r="N31" s="420"/>
      <c r="O31" s="420"/>
      <c r="P31" s="420"/>
      <c r="Q31" s="420"/>
      <c r="R31" s="420"/>
      <c r="S31" s="420"/>
      <c r="T31" s="642"/>
      <c r="U31" s="420"/>
      <c r="V31" s="611" t="s">
        <v>132</v>
      </c>
      <c r="W31" s="420"/>
      <c r="X31" s="420"/>
      <c r="Y31" s="420"/>
      <c r="Z31" s="420"/>
      <c r="AA31" s="420"/>
      <c r="AB31" s="642"/>
      <c r="AC31" s="420">
        <v>45</v>
      </c>
      <c r="AD31" s="420">
        <v>45</v>
      </c>
      <c r="AE31" s="420"/>
      <c r="AF31" s="420"/>
      <c r="AG31" s="420"/>
      <c r="AH31" s="420"/>
      <c r="AI31" s="420"/>
      <c r="AJ31" s="420"/>
      <c r="AK31" s="420"/>
      <c r="AL31" s="420"/>
      <c r="AM31" s="642"/>
      <c r="AN31" s="420"/>
      <c r="AO31" s="420"/>
      <c r="AP3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 s="419">
        <f>WWWW[[#This Row],[%Equitable and continuous access to sufficient quantity of safe drinking water]]*WWWW[[#This Row],[Total PoP ]]</f>
        <v>0</v>
      </c>
      <c r="AR3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 s="419">
        <f>WWWW[[#This Row],[% Access to unimproved water points]]*WWWW[[#This Row],[Total PoP ]]</f>
        <v>0</v>
      </c>
      <c r="AT3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 s="419">
        <f>WWWW[[#This Row],[HRP1]]/250</f>
        <v>0</v>
      </c>
      <c r="AW31" s="424">
        <f>1-WWWW[[#This Row],[% Equitable and continuous access to sufficient quantity of domestic water]]</f>
        <v>1</v>
      </c>
      <c r="AX31" s="419">
        <f>WWWW[[#This Row],[%equitable and continuous access to sufficient quantity of safe drinking and domestic water''s GAP]]*WWWW[[#This Row],[Total PoP ]]</f>
        <v>401</v>
      </c>
      <c r="AY31" s="421">
        <f>IF(WWWW[[#This Row],[Total required water points]]-WWWW[[#This Row],['#Water points coverage]]&lt;0,0,WWWW[[#This Row],[Total required water points]]-WWWW[[#This Row],['#Water points coverage]])</f>
        <v>2</v>
      </c>
      <c r="AZ31" s="421">
        <f>ROUND(IF(WWWW[[#This Row],[Total PoP ]]&lt;250,1,WWWW[[#This Row],[Total PoP ]]/250),0)</f>
        <v>2</v>
      </c>
      <c r="BA3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 s="419">
        <f>WWWW[[#This Row],[% people access to functioning Latrine]]*WWWW[[#This Row],[Total PoP ]]</f>
        <v>0</v>
      </c>
      <c r="BC31" s="421">
        <f>WWWW[[#This Row],['#_of_Functioning_latrines_in_school]]*50</f>
        <v>0</v>
      </c>
      <c r="BD31" s="421">
        <f>ROUND((WWWW[[#This Row],[Total PoP ]]/6),0)</f>
        <v>67</v>
      </c>
      <c r="BE31" s="421">
        <f>IF(WWWW[[#This Row],[Total required Latrines]]-(WWWW[[#This Row],['#_of_sanitary_fly-proof_HH_latrines]])&lt;0,0,WWWW[[#This Row],[Total required Latrines]]-(WWWW[[#This Row],['#_of_sanitary_fly-proof_HH_latrines]]))</f>
        <v>67</v>
      </c>
      <c r="BF31" s="72">
        <f>1-WWWW[[#This Row],[% people access to functioning Latrine]]</f>
        <v>1</v>
      </c>
      <c r="BG3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90</v>
      </c>
      <c r="BH31" s="419">
        <f>IF(WWWW[[#This Row],['#_of_functional_handwashing_facilities_at_HH_level]]*6&gt;WWWW[[#This Row],[Total PoP ]],WWWW[[#This Row],[Total PoP ]],WWWW[[#This Row],['#_of_functional_handwashing_facilities_at_HH_level]]*6)</f>
        <v>0</v>
      </c>
      <c r="BI31" s="421">
        <f>IF(WWWW[[#This Row],['# people reached by regular dedicated hygiene promotion]]&gt;WWWW[[#This Row],['# People received regular supply of hygiene items]],WWWW[[#This Row],['# people reached by regular dedicated hygiene promotion]],WWWW[[#This Row],['# People received regular supply of hygiene items]])</f>
        <v>90</v>
      </c>
      <c r="BJ31" s="424">
        <f>IF(WWWW[[#This Row],[HRP3]]/WWWW[[#This Row],[Total PoP ]]&gt;100%,100%,WWWW[[#This Row],[HRP3]]/WWWW[[#This Row],[Total PoP ]])</f>
        <v>0.22443890274314215</v>
      </c>
      <c r="BK31" s="423">
        <f>1-WWWW[[#This Row],[Hygiene Coverage%]]</f>
        <v>0.77556109725685785</v>
      </c>
      <c r="BL31" s="422">
        <f>WWWW[[#This Row],['# people reached by regular dedicated hygiene promotion]]/WWWW[[#This Row],[Total PoP ]]</f>
        <v>0.22443890274314215</v>
      </c>
      <c r="BM3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 s="421">
        <f>WWWW[[#This Row],['#_of_affected_women_and_girls_receiving_a_sufficient_quantity_of_sanitary_pads]]</f>
        <v>0</v>
      </c>
      <c r="BO31" s="420">
        <f>IF(WWWW[[#This Row],['# People with access to soap]]&gt;WWWW[[#This Row],['# People with access to Sanity Pads]],WWWW[[#This Row],['# People with access to soap]],WWWW[[#This Row],['# People with access to Sanity Pads]])</f>
        <v>0</v>
      </c>
      <c r="BP31" s="419" t="str">
        <f>IF(OR(WWWW[[#This Row],['#of students in school]]="",WWWW[[#This Row],['#of students in school]]=0),"No","Yes")</f>
        <v>No</v>
      </c>
      <c r="BQ31" s="417" t="str">
        <f>VLOOKUP(WWWW[[#This Row],[Village  Name]],SiteDB6[[Site Name]:[Location Type 1]],9,FALSE)</f>
        <v>Village</v>
      </c>
      <c r="BR31" s="417" t="str">
        <f>VLOOKUP(WWWW[[#This Row],[Village  Name]],SiteDB6[[Site Name]:[Type of Accommodation]],10,FALSE)</f>
        <v>Village</v>
      </c>
      <c r="BS31" s="417" t="str">
        <f>VLOOKUP(WWWW[[#This Row],[Village  Name]],SiteDB6[[Site Name]:[Ethnic or GCA/NGCA]],11,FALSE)</f>
        <v>Rakhine</v>
      </c>
      <c r="BT31" s="417">
        <f>VLOOKUP(WWWW[[#This Row],[Village  Name]],SiteDB6[[Site Name]:[Lat]],12,FALSE)</f>
        <v>20.806211470000001</v>
      </c>
      <c r="BU31" s="417">
        <f>VLOOKUP(WWWW[[#This Row],[Village  Name]],SiteDB6[[Site Name]:[Long]],13,FALSE)</f>
        <v>92.404357910000002</v>
      </c>
      <c r="BV31" s="417">
        <f>VLOOKUP(WWWW[[#This Row],[Village  Name]],SiteDB6[[Site Name]:[Pcode]],3,FALSE)</f>
        <v>220737</v>
      </c>
      <c r="BW31" s="425" t="str">
        <f t="shared" si="0"/>
        <v>Covered</v>
      </c>
      <c r="BX31" s="425"/>
      <c r="BY31" s="33"/>
      <c r="CA31"/>
      <c r="CB31" s="33"/>
      <c r="CC31" s="36"/>
      <c r="CE31" s="37"/>
      <c r="CN31" s="20"/>
    </row>
    <row r="32" spans="1:92" hidden="1">
      <c r="A32" s="412" t="s">
        <v>2380</v>
      </c>
      <c r="B32" s="412" t="s">
        <v>2540</v>
      </c>
      <c r="C32" s="418" t="s">
        <v>371</v>
      </c>
      <c r="D32" s="418" t="s">
        <v>2541</v>
      </c>
      <c r="E32" s="551" t="s">
        <v>2686</v>
      </c>
      <c r="F32" s="418" t="s">
        <v>321</v>
      </c>
      <c r="G32" s="551" t="str">
        <f>VLOOKUP(WWWW[[#This Row],[Village  Name]],SiteDB6[[Site Name]:[Location Type]],8,FALSE)</f>
        <v>Village</v>
      </c>
      <c r="H32" s="418" t="s">
        <v>2548</v>
      </c>
      <c r="I32" s="420">
        <v>23</v>
      </c>
      <c r="J32" s="420">
        <v>86</v>
      </c>
      <c r="K32" s="426">
        <v>43480</v>
      </c>
      <c r="L32" s="427">
        <v>43723</v>
      </c>
      <c r="M32" s="420"/>
      <c r="N32" s="420"/>
      <c r="O32" s="420"/>
      <c r="P32" s="420"/>
      <c r="Q32" s="420"/>
      <c r="R32" s="420"/>
      <c r="S32" s="420"/>
      <c r="T32" s="642"/>
      <c r="U32" s="420"/>
      <c r="V32" s="611" t="s">
        <v>132</v>
      </c>
      <c r="W32" s="420"/>
      <c r="X32" s="420"/>
      <c r="Y32" s="420"/>
      <c r="Z32" s="420"/>
      <c r="AA32" s="420"/>
      <c r="AB32" s="642"/>
      <c r="AC32" s="420">
        <v>17</v>
      </c>
      <c r="AD32" s="420">
        <v>6</v>
      </c>
      <c r="AE32" s="420"/>
      <c r="AF32" s="420"/>
      <c r="AG32" s="420"/>
      <c r="AH32" s="420"/>
      <c r="AI32" s="420"/>
      <c r="AJ32" s="420"/>
      <c r="AK32" s="420"/>
      <c r="AL32" s="420"/>
      <c r="AM32" s="642"/>
      <c r="AN32" s="420"/>
      <c r="AO32" s="420"/>
      <c r="AP3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2" s="419">
        <f>WWWW[[#This Row],[%Equitable and continuous access to sufficient quantity of safe drinking water]]*WWWW[[#This Row],[Total PoP ]]</f>
        <v>0</v>
      </c>
      <c r="AR3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 s="419">
        <f>WWWW[[#This Row],[% Access to unimproved water points]]*WWWW[[#This Row],[Total PoP ]]</f>
        <v>0</v>
      </c>
      <c r="AT3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2" s="419">
        <f>WWWW[[#This Row],[HRP1]]/250</f>
        <v>0</v>
      </c>
      <c r="AW32" s="424">
        <f>1-WWWW[[#This Row],[% Equitable and continuous access to sufficient quantity of domestic water]]</f>
        <v>1</v>
      </c>
      <c r="AX32" s="419">
        <f>WWWW[[#This Row],[%equitable and continuous access to sufficient quantity of safe drinking and domestic water''s GAP]]*WWWW[[#This Row],[Total PoP ]]</f>
        <v>86</v>
      </c>
      <c r="AY32" s="421">
        <f>IF(WWWW[[#This Row],[Total required water points]]-WWWW[[#This Row],['#Water points coverage]]&lt;0,0,WWWW[[#This Row],[Total required water points]]-WWWW[[#This Row],['#Water points coverage]])</f>
        <v>1</v>
      </c>
      <c r="AZ32" s="421">
        <f>ROUND(IF(WWWW[[#This Row],[Total PoP ]]&lt;250,1,WWWW[[#This Row],[Total PoP ]]/250),0)</f>
        <v>1</v>
      </c>
      <c r="BA3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 s="419">
        <f>WWWW[[#This Row],[% people access to functioning Latrine]]*WWWW[[#This Row],[Total PoP ]]</f>
        <v>0</v>
      </c>
      <c r="BC32" s="421">
        <f>WWWW[[#This Row],['#_of_Functioning_latrines_in_school]]*50</f>
        <v>0</v>
      </c>
      <c r="BD32" s="421">
        <f>ROUND((WWWW[[#This Row],[Total PoP ]]/6),0)</f>
        <v>14</v>
      </c>
      <c r="BE32" s="421">
        <f>IF(WWWW[[#This Row],[Total required Latrines]]-(WWWW[[#This Row],['#_of_sanitary_fly-proof_HH_latrines]])&lt;0,0,WWWW[[#This Row],[Total required Latrines]]-(WWWW[[#This Row],['#_of_sanitary_fly-proof_HH_latrines]]))</f>
        <v>14</v>
      </c>
      <c r="BF32" s="72">
        <f>1-WWWW[[#This Row],[% people access to functioning Latrine]]</f>
        <v>1</v>
      </c>
      <c r="BG3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23</v>
      </c>
      <c r="BH32" s="419">
        <f>IF(WWWW[[#This Row],['#_of_functional_handwashing_facilities_at_HH_level]]*6&gt;WWWW[[#This Row],[Total PoP ]],WWWW[[#This Row],[Total PoP ]],WWWW[[#This Row],['#_of_functional_handwashing_facilities_at_HH_level]]*6)</f>
        <v>0</v>
      </c>
      <c r="BI32" s="421">
        <f>IF(WWWW[[#This Row],['# people reached by regular dedicated hygiene promotion]]&gt;WWWW[[#This Row],['# People received regular supply of hygiene items]],WWWW[[#This Row],['# people reached by regular dedicated hygiene promotion]],WWWW[[#This Row],['# People received regular supply of hygiene items]])</f>
        <v>23</v>
      </c>
      <c r="BJ32" s="424">
        <f>IF(WWWW[[#This Row],[HRP3]]/WWWW[[#This Row],[Total PoP ]]&gt;100%,100%,WWWW[[#This Row],[HRP3]]/WWWW[[#This Row],[Total PoP ]])</f>
        <v>0.26744186046511625</v>
      </c>
      <c r="BK32" s="423">
        <f>1-WWWW[[#This Row],[Hygiene Coverage%]]</f>
        <v>0.73255813953488369</v>
      </c>
      <c r="BL32" s="422">
        <f>WWWW[[#This Row],['# people reached by regular dedicated hygiene promotion]]/WWWW[[#This Row],[Total PoP ]]</f>
        <v>0.26744186046511625</v>
      </c>
      <c r="BM3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 s="421">
        <f>WWWW[[#This Row],['#_of_affected_women_and_girls_receiving_a_sufficient_quantity_of_sanitary_pads]]</f>
        <v>0</v>
      </c>
      <c r="BO32" s="420">
        <f>IF(WWWW[[#This Row],['# People with access to soap]]&gt;WWWW[[#This Row],['# People with access to Sanity Pads]],WWWW[[#This Row],['# People with access to soap]],WWWW[[#This Row],['# People with access to Sanity Pads]])</f>
        <v>0</v>
      </c>
      <c r="BP32" s="419" t="str">
        <f>IF(OR(WWWW[[#This Row],['#of students in school]]="",WWWW[[#This Row],['#of students in school]]=0),"No","Yes")</f>
        <v>No</v>
      </c>
      <c r="BQ32" s="417" t="str">
        <f>VLOOKUP(WWWW[[#This Row],[Village  Name]],SiteDB6[[Site Name]:[Location Type 1]],9,FALSE)</f>
        <v>Village</v>
      </c>
      <c r="BR32" s="417" t="str">
        <f>VLOOKUP(WWWW[[#This Row],[Village  Name]],SiteDB6[[Site Name]:[Type of Accommodation]],10,FALSE)</f>
        <v>Village</v>
      </c>
      <c r="BS32" s="417" t="str">
        <f>VLOOKUP(WWWW[[#This Row],[Village  Name]],SiteDB6[[Site Name]:[Ethnic or GCA/NGCA]],11,FALSE)</f>
        <v>Rakhine</v>
      </c>
      <c r="BT32" s="417">
        <f>VLOOKUP(WWWW[[#This Row],[Village  Name]],SiteDB6[[Site Name]:[Lat]],12,FALSE)</f>
        <v>0</v>
      </c>
      <c r="BU32" s="417">
        <f>VLOOKUP(WWWW[[#This Row],[Village  Name]],SiteDB6[[Site Name]:[Long]],13,FALSE)</f>
        <v>0</v>
      </c>
      <c r="BV32" s="417">
        <f>VLOOKUP(WWWW[[#This Row],[Village  Name]],SiteDB6[[Site Name]:[Pcode]],3,FALSE)</f>
        <v>198337</v>
      </c>
      <c r="BW32" s="425" t="str">
        <f t="shared" si="0"/>
        <v>Covered</v>
      </c>
      <c r="BX32" s="425"/>
      <c r="BY32" s="33"/>
      <c r="CA32"/>
      <c r="CB32" s="33"/>
      <c r="CC32" s="36"/>
      <c r="CE32" s="37"/>
      <c r="CN32" s="20"/>
    </row>
    <row r="33" spans="1:92" hidden="1">
      <c r="A33" s="412" t="s">
        <v>2380</v>
      </c>
      <c r="B33" s="412" t="s">
        <v>2540</v>
      </c>
      <c r="C33" s="418" t="s">
        <v>371</v>
      </c>
      <c r="D33" s="418" t="s">
        <v>2541</v>
      </c>
      <c r="E33" s="551" t="s">
        <v>2686</v>
      </c>
      <c r="F33" s="418" t="s">
        <v>321</v>
      </c>
      <c r="G33" s="551" t="str">
        <f>VLOOKUP(WWWW[[#This Row],[Village  Name]],SiteDB6[[Site Name]:[Location Type]],8,FALSE)</f>
        <v>Village</v>
      </c>
      <c r="H33" s="418" t="s">
        <v>2547</v>
      </c>
      <c r="I33" s="420">
        <v>74</v>
      </c>
      <c r="J33" s="420">
        <v>343</v>
      </c>
      <c r="K33" s="426">
        <v>43480</v>
      </c>
      <c r="L33" s="427">
        <v>43723</v>
      </c>
      <c r="M33" s="420"/>
      <c r="N33" s="420"/>
      <c r="O33" s="420"/>
      <c r="P33" s="420"/>
      <c r="Q33" s="420"/>
      <c r="R33" s="420"/>
      <c r="S33" s="420"/>
      <c r="T33" s="642"/>
      <c r="U33" s="420"/>
      <c r="V33" s="611" t="s">
        <v>132</v>
      </c>
      <c r="W33" s="420"/>
      <c r="X33" s="420"/>
      <c r="Y33" s="420"/>
      <c r="Z33" s="420"/>
      <c r="AA33" s="420"/>
      <c r="AB33" s="642"/>
      <c r="AC33" s="420">
        <v>52</v>
      </c>
      <c r="AD33" s="420">
        <v>19</v>
      </c>
      <c r="AE33" s="420"/>
      <c r="AF33" s="420"/>
      <c r="AG33" s="420"/>
      <c r="AH33" s="420"/>
      <c r="AI33" s="420"/>
      <c r="AJ33" s="420"/>
      <c r="AK33" s="420"/>
      <c r="AL33" s="420"/>
      <c r="AM33" s="642"/>
      <c r="AN33" s="420"/>
      <c r="AO33" s="420"/>
      <c r="AP3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3" s="419">
        <f>WWWW[[#This Row],[%Equitable and continuous access to sufficient quantity of safe drinking water]]*WWWW[[#This Row],[Total PoP ]]</f>
        <v>0</v>
      </c>
      <c r="AR3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 s="419">
        <f>WWWW[[#This Row],[% Access to unimproved water points]]*WWWW[[#This Row],[Total PoP ]]</f>
        <v>0</v>
      </c>
      <c r="AT3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3" s="419">
        <f>WWWW[[#This Row],[HRP1]]/250</f>
        <v>0</v>
      </c>
      <c r="AW33" s="424">
        <f>1-WWWW[[#This Row],[% Equitable and continuous access to sufficient quantity of domestic water]]</f>
        <v>1</v>
      </c>
      <c r="AX33" s="419">
        <f>WWWW[[#This Row],[%equitable and continuous access to sufficient quantity of safe drinking and domestic water''s GAP]]*WWWW[[#This Row],[Total PoP ]]</f>
        <v>343</v>
      </c>
      <c r="AY33" s="421">
        <f>IF(WWWW[[#This Row],[Total required water points]]-WWWW[[#This Row],['#Water points coverage]]&lt;0,0,WWWW[[#This Row],[Total required water points]]-WWWW[[#This Row],['#Water points coverage]])</f>
        <v>1</v>
      </c>
      <c r="AZ33" s="421">
        <f>ROUND(IF(WWWW[[#This Row],[Total PoP ]]&lt;250,1,WWWW[[#This Row],[Total PoP ]]/250),0)</f>
        <v>1</v>
      </c>
      <c r="BA3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3" s="419">
        <f>WWWW[[#This Row],[% people access to functioning Latrine]]*WWWW[[#This Row],[Total PoP ]]</f>
        <v>0</v>
      </c>
      <c r="BC33" s="421">
        <f>WWWW[[#This Row],['#_of_Functioning_latrines_in_school]]*50</f>
        <v>0</v>
      </c>
      <c r="BD33" s="421">
        <f>ROUND((WWWW[[#This Row],[Total PoP ]]/6),0)</f>
        <v>57</v>
      </c>
      <c r="BE33" s="421">
        <f>IF(WWWW[[#This Row],[Total required Latrines]]-(WWWW[[#This Row],['#_of_sanitary_fly-proof_HH_latrines]])&lt;0,0,WWWW[[#This Row],[Total required Latrines]]-(WWWW[[#This Row],['#_of_sanitary_fly-proof_HH_latrines]]))</f>
        <v>57</v>
      </c>
      <c r="BF33" s="72">
        <f>1-WWWW[[#This Row],[% people access to functioning Latrine]]</f>
        <v>1</v>
      </c>
      <c r="BG3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71</v>
      </c>
      <c r="BH33" s="419">
        <f>IF(WWWW[[#This Row],['#_of_functional_handwashing_facilities_at_HH_level]]*6&gt;WWWW[[#This Row],[Total PoP ]],WWWW[[#This Row],[Total PoP ]],WWWW[[#This Row],['#_of_functional_handwashing_facilities_at_HH_level]]*6)</f>
        <v>0</v>
      </c>
      <c r="BI33" s="421">
        <f>IF(WWWW[[#This Row],['# people reached by regular dedicated hygiene promotion]]&gt;WWWW[[#This Row],['# People received regular supply of hygiene items]],WWWW[[#This Row],['# people reached by regular dedicated hygiene promotion]],WWWW[[#This Row],['# People received regular supply of hygiene items]])</f>
        <v>71</v>
      </c>
      <c r="BJ33" s="424">
        <f>IF(WWWW[[#This Row],[HRP3]]/WWWW[[#This Row],[Total PoP ]]&gt;100%,100%,WWWW[[#This Row],[HRP3]]/WWWW[[#This Row],[Total PoP ]])</f>
        <v>0.20699708454810495</v>
      </c>
      <c r="BK33" s="423">
        <f>1-WWWW[[#This Row],[Hygiene Coverage%]]</f>
        <v>0.79300291545189505</v>
      </c>
      <c r="BL33" s="422">
        <f>WWWW[[#This Row],['# people reached by regular dedicated hygiene promotion]]/WWWW[[#This Row],[Total PoP ]]</f>
        <v>0.20699708454810495</v>
      </c>
      <c r="BM3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3" s="421">
        <f>WWWW[[#This Row],['#_of_affected_women_and_girls_receiving_a_sufficient_quantity_of_sanitary_pads]]</f>
        <v>0</v>
      </c>
      <c r="BO33" s="420">
        <f>IF(WWWW[[#This Row],['# People with access to soap]]&gt;WWWW[[#This Row],['# People with access to Sanity Pads]],WWWW[[#This Row],['# People with access to soap]],WWWW[[#This Row],['# People with access to Sanity Pads]])</f>
        <v>0</v>
      </c>
      <c r="BP33" s="419" t="str">
        <f>IF(OR(WWWW[[#This Row],['#of students in school]]="",WWWW[[#This Row],['#of students in school]]=0),"No","Yes")</f>
        <v>No</v>
      </c>
      <c r="BQ33" s="417" t="str">
        <f>VLOOKUP(WWWW[[#This Row],[Village  Name]],SiteDB6[[Site Name]:[Location Type 1]],9,FALSE)</f>
        <v>Village</v>
      </c>
      <c r="BR33" s="417" t="str">
        <f>VLOOKUP(WWWW[[#This Row],[Village  Name]],SiteDB6[[Site Name]:[Type of Accommodation]],10,FALSE)</f>
        <v>Village</v>
      </c>
      <c r="BS33" s="417" t="str">
        <f>VLOOKUP(WWWW[[#This Row],[Village  Name]],SiteDB6[[Site Name]:[Ethnic or GCA/NGCA]],11,FALSE)</f>
        <v>Rakhine</v>
      </c>
      <c r="BT33" s="417">
        <f>VLOOKUP(WWWW[[#This Row],[Village  Name]],SiteDB6[[Site Name]:[Lat]],12,FALSE)</f>
        <v>0</v>
      </c>
      <c r="BU33" s="417">
        <f>VLOOKUP(WWWW[[#This Row],[Village  Name]],SiteDB6[[Site Name]:[Long]],13,FALSE)</f>
        <v>0</v>
      </c>
      <c r="BV33" s="417">
        <f>VLOOKUP(WWWW[[#This Row],[Village  Name]],SiteDB6[[Site Name]:[Pcode]],3,FALSE)</f>
        <v>198363</v>
      </c>
      <c r="BW33" s="425" t="str">
        <f t="shared" si="0"/>
        <v>Covered</v>
      </c>
      <c r="BX33" s="425"/>
      <c r="BY33" s="33"/>
      <c r="CA33"/>
      <c r="CB33" s="33"/>
      <c r="CC33" s="36"/>
      <c r="CE33" s="37"/>
      <c r="CN33" s="20"/>
    </row>
    <row r="34" spans="1:92" hidden="1">
      <c r="A34" s="412" t="s">
        <v>2380</v>
      </c>
      <c r="B34" s="412" t="s">
        <v>2540</v>
      </c>
      <c r="C34" s="418" t="s">
        <v>371</v>
      </c>
      <c r="D34" s="418" t="s">
        <v>2541</v>
      </c>
      <c r="E34" s="551" t="s">
        <v>2686</v>
      </c>
      <c r="F34" s="418" t="s">
        <v>321</v>
      </c>
      <c r="G34" s="551" t="str">
        <f>VLOOKUP(WWWW[[#This Row],[Village  Name]],SiteDB6[[Site Name]:[Location Type]],8,FALSE)</f>
        <v>Village</v>
      </c>
      <c r="H34" s="418" t="s">
        <v>2557</v>
      </c>
      <c r="I34" s="420">
        <v>18</v>
      </c>
      <c r="J34" s="420">
        <v>73</v>
      </c>
      <c r="K34" s="426">
        <v>43480</v>
      </c>
      <c r="L34" s="427">
        <v>43723</v>
      </c>
      <c r="M34" s="420"/>
      <c r="N34" s="420"/>
      <c r="O34" s="420"/>
      <c r="P34" s="420"/>
      <c r="Q34" s="420"/>
      <c r="R34" s="420"/>
      <c r="S34" s="420"/>
      <c r="T34" s="642"/>
      <c r="U34" s="420"/>
      <c r="V34" s="611" t="s">
        <v>132</v>
      </c>
      <c r="W34" s="420"/>
      <c r="X34" s="420"/>
      <c r="Y34" s="420"/>
      <c r="Z34" s="420"/>
      <c r="AA34" s="420"/>
      <c r="AB34" s="642"/>
      <c r="AC34" s="420">
        <v>17</v>
      </c>
      <c r="AD34" s="420">
        <v>4</v>
      </c>
      <c r="AE34" s="420"/>
      <c r="AF34" s="420"/>
      <c r="AG34" s="420"/>
      <c r="AH34" s="420"/>
      <c r="AI34" s="420"/>
      <c r="AJ34" s="420"/>
      <c r="AK34" s="420"/>
      <c r="AL34" s="420"/>
      <c r="AM34" s="642"/>
      <c r="AN34" s="420"/>
      <c r="AO34" s="420"/>
      <c r="AP3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 s="419">
        <f>WWWW[[#This Row],[%Equitable and continuous access to sufficient quantity of safe drinking water]]*WWWW[[#This Row],[Total PoP ]]</f>
        <v>0</v>
      </c>
      <c r="AR3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4" s="419">
        <f>WWWW[[#This Row],[% Access to unimproved water points]]*WWWW[[#This Row],[Total PoP ]]</f>
        <v>0</v>
      </c>
      <c r="AT3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4" s="419">
        <f>WWWW[[#This Row],[HRP1]]/250</f>
        <v>0</v>
      </c>
      <c r="AW34" s="424">
        <f>1-WWWW[[#This Row],[% Equitable and continuous access to sufficient quantity of domestic water]]</f>
        <v>1</v>
      </c>
      <c r="AX34" s="419">
        <f>WWWW[[#This Row],[%equitable and continuous access to sufficient quantity of safe drinking and domestic water''s GAP]]*WWWW[[#This Row],[Total PoP ]]</f>
        <v>73</v>
      </c>
      <c r="AY34" s="421">
        <f>IF(WWWW[[#This Row],[Total required water points]]-WWWW[[#This Row],['#Water points coverage]]&lt;0,0,WWWW[[#This Row],[Total required water points]]-WWWW[[#This Row],['#Water points coverage]])</f>
        <v>1</v>
      </c>
      <c r="AZ34" s="421">
        <f>ROUND(IF(WWWW[[#This Row],[Total PoP ]]&lt;250,1,WWWW[[#This Row],[Total PoP ]]/250),0)</f>
        <v>1</v>
      </c>
      <c r="BA3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4" s="419">
        <f>WWWW[[#This Row],[% people access to functioning Latrine]]*WWWW[[#This Row],[Total PoP ]]</f>
        <v>0</v>
      </c>
      <c r="BC34" s="421">
        <f>WWWW[[#This Row],['#_of_Functioning_latrines_in_school]]*50</f>
        <v>0</v>
      </c>
      <c r="BD34" s="421">
        <f>ROUND((WWWW[[#This Row],[Total PoP ]]/6),0)</f>
        <v>12</v>
      </c>
      <c r="BE34" s="421">
        <f>IF(WWWW[[#This Row],[Total required Latrines]]-(WWWW[[#This Row],['#_of_sanitary_fly-proof_HH_latrines]])&lt;0,0,WWWW[[#This Row],[Total required Latrines]]-(WWWW[[#This Row],['#_of_sanitary_fly-proof_HH_latrines]]))</f>
        <v>12</v>
      </c>
      <c r="BF34" s="72">
        <f>1-WWWW[[#This Row],[% people access to functioning Latrine]]</f>
        <v>1</v>
      </c>
      <c r="BG3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v>
      </c>
      <c r="BH34" s="419">
        <f>IF(WWWW[[#This Row],['#_of_functional_handwashing_facilities_at_HH_level]]*6&gt;WWWW[[#This Row],[Total PoP ]],WWWW[[#This Row],[Total PoP ]],WWWW[[#This Row],['#_of_functional_handwashing_facilities_at_HH_level]]*6)</f>
        <v>0</v>
      </c>
      <c r="BI34" s="421">
        <f>IF(WWWW[[#This Row],['# people reached by regular dedicated hygiene promotion]]&gt;WWWW[[#This Row],['# People received regular supply of hygiene items]],WWWW[[#This Row],['# people reached by regular dedicated hygiene promotion]],WWWW[[#This Row],['# People received regular supply of hygiene items]])</f>
        <v>21</v>
      </c>
      <c r="BJ34" s="424">
        <f>IF(WWWW[[#This Row],[HRP3]]/WWWW[[#This Row],[Total PoP ]]&gt;100%,100%,WWWW[[#This Row],[HRP3]]/WWWW[[#This Row],[Total PoP ]])</f>
        <v>0.28767123287671231</v>
      </c>
      <c r="BK34" s="423">
        <f>1-WWWW[[#This Row],[Hygiene Coverage%]]</f>
        <v>0.71232876712328763</v>
      </c>
      <c r="BL34" s="422">
        <f>WWWW[[#This Row],['# people reached by regular dedicated hygiene promotion]]/WWWW[[#This Row],[Total PoP ]]</f>
        <v>0.28767123287671231</v>
      </c>
      <c r="BM3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 s="421">
        <f>WWWW[[#This Row],['#_of_affected_women_and_girls_receiving_a_sufficient_quantity_of_sanitary_pads]]</f>
        <v>0</v>
      </c>
      <c r="BO34" s="420">
        <f>IF(WWWW[[#This Row],['# People with access to soap]]&gt;WWWW[[#This Row],['# People with access to Sanity Pads]],WWWW[[#This Row],['# People with access to soap]],WWWW[[#This Row],['# People with access to Sanity Pads]])</f>
        <v>0</v>
      </c>
      <c r="BP34" s="419" t="str">
        <f>IF(OR(WWWW[[#This Row],['#of students in school]]="",WWWW[[#This Row],['#of students in school]]=0),"No","Yes")</f>
        <v>No</v>
      </c>
      <c r="BQ34" s="417" t="str">
        <f>VLOOKUP(WWWW[[#This Row],[Village  Name]],SiteDB6[[Site Name]:[Location Type 1]],9,FALSE)</f>
        <v>Village</v>
      </c>
      <c r="BR34" s="417" t="str">
        <f>VLOOKUP(WWWW[[#This Row],[Village  Name]],SiteDB6[[Site Name]:[Type of Accommodation]],10,FALSE)</f>
        <v>Village</v>
      </c>
      <c r="BS34" s="417" t="str">
        <f>VLOOKUP(WWWW[[#This Row],[Village  Name]],SiteDB6[[Site Name]:[Ethnic or GCA/NGCA]],11,FALSE)</f>
        <v>Rakhine</v>
      </c>
      <c r="BT34" s="417">
        <f>VLOOKUP(WWWW[[#This Row],[Village  Name]],SiteDB6[[Site Name]:[Lat]],12,FALSE)</f>
        <v>20.887420649999999</v>
      </c>
      <c r="BU34" s="417">
        <f>VLOOKUP(WWWW[[#This Row],[Village  Name]],SiteDB6[[Site Name]:[Long]],13,FALSE)</f>
        <v>92.545410160000003</v>
      </c>
      <c r="BV34" s="417">
        <f>VLOOKUP(WWWW[[#This Row],[Village  Name]],SiteDB6[[Site Name]:[Pcode]],3,FALSE)</f>
        <v>198300</v>
      </c>
      <c r="BW34" s="425" t="str">
        <f t="shared" si="0"/>
        <v>Covered</v>
      </c>
      <c r="BX34" s="425"/>
      <c r="BY34" s="33"/>
      <c r="CA34"/>
      <c r="CB34" s="33"/>
      <c r="CC34" s="36"/>
      <c r="CE34" s="37"/>
      <c r="CN34" s="20"/>
    </row>
    <row r="35" spans="1:92" hidden="1">
      <c r="A35" s="412" t="s">
        <v>2380</v>
      </c>
      <c r="B35" s="412" t="s">
        <v>2540</v>
      </c>
      <c r="C35" s="418" t="s">
        <v>371</v>
      </c>
      <c r="D35" s="418" t="s">
        <v>2541</v>
      </c>
      <c r="E35" s="551" t="s">
        <v>2686</v>
      </c>
      <c r="F35" s="418" t="s">
        <v>321</v>
      </c>
      <c r="G35" s="551" t="str">
        <f>VLOOKUP(WWWW[[#This Row],[Village  Name]],SiteDB6[[Site Name]:[Location Type]],8,FALSE)</f>
        <v>Village</v>
      </c>
      <c r="H35" s="418" t="s">
        <v>2553</v>
      </c>
      <c r="I35" s="420">
        <v>218</v>
      </c>
      <c r="J35" s="420">
        <v>1207</v>
      </c>
      <c r="K35" s="426">
        <v>43480</v>
      </c>
      <c r="L35" s="427">
        <v>43723</v>
      </c>
      <c r="M35" s="420"/>
      <c r="N35" s="420"/>
      <c r="O35" s="420"/>
      <c r="P35" s="420"/>
      <c r="Q35" s="420"/>
      <c r="R35" s="420"/>
      <c r="S35" s="420"/>
      <c r="T35" s="642"/>
      <c r="U35" s="420"/>
      <c r="V35" s="611" t="s">
        <v>132</v>
      </c>
      <c r="W35" s="420"/>
      <c r="X35" s="420"/>
      <c r="Y35" s="420"/>
      <c r="Z35" s="420"/>
      <c r="AA35" s="420"/>
      <c r="AB35" s="642"/>
      <c r="AC35" s="420">
        <v>185</v>
      </c>
      <c r="AD35" s="420">
        <v>34</v>
      </c>
      <c r="AE35" s="420"/>
      <c r="AF35" s="420"/>
      <c r="AG35" s="420"/>
      <c r="AH35" s="420"/>
      <c r="AI35" s="420"/>
      <c r="AJ35" s="420"/>
      <c r="AK35" s="420"/>
      <c r="AL35" s="420"/>
      <c r="AM35" s="642"/>
      <c r="AN35" s="420"/>
      <c r="AO35" s="420"/>
      <c r="AP3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 s="419">
        <f>WWWW[[#This Row],[%Equitable and continuous access to sufficient quantity of safe drinking water]]*WWWW[[#This Row],[Total PoP ]]</f>
        <v>0</v>
      </c>
      <c r="AR3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 s="419">
        <f>WWWW[[#This Row],[% Access to unimproved water points]]*WWWW[[#This Row],[Total PoP ]]</f>
        <v>0</v>
      </c>
      <c r="AT3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 s="419">
        <f>WWWW[[#This Row],[HRP1]]/250</f>
        <v>0</v>
      </c>
      <c r="AW35" s="424">
        <f>1-WWWW[[#This Row],[% Equitable and continuous access to sufficient quantity of domestic water]]</f>
        <v>1</v>
      </c>
      <c r="AX35" s="419">
        <f>WWWW[[#This Row],[%equitable and continuous access to sufficient quantity of safe drinking and domestic water''s GAP]]*WWWW[[#This Row],[Total PoP ]]</f>
        <v>1207</v>
      </c>
      <c r="AY35" s="421">
        <f>IF(WWWW[[#This Row],[Total required water points]]-WWWW[[#This Row],['#Water points coverage]]&lt;0,0,WWWW[[#This Row],[Total required water points]]-WWWW[[#This Row],['#Water points coverage]])</f>
        <v>5</v>
      </c>
      <c r="AZ35" s="421">
        <f>ROUND(IF(WWWW[[#This Row],[Total PoP ]]&lt;250,1,WWWW[[#This Row],[Total PoP ]]/250),0)</f>
        <v>5</v>
      </c>
      <c r="BA3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 s="419">
        <f>WWWW[[#This Row],[% people access to functioning Latrine]]*WWWW[[#This Row],[Total PoP ]]</f>
        <v>0</v>
      </c>
      <c r="BC35" s="421">
        <f>WWWW[[#This Row],['#_of_Functioning_latrines_in_school]]*50</f>
        <v>0</v>
      </c>
      <c r="BD35" s="421">
        <f>ROUND((WWWW[[#This Row],[Total PoP ]]/6),0)</f>
        <v>201</v>
      </c>
      <c r="BE35" s="421">
        <f>IF(WWWW[[#This Row],[Total required Latrines]]-(WWWW[[#This Row],['#_of_sanitary_fly-proof_HH_latrines]])&lt;0,0,WWWW[[#This Row],[Total required Latrines]]-(WWWW[[#This Row],['#_of_sanitary_fly-proof_HH_latrines]]))</f>
        <v>201</v>
      </c>
      <c r="BF35" s="72">
        <f>1-WWWW[[#This Row],[% people access to functioning Latrine]]</f>
        <v>1</v>
      </c>
      <c r="BG3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219</v>
      </c>
      <c r="BH35" s="419">
        <f>IF(WWWW[[#This Row],['#_of_functional_handwashing_facilities_at_HH_level]]*6&gt;WWWW[[#This Row],[Total PoP ]],WWWW[[#This Row],[Total PoP ]],WWWW[[#This Row],['#_of_functional_handwashing_facilities_at_HH_level]]*6)</f>
        <v>0</v>
      </c>
      <c r="BI35" s="421">
        <f>IF(WWWW[[#This Row],['# people reached by regular dedicated hygiene promotion]]&gt;WWWW[[#This Row],['# People received regular supply of hygiene items]],WWWW[[#This Row],['# people reached by regular dedicated hygiene promotion]],WWWW[[#This Row],['# People received regular supply of hygiene items]])</f>
        <v>219</v>
      </c>
      <c r="BJ35" s="424">
        <f>IF(WWWW[[#This Row],[HRP3]]/WWWW[[#This Row],[Total PoP ]]&gt;100%,100%,WWWW[[#This Row],[HRP3]]/WWWW[[#This Row],[Total PoP ]])</f>
        <v>0.18144159072079535</v>
      </c>
      <c r="BK35" s="423">
        <f>1-WWWW[[#This Row],[Hygiene Coverage%]]</f>
        <v>0.81855840927920465</v>
      </c>
      <c r="BL35" s="422">
        <f>WWWW[[#This Row],['# people reached by regular dedicated hygiene promotion]]/WWWW[[#This Row],[Total PoP ]]</f>
        <v>0.18144159072079535</v>
      </c>
      <c r="BM3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 s="421">
        <f>WWWW[[#This Row],['#_of_affected_women_and_girls_receiving_a_sufficient_quantity_of_sanitary_pads]]</f>
        <v>0</v>
      </c>
      <c r="BO35" s="420">
        <f>IF(WWWW[[#This Row],['# People with access to soap]]&gt;WWWW[[#This Row],['# People with access to Sanity Pads]],WWWW[[#This Row],['# People with access to soap]],WWWW[[#This Row],['# People with access to Sanity Pads]])</f>
        <v>0</v>
      </c>
      <c r="BP35" s="419" t="str">
        <f>IF(OR(WWWW[[#This Row],['#of students in school]]="",WWWW[[#This Row],['#of students in school]]=0),"No","Yes")</f>
        <v>No</v>
      </c>
      <c r="BQ35" s="417" t="str">
        <f>VLOOKUP(WWWW[[#This Row],[Village  Name]],SiteDB6[[Site Name]:[Location Type 1]],9,FALSE)</f>
        <v>Village</v>
      </c>
      <c r="BR35" s="417" t="str">
        <f>VLOOKUP(WWWW[[#This Row],[Village  Name]],SiteDB6[[Site Name]:[Type of Accommodation]],10,FALSE)</f>
        <v>Village</v>
      </c>
      <c r="BS35" s="417" t="str">
        <f>VLOOKUP(WWWW[[#This Row],[Village  Name]],SiteDB6[[Site Name]:[Ethnic or GCA/NGCA]],11,FALSE)</f>
        <v>Muslim</v>
      </c>
      <c r="BT35" s="417">
        <f>VLOOKUP(WWWW[[#This Row],[Village  Name]],SiteDB6[[Site Name]:[Lat]],12,FALSE)</f>
        <v>0</v>
      </c>
      <c r="BU35" s="417">
        <f>VLOOKUP(WWWW[[#This Row],[Village  Name]],SiteDB6[[Site Name]:[Long]],13,FALSE)</f>
        <v>0</v>
      </c>
      <c r="BV35" s="417">
        <f>VLOOKUP(WWWW[[#This Row],[Village  Name]],SiteDB6[[Site Name]:[Pcode]],3,FALSE)</f>
        <v>198434</v>
      </c>
      <c r="BW35" s="425" t="str">
        <f t="shared" si="0"/>
        <v>Covered</v>
      </c>
      <c r="BX35" s="425"/>
      <c r="BY35" s="33"/>
      <c r="CA35"/>
      <c r="CB35" s="33"/>
      <c r="CC35" s="36"/>
      <c r="CE35" s="37"/>
      <c r="CN35" s="20"/>
    </row>
    <row r="36" spans="1:92" hidden="1">
      <c r="A36" s="412" t="s">
        <v>2380</v>
      </c>
      <c r="B36" s="412" t="s">
        <v>2540</v>
      </c>
      <c r="C36" s="418" t="s">
        <v>371</v>
      </c>
      <c r="D36" s="418" t="s">
        <v>2541</v>
      </c>
      <c r="E36" s="551" t="s">
        <v>2686</v>
      </c>
      <c r="F36" s="418" t="s">
        <v>321</v>
      </c>
      <c r="G36" s="551" t="str">
        <f>VLOOKUP(WWWW[[#This Row],[Village  Name]],SiteDB6[[Site Name]:[Location Type]],8,FALSE)</f>
        <v>Village</v>
      </c>
      <c r="H36" s="418" t="s">
        <v>2554</v>
      </c>
      <c r="I36" s="420">
        <v>11</v>
      </c>
      <c r="J36" s="420">
        <v>39</v>
      </c>
      <c r="K36" s="426">
        <v>43480</v>
      </c>
      <c r="L36" s="427">
        <v>43723</v>
      </c>
      <c r="M36" s="420"/>
      <c r="N36" s="420"/>
      <c r="O36" s="420"/>
      <c r="P36" s="420"/>
      <c r="Q36" s="420"/>
      <c r="R36" s="420"/>
      <c r="S36" s="420"/>
      <c r="T36" s="642"/>
      <c r="U36" s="420"/>
      <c r="V36" s="611" t="s">
        <v>132</v>
      </c>
      <c r="W36" s="420"/>
      <c r="X36" s="420"/>
      <c r="Y36" s="420"/>
      <c r="Z36" s="420"/>
      <c r="AA36" s="420"/>
      <c r="AB36" s="642"/>
      <c r="AC36" s="420">
        <v>8</v>
      </c>
      <c r="AD36" s="420">
        <v>0</v>
      </c>
      <c r="AE36" s="420"/>
      <c r="AF36" s="420"/>
      <c r="AG36" s="420"/>
      <c r="AH36" s="420"/>
      <c r="AI36" s="420"/>
      <c r="AJ36" s="420"/>
      <c r="AK36" s="420"/>
      <c r="AL36" s="420"/>
      <c r="AM36" s="642"/>
      <c r="AN36" s="420"/>
      <c r="AO36" s="420"/>
      <c r="AP3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 s="419">
        <f>WWWW[[#This Row],[%Equitable and continuous access to sufficient quantity of safe drinking water]]*WWWW[[#This Row],[Total PoP ]]</f>
        <v>0</v>
      </c>
      <c r="AR3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6" s="419">
        <f>WWWW[[#This Row],[% Access to unimproved water points]]*WWWW[[#This Row],[Total PoP ]]</f>
        <v>0</v>
      </c>
      <c r="AT3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6" s="419">
        <f>WWWW[[#This Row],[HRP1]]/250</f>
        <v>0</v>
      </c>
      <c r="AW36" s="424">
        <f>1-WWWW[[#This Row],[% Equitable and continuous access to sufficient quantity of domestic water]]</f>
        <v>1</v>
      </c>
      <c r="AX36" s="419">
        <f>WWWW[[#This Row],[%equitable and continuous access to sufficient quantity of safe drinking and domestic water''s GAP]]*WWWW[[#This Row],[Total PoP ]]</f>
        <v>39</v>
      </c>
      <c r="AY36" s="421">
        <f>IF(WWWW[[#This Row],[Total required water points]]-WWWW[[#This Row],['#Water points coverage]]&lt;0,0,WWWW[[#This Row],[Total required water points]]-WWWW[[#This Row],['#Water points coverage]])</f>
        <v>1</v>
      </c>
      <c r="AZ36" s="421">
        <f>ROUND(IF(WWWW[[#This Row],[Total PoP ]]&lt;250,1,WWWW[[#This Row],[Total PoP ]]/250),0)</f>
        <v>1</v>
      </c>
      <c r="BA3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6" s="419">
        <f>WWWW[[#This Row],[% people access to functioning Latrine]]*WWWW[[#This Row],[Total PoP ]]</f>
        <v>0</v>
      </c>
      <c r="BC36" s="421">
        <f>WWWW[[#This Row],['#_of_Functioning_latrines_in_school]]*50</f>
        <v>0</v>
      </c>
      <c r="BD36" s="421">
        <f>ROUND((WWWW[[#This Row],[Total PoP ]]/6),0)</f>
        <v>7</v>
      </c>
      <c r="BE36" s="421">
        <f>IF(WWWW[[#This Row],[Total required Latrines]]-(WWWW[[#This Row],['#_of_sanitary_fly-proof_HH_latrines]])&lt;0,0,WWWW[[#This Row],[Total required Latrines]]-(WWWW[[#This Row],['#_of_sanitary_fly-proof_HH_latrines]]))</f>
        <v>7</v>
      </c>
      <c r="BF36" s="72">
        <f>1-WWWW[[#This Row],[% people access to functioning Latrine]]</f>
        <v>1</v>
      </c>
      <c r="BG3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v>
      </c>
      <c r="BH36" s="419">
        <f>IF(WWWW[[#This Row],['#_of_functional_handwashing_facilities_at_HH_level]]*6&gt;WWWW[[#This Row],[Total PoP ]],WWWW[[#This Row],[Total PoP ]],WWWW[[#This Row],['#_of_functional_handwashing_facilities_at_HH_level]]*6)</f>
        <v>0</v>
      </c>
      <c r="BI36" s="421">
        <f>IF(WWWW[[#This Row],['# people reached by regular dedicated hygiene promotion]]&gt;WWWW[[#This Row],['# People received regular supply of hygiene items]],WWWW[[#This Row],['# people reached by regular dedicated hygiene promotion]],WWWW[[#This Row],['# People received regular supply of hygiene items]])</f>
        <v>8</v>
      </c>
      <c r="BJ36" s="424">
        <f>IF(WWWW[[#This Row],[HRP3]]/WWWW[[#This Row],[Total PoP ]]&gt;100%,100%,WWWW[[#This Row],[HRP3]]/WWWW[[#This Row],[Total PoP ]])</f>
        <v>0.20512820512820512</v>
      </c>
      <c r="BK36" s="423">
        <f>1-WWWW[[#This Row],[Hygiene Coverage%]]</f>
        <v>0.79487179487179493</v>
      </c>
      <c r="BL36" s="422">
        <f>WWWW[[#This Row],['# people reached by regular dedicated hygiene promotion]]/WWWW[[#This Row],[Total PoP ]]</f>
        <v>0.20512820512820512</v>
      </c>
      <c r="BM3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 s="421">
        <f>WWWW[[#This Row],['#_of_affected_women_and_girls_receiving_a_sufficient_quantity_of_sanitary_pads]]</f>
        <v>0</v>
      </c>
      <c r="BO36" s="420">
        <f>IF(WWWW[[#This Row],['# People with access to soap]]&gt;WWWW[[#This Row],['# People with access to Sanity Pads]],WWWW[[#This Row],['# People with access to soap]],WWWW[[#This Row],['# People with access to Sanity Pads]])</f>
        <v>0</v>
      </c>
      <c r="BP36" s="419" t="str">
        <f>IF(OR(WWWW[[#This Row],['#of students in school]]="",WWWW[[#This Row],['#of students in school]]=0),"No","Yes")</f>
        <v>No</v>
      </c>
      <c r="BQ36" s="417" t="str">
        <f>VLOOKUP(WWWW[[#This Row],[Village  Name]],SiteDB6[[Site Name]:[Location Type 1]],9,FALSE)</f>
        <v>Village</v>
      </c>
      <c r="BR36" s="417" t="str">
        <f>VLOOKUP(WWWW[[#This Row],[Village  Name]],SiteDB6[[Site Name]:[Type of Accommodation]],10,FALSE)</f>
        <v>Village</v>
      </c>
      <c r="BS36" s="417" t="str">
        <f>VLOOKUP(WWWW[[#This Row],[Village  Name]],SiteDB6[[Site Name]:[Ethnic or GCA/NGCA]],11,FALSE)</f>
        <v>Rakhine</v>
      </c>
      <c r="BT36" s="417">
        <f>VLOOKUP(WWWW[[#This Row],[Village  Name]],SiteDB6[[Site Name]:[Lat]],12,FALSE)</f>
        <v>0</v>
      </c>
      <c r="BU36" s="417">
        <f>VLOOKUP(WWWW[[#This Row],[Village  Name]],SiteDB6[[Site Name]:[Long]],13,FALSE)</f>
        <v>0</v>
      </c>
      <c r="BV36" s="417">
        <f>VLOOKUP(WWWW[[#This Row],[Village  Name]],SiteDB6[[Site Name]:[Pcode]],3,FALSE)</f>
        <v>198433</v>
      </c>
      <c r="BW36" s="425" t="str">
        <f t="shared" si="0"/>
        <v>Covered</v>
      </c>
      <c r="BX36" s="425"/>
      <c r="BY36" s="33"/>
      <c r="CA36"/>
      <c r="CB36" s="33"/>
      <c r="CC36" s="36"/>
      <c r="CE36" s="37"/>
      <c r="CN36" s="20"/>
    </row>
    <row r="37" spans="1:92" hidden="1">
      <c r="A37" s="412" t="s">
        <v>2380</v>
      </c>
      <c r="B37" s="412" t="s">
        <v>2540</v>
      </c>
      <c r="C37" s="418" t="s">
        <v>371</v>
      </c>
      <c r="D37" s="418" t="s">
        <v>2541</v>
      </c>
      <c r="E37" s="551" t="s">
        <v>2686</v>
      </c>
      <c r="F37" s="418" t="s">
        <v>307</v>
      </c>
      <c r="G37" s="551" t="str">
        <f>VLOOKUP(WWWW[[#This Row],[Village  Name]],SiteDB6[[Site Name]:[Location Type]],8,FALSE)</f>
        <v>Village</v>
      </c>
      <c r="H37" s="418" t="s">
        <v>2560</v>
      </c>
      <c r="I37" s="420">
        <v>53</v>
      </c>
      <c r="J37" s="420">
        <v>263</v>
      </c>
      <c r="K37" s="426">
        <v>43480</v>
      </c>
      <c r="L37" s="427">
        <v>43723</v>
      </c>
      <c r="M37" s="420"/>
      <c r="N37" s="420"/>
      <c r="O37" s="420"/>
      <c r="P37" s="420"/>
      <c r="Q37" s="420"/>
      <c r="R37" s="420"/>
      <c r="S37" s="420"/>
      <c r="T37" s="642"/>
      <c r="U37" s="420"/>
      <c r="V37" s="611" t="s">
        <v>132</v>
      </c>
      <c r="W37" s="420"/>
      <c r="X37" s="420"/>
      <c r="Y37" s="420"/>
      <c r="Z37" s="420"/>
      <c r="AA37" s="420"/>
      <c r="AB37" s="642"/>
      <c r="AC37" s="420">
        <v>40</v>
      </c>
      <c r="AD37" s="420">
        <v>13</v>
      </c>
      <c r="AE37" s="420"/>
      <c r="AF37" s="420"/>
      <c r="AG37" s="420"/>
      <c r="AH37" s="420"/>
      <c r="AI37" s="420"/>
      <c r="AJ37" s="420"/>
      <c r="AK37" s="420"/>
      <c r="AL37" s="420"/>
      <c r="AM37" s="642"/>
      <c r="AN37" s="420"/>
      <c r="AO37" s="420"/>
      <c r="AP3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7" s="419">
        <f>WWWW[[#This Row],[%Equitable and continuous access to sufficient quantity of safe drinking water]]*WWWW[[#This Row],[Total PoP ]]</f>
        <v>0</v>
      </c>
      <c r="AR3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7" s="419">
        <f>WWWW[[#This Row],[% Access to unimproved water points]]*WWWW[[#This Row],[Total PoP ]]</f>
        <v>0</v>
      </c>
      <c r="AT3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7" s="419">
        <f>WWWW[[#This Row],[HRP1]]/250</f>
        <v>0</v>
      </c>
      <c r="AW37" s="424">
        <f>1-WWWW[[#This Row],[% Equitable and continuous access to sufficient quantity of domestic water]]</f>
        <v>1</v>
      </c>
      <c r="AX37" s="419">
        <f>WWWW[[#This Row],[%equitable and continuous access to sufficient quantity of safe drinking and domestic water''s GAP]]*WWWW[[#This Row],[Total PoP ]]</f>
        <v>263</v>
      </c>
      <c r="AY37" s="421">
        <f>IF(WWWW[[#This Row],[Total required water points]]-WWWW[[#This Row],['#Water points coverage]]&lt;0,0,WWWW[[#This Row],[Total required water points]]-WWWW[[#This Row],['#Water points coverage]])</f>
        <v>1</v>
      </c>
      <c r="AZ37" s="421">
        <f>ROUND(IF(WWWW[[#This Row],[Total PoP ]]&lt;250,1,WWWW[[#This Row],[Total PoP ]]/250),0)</f>
        <v>1</v>
      </c>
      <c r="BA3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7" s="419">
        <f>WWWW[[#This Row],[% people access to functioning Latrine]]*WWWW[[#This Row],[Total PoP ]]</f>
        <v>0</v>
      </c>
      <c r="BC37" s="421">
        <f>WWWW[[#This Row],['#_of_Functioning_latrines_in_school]]*50</f>
        <v>0</v>
      </c>
      <c r="BD37" s="421">
        <f>ROUND((WWWW[[#This Row],[Total PoP ]]/6),0)</f>
        <v>44</v>
      </c>
      <c r="BE37" s="421">
        <f>IF(WWWW[[#This Row],[Total required Latrines]]-(WWWW[[#This Row],['#_of_sanitary_fly-proof_HH_latrines]])&lt;0,0,WWWW[[#This Row],[Total required Latrines]]-(WWWW[[#This Row],['#_of_sanitary_fly-proof_HH_latrines]]))</f>
        <v>44</v>
      </c>
      <c r="BF37" s="72">
        <f>1-WWWW[[#This Row],[% people access to functioning Latrine]]</f>
        <v>1</v>
      </c>
      <c r="BG3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53</v>
      </c>
      <c r="BH37" s="419">
        <f>IF(WWWW[[#This Row],['#_of_functional_handwashing_facilities_at_HH_level]]*6&gt;WWWW[[#This Row],[Total PoP ]],WWWW[[#This Row],[Total PoP ]],WWWW[[#This Row],['#_of_functional_handwashing_facilities_at_HH_level]]*6)</f>
        <v>0</v>
      </c>
      <c r="BI37" s="421">
        <f>IF(WWWW[[#This Row],['# people reached by regular dedicated hygiene promotion]]&gt;WWWW[[#This Row],['# People received regular supply of hygiene items]],WWWW[[#This Row],['# people reached by regular dedicated hygiene promotion]],WWWW[[#This Row],['# People received regular supply of hygiene items]])</f>
        <v>53</v>
      </c>
      <c r="BJ37" s="424">
        <f>IF(WWWW[[#This Row],[HRP3]]/WWWW[[#This Row],[Total PoP ]]&gt;100%,100%,WWWW[[#This Row],[HRP3]]/WWWW[[#This Row],[Total PoP ]])</f>
        <v>0.20152091254752852</v>
      </c>
      <c r="BK37" s="423">
        <f>1-WWWW[[#This Row],[Hygiene Coverage%]]</f>
        <v>0.79847908745247143</v>
      </c>
      <c r="BL37" s="422">
        <f>WWWW[[#This Row],['# people reached by regular dedicated hygiene promotion]]/WWWW[[#This Row],[Total PoP ]]</f>
        <v>0.20152091254752852</v>
      </c>
      <c r="BM3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 s="421">
        <f>WWWW[[#This Row],['#_of_affected_women_and_girls_receiving_a_sufficient_quantity_of_sanitary_pads]]</f>
        <v>0</v>
      </c>
      <c r="BO37" s="420">
        <f>IF(WWWW[[#This Row],['# People with access to soap]]&gt;WWWW[[#This Row],['# People with access to Sanity Pads]],WWWW[[#This Row],['# People with access to soap]],WWWW[[#This Row],['# People with access to Sanity Pads]])</f>
        <v>0</v>
      </c>
      <c r="BP37" s="419" t="str">
        <f>IF(OR(WWWW[[#This Row],['#of students in school]]="",WWWW[[#This Row],['#of students in school]]=0),"No","Yes")</f>
        <v>No</v>
      </c>
      <c r="BQ37" s="417" t="str">
        <f>VLOOKUP(WWWW[[#This Row],[Village  Name]],SiteDB6[[Site Name]:[Location Type 1]],9,FALSE)</f>
        <v>Village</v>
      </c>
      <c r="BR37" s="417" t="str">
        <f>VLOOKUP(WWWW[[#This Row],[Village  Name]],SiteDB6[[Site Name]:[Type of Accommodation]],10,FALSE)</f>
        <v>Village</v>
      </c>
      <c r="BS37" s="417" t="str">
        <f>VLOOKUP(WWWW[[#This Row],[Village  Name]],SiteDB6[[Site Name]:[Ethnic or GCA/NGCA]],11,FALSE)</f>
        <v>Rakhine</v>
      </c>
      <c r="BT37" s="417">
        <f>VLOOKUP(WWWW[[#This Row],[Village  Name]],SiteDB6[[Site Name]:[Lat]],12,FALSE)</f>
        <v>0</v>
      </c>
      <c r="BU37" s="417">
        <f>VLOOKUP(WWWW[[#This Row],[Village  Name]],SiteDB6[[Site Name]:[Long]],13,FALSE)</f>
        <v>0</v>
      </c>
      <c r="BV37" s="417">
        <f>VLOOKUP(WWWW[[#This Row],[Village  Name]],SiteDB6[[Site Name]:[Pcode]],3,FALSE)</f>
        <v>220736</v>
      </c>
      <c r="BW37" s="425" t="str">
        <f t="shared" si="0"/>
        <v>Covered</v>
      </c>
      <c r="BX37" s="425"/>
      <c r="BY37" s="33"/>
      <c r="CA37"/>
      <c r="CB37" s="33"/>
      <c r="CC37" s="36"/>
      <c r="CE37" s="37"/>
      <c r="CN37" s="20"/>
    </row>
    <row r="38" spans="1:92" ht="31.5" hidden="1" customHeight="1">
      <c r="A38" s="412" t="s">
        <v>2380</v>
      </c>
      <c r="B38" s="412" t="s">
        <v>2540</v>
      </c>
      <c r="C38" s="418" t="s">
        <v>371</v>
      </c>
      <c r="D38" s="418" t="s">
        <v>2541</v>
      </c>
      <c r="E38" s="551" t="s">
        <v>2686</v>
      </c>
      <c r="F38" s="418" t="s">
        <v>321</v>
      </c>
      <c r="G38" s="551" t="str">
        <f>VLOOKUP(WWWW[[#This Row],[Village  Name]],SiteDB6[[Site Name]:[Location Type]],8,FALSE)</f>
        <v>Village</v>
      </c>
      <c r="H38" s="418" t="s">
        <v>2545</v>
      </c>
      <c r="I38" s="420">
        <v>125</v>
      </c>
      <c r="J38" s="420">
        <v>580</v>
      </c>
      <c r="K38" s="426">
        <v>43480</v>
      </c>
      <c r="L38" s="427">
        <v>43723</v>
      </c>
      <c r="M38" s="420"/>
      <c r="N38" s="420"/>
      <c r="O38" s="420"/>
      <c r="P38" s="420"/>
      <c r="Q38" s="420"/>
      <c r="R38" s="420"/>
      <c r="S38" s="420"/>
      <c r="T38" s="642"/>
      <c r="U38" s="420"/>
      <c r="V38" s="611" t="s">
        <v>132</v>
      </c>
      <c r="W38" s="420"/>
      <c r="X38" s="420"/>
      <c r="Y38" s="420"/>
      <c r="Z38" s="420"/>
      <c r="AA38" s="420"/>
      <c r="AB38" s="642"/>
      <c r="AC38" s="420">
        <v>93</v>
      </c>
      <c r="AD38" s="420">
        <v>32</v>
      </c>
      <c r="AE38" s="420"/>
      <c r="AF38" s="420"/>
      <c r="AG38" s="420"/>
      <c r="AH38" s="420"/>
      <c r="AI38" s="420"/>
      <c r="AJ38" s="420"/>
      <c r="AK38" s="420"/>
      <c r="AL38" s="420"/>
      <c r="AM38" s="642"/>
      <c r="AN38" s="420"/>
      <c r="AO38" s="420"/>
      <c r="AP3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8" s="419">
        <f>WWWW[[#This Row],[%Equitable and continuous access to sufficient quantity of safe drinking water]]*WWWW[[#This Row],[Total PoP ]]</f>
        <v>0</v>
      </c>
      <c r="AR3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8" s="419">
        <f>WWWW[[#This Row],[% Access to unimproved water points]]*WWWW[[#This Row],[Total PoP ]]</f>
        <v>0</v>
      </c>
      <c r="AT3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8" s="419">
        <f>WWWW[[#This Row],[HRP1]]/250</f>
        <v>0</v>
      </c>
      <c r="AW38" s="424">
        <f>1-WWWW[[#This Row],[% Equitable and continuous access to sufficient quantity of domestic water]]</f>
        <v>1</v>
      </c>
      <c r="AX38" s="419">
        <f>WWWW[[#This Row],[%equitable and continuous access to sufficient quantity of safe drinking and domestic water''s GAP]]*WWWW[[#This Row],[Total PoP ]]</f>
        <v>580</v>
      </c>
      <c r="AY38" s="421">
        <f>IF(WWWW[[#This Row],[Total required water points]]-WWWW[[#This Row],['#Water points coverage]]&lt;0,0,WWWW[[#This Row],[Total required water points]]-WWWW[[#This Row],['#Water points coverage]])</f>
        <v>2</v>
      </c>
      <c r="AZ38" s="421">
        <f>ROUND(IF(WWWW[[#This Row],[Total PoP ]]&lt;250,1,WWWW[[#This Row],[Total PoP ]]/250),0)</f>
        <v>2</v>
      </c>
      <c r="BA3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8" s="419">
        <f>WWWW[[#This Row],[% people access to functioning Latrine]]*WWWW[[#This Row],[Total PoP ]]</f>
        <v>0</v>
      </c>
      <c r="BC38" s="421">
        <f>WWWW[[#This Row],['#_of_Functioning_latrines_in_school]]*50</f>
        <v>0</v>
      </c>
      <c r="BD38" s="421">
        <f>ROUND((WWWW[[#This Row],[Total PoP ]]/6),0)</f>
        <v>97</v>
      </c>
      <c r="BE38" s="421">
        <f>IF(WWWW[[#This Row],[Total required Latrines]]-(WWWW[[#This Row],['#_of_sanitary_fly-proof_HH_latrines]])&lt;0,0,WWWW[[#This Row],[Total required Latrines]]-(WWWW[[#This Row],['#_of_sanitary_fly-proof_HH_latrines]]))</f>
        <v>97</v>
      </c>
      <c r="BF38" s="72">
        <f>1-WWWW[[#This Row],[% people access to functioning Latrine]]</f>
        <v>1</v>
      </c>
      <c r="BG3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125</v>
      </c>
      <c r="BH38" s="419">
        <f>IF(WWWW[[#This Row],['#_of_functional_handwashing_facilities_at_HH_level]]*6&gt;WWWW[[#This Row],[Total PoP ]],WWWW[[#This Row],[Total PoP ]],WWWW[[#This Row],['#_of_functional_handwashing_facilities_at_HH_level]]*6)</f>
        <v>0</v>
      </c>
      <c r="BI38" s="421">
        <f>IF(WWWW[[#This Row],['# people reached by regular dedicated hygiene promotion]]&gt;WWWW[[#This Row],['# People received regular supply of hygiene items]],WWWW[[#This Row],['# people reached by regular dedicated hygiene promotion]],WWWW[[#This Row],['# People received regular supply of hygiene items]])</f>
        <v>125</v>
      </c>
      <c r="BJ38" s="424">
        <f>IF(WWWW[[#This Row],[HRP3]]/WWWW[[#This Row],[Total PoP ]]&gt;100%,100%,WWWW[[#This Row],[HRP3]]/WWWW[[#This Row],[Total PoP ]])</f>
        <v>0.21551724137931033</v>
      </c>
      <c r="BK38" s="423">
        <f>1-WWWW[[#This Row],[Hygiene Coverage%]]</f>
        <v>0.78448275862068972</v>
      </c>
      <c r="BL38" s="422">
        <f>WWWW[[#This Row],['# people reached by regular dedicated hygiene promotion]]/WWWW[[#This Row],[Total PoP ]]</f>
        <v>0.21551724137931033</v>
      </c>
      <c r="BM3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 s="421">
        <f>WWWW[[#This Row],['#_of_affected_women_and_girls_receiving_a_sufficient_quantity_of_sanitary_pads]]</f>
        <v>0</v>
      </c>
      <c r="BO38" s="420">
        <f>IF(WWWW[[#This Row],['# People with access to soap]]&gt;WWWW[[#This Row],['# People with access to Sanity Pads]],WWWW[[#This Row],['# People with access to soap]],WWWW[[#This Row],['# People with access to Sanity Pads]])</f>
        <v>0</v>
      </c>
      <c r="BP38" s="419" t="str">
        <f>IF(OR(WWWW[[#This Row],['#of students in school]]="",WWWW[[#This Row],['#of students in school]]=0),"No","Yes")</f>
        <v>No</v>
      </c>
      <c r="BQ38" s="417" t="str">
        <f>VLOOKUP(WWWW[[#This Row],[Village  Name]],SiteDB6[[Site Name]:[Location Type 1]],9,FALSE)</f>
        <v>Village</v>
      </c>
      <c r="BR38" s="417" t="str">
        <f>VLOOKUP(WWWW[[#This Row],[Village  Name]],SiteDB6[[Site Name]:[Type of Accommodation]],10,FALSE)</f>
        <v>Village</v>
      </c>
      <c r="BS38" s="417" t="str">
        <f>VLOOKUP(WWWW[[#This Row],[Village  Name]],SiteDB6[[Site Name]:[Ethnic or GCA/NGCA]],11,FALSE)</f>
        <v>Muslim</v>
      </c>
      <c r="BT38" s="417">
        <f>VLOOKUP(WWWW[[#This Row],[Village  Name]],SiteDB6[[Site Name]:[Lat]],12,FALSE)</f>
        <v>0</v>
      </c>
      <c r="BU38" s="417">
        <f>VLOOKUP(WWWW[[#This Row],[Village  Name]],SiteDB6[[Site Name]:[Long]],13,FALSE)</f>
        <v>0</v>
      </c>
      <c r="BV38" s="417">
        <f>VLOOKUP(WWWW[[#This Row],[Village  Name]],SiteDB6[[Site Name]:[Pcode]],3,FALSE)</f>
        <v>198370</v>
      </c>
      <c r="BW38" s="425" t="str">
        <f t="shared" si="0"/>
        <v>Covered</v>
      </c>
      <c r="BX38" s="425"/>
      <c r="BY38" s="33"/>
      <c r="CA38"/>
      <c r="CB38" s="33"/>
      <c r="CC38" s="36"/>
      <c r="CE38" s="37"/>
      <c r="CN38" s="20"/>
    </row>
    <row r="39" spans="1:92" hidden="1">
      <c r="A39" s="612" t="s">
        <v>2380</v>
      </c>
      <c r="B39" s="412" t="s">
        <v>289</v>
      </c>
      <c r="C39" s="418" t="s">
        <v>289</v>
      </c>
      <c r="D39" s="418" t="s">
        <v>329</v>
      </c>
      <c r="E39" s="551" t="s">
        <v>2687</v>
      </c>
      <c r="F39" s="418" t="s">
        <v>404</v>
      </c>
      <c r="G39" s="551" t="str">
        <f>VLOOKUP(WWWW[[#This Row],[Village  Name]],SiteDB6[[Site Name]:[Location Type]],8,FALSE)</f>
        <v>Village</v>
      </c>
      <c r="H39" s="418" t="s">
        <v>2846</v>
      </c>
      <c r="I39" s="420">
        <v>43</v>
      </c>
      <c r="J39" s="420">
        <v>193</v>
      </c>
      <c r="K39" s="426">
        <v>43359</v>
      </c>
      <c r="L39" s="427">
        <v>43830</v>
      </c>
      <c r="M39" s="420"/>
      <c r="N39" s="420"/>
      <c r="O39" s="420"/>
      <c r="P39" s="420"/>
      <c r="Q39" s="420"/>
      <c r="R39" s="420"/>
      <c r="S39" s="420"/>
      <c r="T39" s="642"/>
      <c r="U39" s="420"/>
      <c r="V39" s="611" t="s">
        <v>132</v>
      </c>
      <c r="W39" s="420"/>
      <c r="X39" s="420"/>
      <c r="Y39" s="420"/>
      <c r="Z39" s="420"/>
      <c r="AA39" s="420"/>
      <c r="AB39" s="642"/>
      <c r="AC39" s="420"/>
      <c r="AD39" s="420"/>
      <c r="AE39" s="420"/>
      <c r="AF39" s="420"/>
      <c r="AG39" s="420"/>
      <c r="AH39" s="420"/>
      <c r="AI39" s="420"/>
      <c r="AJ39" s="420"/>
      <c r="AK39" s="420"/>
      <c r="AL39" s="420"/>
      <c r="AM39" s="642"/>
      <c r="AN39" s="420"/>
      <c r="AO39" s="420"/>
      <c r="AP3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9" s="419">
        <f>WWWW[[#This Row],[%Equitable and continuous access to sufficient quantity of safe drinking water]]*WWWW[[#This Row],[Total PoP ]]</f>
        <v>0</v>
      </c>
      <c r="AR3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 s="419">
        <f>WWWW[[#This Row],[% Access to unimproved water points]]*WWWW[[#This Row],[Total PoP ]]</f>
        <v>0</v>
      </c>
      <c r="AT3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9" s="419">
        <f>WWWW[[#This Row],[HRP1]]/250</f>
        <v>0</v>
      </c>
      <c r="AW39" s="424">
        <f>1-WWWW[[#This Row],[% Equitable and continuous access to sufficient quantity of domestic water]]</f>
        <v>1</v>
      </c>
      <c r="AX39" s="419">
        <f>WWWW[[#This Row],[%equitable and continuous access to sufficient quantity of safe drinking and domestic water''s GAP]]*WWWW[[#This Row],[Total PoP ]]</f>
        <v>193</v>
      </c>
      <c r="AY39" s="421">
        <f>IF(WWWW[[#This Row],[Total required water points]]-WWWW[[#This Row],['#Water points coverage]]&lt;0,0,WWWW[[#This Row],[Total required water points]]-WWWW[[#This Row],['#Water points coverage]])</f>
        <v>1</v>
      </c>
      <c r="AZ39" s="421">
        <f>ROUND(IF(WWWW[[#This Row],[Total PoP ]]&lt;250,1,WWWW[[#This Row],[Total PoP ]]/250),0)</f>
        <v>1</v>
      </c>
      <c r="BA3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9" s="419">
        <f>WWWW[[#This Row],[% people access to functioning Latrine]]*WWWW[[#This Row],[Total PoP ]]</f>
        <v>0</v>
      </c>
      <c r="BC39" s="421">
        <f>WWWW[[#This Row],['#_of_Functioning_latrines_in_school]]*50</f>
        <v>0</v>
      </c>
      <c r="BD39" s="421">
        <f>ROUND((WWWW[[#This Row],[Total PoP ]]/6),0)</f>
        <v>32</v>
      </c>
      <c r="BE39" s="421">
        <f>IF(WWWW[[#This Row],[Total required Latrines]]-(WWWW[[#This Row],['#_of_sanitary_fly-proof_HH_latrines]])&lt;0,0,WWWW[[#This Row],[Total required Latrines]]-(WWWW[[#This Row],['#_of_sanitary_fly-proof_HH_latrines]]))</f>
        <v>32</v>
      </c>
      <c r="BF39" s="72">
        <f>1-WWWW[[#This Row],[% people access to functioning Latrine]]</f>
        <v>1</v>
      </c>
      <c r="BG3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9" s="419">
        <f>IF(WWWW[[#This Row],['#_of_functional_handwashing_facilities_at_HH_level]]*6&gt;WWWW[[#This Row],[Total PoP ]],WWWW[[#This Row],[Total PoP ]],WWWW[[#This Row],['#_of_functional_handwashing_facilities_at_HH_level]]*6)</f>
        <v>0</v>
      </c>
      <c r="BI39" s="421">
        <f>IF(WWWW[[#This Row],['# people reached by regular dedicated hygiene promotion]]&gt;WWWW[[#This Row],['# People received regular supply of hygiene items]],WWWW[[#This Row],['# people reached by regular dedicated hygiene promotion]],WWWW[[#This Row],['# People received regular supply of hygiene items]])</f>
        <v>0</v>
      </c>
      <c r="BJ39" s="424">
        <f>IF(WWWW[[#This Row],[HRP3]]/WWWW[[#This Row],[Total PoP ]]&gt;100%,100%,WWWW[[#This Row],[HRP3]]/WWWW[[#This Row],[Total PoP ]])</f>
        <v>0</v>
      </c>
      <c r="BK39" s="423">
        <f>1-WWWW[[#This Row],[Hygiene Coverage%]]</f>
        <v>1</v>
      </c>
      <c r="BL39" s="422">
        <f>WWWW[[#This Row],['# people reached by regular dedicated hygiene promotion]]/WWWW[[#This Row],[Total PoP ]]</f>
        <v>0</v>
      </c>
      <c r="BM3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 s="421">
        <f>WWWW[[#This Row],['#_of_affected_women_and_girls_receiving_a_sufficient_quantity_of_sanitary_pads]]</f>
        <v>0</v>
      </c>
      <c r="BO39" s="420">
        <f>IF(WWWW[[#This Row],['# People with access to soap]]&gt;WWWW[[#This Row],['# People with access to Sanity Pads]],WWWW[[#This Row],['# People with access to soap]],WWWW[[#This Row],['# People with access to Sanity Pads]])</f>
        <v>0</v>
      </c>
      <c r="BP39" s="419" t="str">
        <f>IF(OR(WWWW[[#This Row],['#of students in school]]="",WWWW[[#This Row],['#of students in school]]=0),"No","Yes")</f>
        <v>No</v>
      </c>
      <c r="BQ39" s="417" t="str">
        <f>VLOOKUP(WWWW[[#This Row],[Village  Name]],SiteDB6[[Site Name]:[Location Type 1]],9,FALSE)</f>
        <v>Village</v>
      </c>
      <c r="BR39" s="417" t="str">
        <f>VLOOKUP(WWWW[[#This Row],[Village  Name]],SiteDB6[[Site Name]:[Type of Accommodation]],10,FALSE)</f>
        <v>Village</v>
      </c>
      <c r="BS39" s="417">
        <f>VLOOKUP(WWWW[[#This Row],[Village  Name]],SiteDB6[[Site Name]:[Ethnic or GCA/NGCA]],11,FALSE)</f>
        <v>0</v>
      </c>
      <c r="BT39" s="417">
        <f>VLOOKUP(WWWW[[#This Row],[Village  Name]],SiteDB6[[Site Name]:[Lat]],12,FALSE)</f>
        <v>19.9233303070068</v>
      </c>
      <c r="BU39" s="417">
        <f>VLOOKUP(WWWW[[#This Row],[Village  Name]],SiteDB6[[Site Name]:[Long]],13,FALSE)</f>
        <v>93.018592834472699</v>
      </c>
      <c r="BV39" s="417">
        <f>VLOOKUP(WWWW[[#This Row],[Village  Name]],SiteDB6[[Site Name]:[Pcode]],3,FALSE)</f>
        <v>197547</v>
      </c>
      <c r="BW39" s="425" t="str">
        <f t="shared" ref="BW39:BW61" si="1">IF(C39="none","Notcovered","Covered")</f>
        <v>Covered</v>
      </c>
      <c r="BX39" s="425"/>
      <c r="BY39" s="33"/>
      <c r="CA39"/>
      <c r="CB39" s="33"/>
      <c r="CC39" s="36"/>
      <c r="CE39" s="37"/>
      <c r="CN39" s="20"/>
    </row>
    <row r="40" spans="1:92" ht="27.75" hidden="1" customHeight="1">
      <c r="A40" s="612" t="s">
        <v>2380</v>
      </c>
      <c r="B40" s="412" t="s">
        <v>289</v>
      </c>
      <c r="C40" s="418" t="s">
        <v>289</v>
      </c>
      <c r="D40" s="418" t="s">
        <v>329</v>
      </c>
      <c r="E40" s="551" t="s">
        <v>2687</v>
      </c>
      <c r="F40" s="418" t="s">
        <v>404</v>
      </c>
      <c r="G40" s="551" t="str">
        <f>VLOOKUP(WWWW[[#This Row],[Village  Name]],SiteDB6[[Site Name]:[Location Type]],8,FALSE)</f>
        <v>Village</v>
      </c>
      <c r="H40" s="418" t="s">
        <v>2565</v>
      </c>
      <c r="I40" s="420">
        <v>38</v>
      </c>
      <c r="J40" s="420">
        <v>81</v>
      </c>
      <c r="K40" s="426">
        <v>43359</v>
      </c>
      <c r="L40" s="427">
        <v>43830</v>
      </c>
      <c r="M40" s="420"/>
      <c r="N40" s="420"/>
      <c r="O40" s="420"/>
      <c r="P40" s="420"/>
      <c r="Q40" s="420"/>
      <c r="R40" s="420"/>
      <c r="S40" s="420"/>
      <c r="T40" s="642"/>
      <c r="U40" s="420"/>
      <c r="V40" s="611" t="s">
        <v>132</v>
      </c>
      <c r="W40" s="420"/>
      <c r="X40" s="420"/>
      <c r="Y40" s="420"/>
      <c r="Z40" s="420"/>
      <c r="AA40" s="420"/>
      <c r="AB40" s="642"/>
      <c r="AC40" s="420"/>
      <c r="AD40" s="420"/>
      <c r="AE40" s="420"/>
      <c r="AF40" s="420"/>
      <c r="AG40" s="420"/>
      <c r="AH40" s="420"/>
      <c r="AI40" s="420"/>
      <c r="AJ40" s="420"/>
      <c r="AK40" s="420"/>
      <c r="AL40" s="420"/>
      <c r="AM40" s="642"/>
      <c r="AN40" s="420"/>
      <c r="AO40" s="420"/>
      <c r="AP4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0" s="419">
        <f>WWWW[[#This Row],[%Equitable and continuous access to sufficient quantity of safe drinking water]]*WWWW[[#This Row],[Total PoP ]]</f>
        <v>0</v>
      </c>
      <c r="AR4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 s="419">
        <f>WWWW[[#This Row],[% Access to unimproved water points]]*WWWW[[#This Row],[Total PoP ]]</f>
        <v>0</v>
      </c>
      <c r="AT4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0" s="419">
        <f>WWWW[[#This Row],[HRP1]]/250</f>
        <v>0</v>
      </c>
      <c r="AW40" s="424">
        <f>1-WWWW[[#This Row],[% Equitable and continuous access to sufficient quantity of domestic water]]</f>
        <v>1</v>
      </c>
      <c r="AX40" s="419">
        <f>WWWW[[#This Row],[%equitable and continuous access to sufficient quantity of safe drinking and domestic water''s GAP]]*WWWW[[#This Row],[Total PoP ]]</f>
        <v>81</v>
      </c>
      <c r="AY40" s="421">
        <f>IF(WWWW[[#This Row],[Total required water points]]-WWWW[[#This Row],['#Water points coverage]]&lt;0,0,WWWW[[#This Row],[Total required water points]]-WWWW[[#This Row],['#Water points coverage]])</f>
        <v>1</v>
      </c>
      <c r="AZ40" s="421">
        <f>ROUND(IF(WWWW[[#This Row],[Total PoP ]]&lt;250,1,WWWW[[#This Row],[Total PoP ]]/250),0)</f>
        <v>1</v>
      </c>
      <c r="BA4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0" s="419">
        <f>WWWW[[#This Row],[% people access to functioning Latrine]]*WWWW[[#This Row],[Total PoP ]]</f>
        <v>0</v>
      </c>
      <c r="BC40" s="421">
        <f>WWWW[[#This Row],['#_of_Functioning_latrines_in_school]]*50</f>
        <v>0</v>
      </c>
      <c r="BD40" s="421">
        <f>ROUND((WWWW[[#This Row],[Total PoP ]]/6),0)</f>
        <v>14</v>
      </c>
      <c r="BE40" s="421">
        <f>IF(WWWW[[#This Row],[Total required Latrines]]-(WWWW[[#This Row],['#_of_sanitary_fly-proof_HH_latrines]])&lt;0,0,WWWW[[#This Row],[Total required Latrines]]-(WWWW[[#This Row],['#_of_sanitary_fly-proof_HH_latrines]]))</f>
        <v>14</v>
      </c>
      <c r="BF40" s="72">
        <f>1-WWWW[[#This Row],[% people access to functioning Latrine]]</f>
        <v>1</v>
      </c>
      <c r="BG4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0" s="419">
        <f>IF(WWWW[[#This Row],['#_of_functional_handwashing_facilities_at_HH_level]]*6&gt;WWWW[[#This Row],[Total PoP ]],WWWW[[#This Row],[Total PoP ]],WWWW[[#This Row],['#_of_functional_handwashing_facilities_at_HH_level]]*6)</f>
        <v>0</v>
      </c>
      <c r="BI40" s="421">
        <f>IF(WWWW[[#This Row],['# people reached by regular dedicated hygiene promotion]]&gt;WWWW[[#This Row],['# People received regular supply of hygiene items]],WWWW[[#This Row],['# people reached by regular dedicated hygiene promotion]],WWWW[[#This Row],['# People received regular supply of hygiene items]])</f>
        <v>0</v>
      </c>
      <c r="BJ40" s="424">
        <f>IF(WWWW[[#This Row],[HRP3]]/WWWW[[#This Row],[Total PoP ]]&gt;100%,100%,WWWW[[#This Row],[HRP3]]/WWWW[[#This Row],[Total PoP ]])</f>
        <v>0</v>
      </c>
      <c r="BK40" s="423">
        <f>1-WWWW[[#This Row],[Hygiene Coverage%]]</f>
        <v>1</v>
      </c>
      <c r="BL40" s="422">
        <f>WWWW[[#This Row],['# people reached by regular dedicated hygiene promotion]]/WWWW[[#This Row],[Total PoP ]]</f>
        <v>0</v>
      </c>
      <c r="BM4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 s="421">
        <f>WWWW[[#This Row],['#_of_affected_women_and_girls_receiving_a_sufficient_quantity_of_sanitary_pads]]</f>
        <v>0</v>
      </c>
      <c r="BO40" s="420">
        <f>IF(WWWW[[#This Row],['# People with access to soap]]&gt;WWWW[[#This Row],['# People with access to Sanity Pads]],WWWW[[#This Row],['# People with access to soap]],WWWW[[#This Row],['# People with access to Sanity Pads]])</f>
        <v>0</v>
      </c>
      <c r="BP40" s="419" t="str">
        <f>IF(OR(WWWW[[#This Row],['#of students in school]]="",WWWW[[#This Row],['#of students in school]]=0),"No","Yes")</f>
        <v>No</v>
      </c>
      <c r="BQ40" s="417" t="str">
        <f>VLOOKUP(WWWW[[#This Row],[Village  Name]],SiteDB6[[Site Name]:[Location Type 1]],9,FALSE)</f>
        <v>Village</v>
      </c>
      <c r="BR40" s="417" t="str">
        <f>VLOOKUP(WWWW[[#This Row],[Village  Name]],SiteDB6[[Site Name]:[Type of Accommodation]],10,FALSE)</f>
        <v>Village</v>
      </c>
      <c r="BS40" s="417">
        <f>VLOOKUP(WWWW[[#This Row],[Village  Name]],SiteDB6[[Site Name]:[Ethnic or GCA/NGCA]],11,FALSE)</f>
        <v>0</v>
      </c>
      <c r="BT40" s="417">
        <f>VLOOKUP(WWWW[[#This Row],[Village  Name]],SiteDB6[[Site Name]:[Lat]],12,FALSE)</f>
        <v>20.005199432373001</v>
      </c>
      <c r="BU40" s="417">
        <f>VLOOKUP(WWWW[[#This Row],[Village  Name]],SiteDB6[[Site Name]:[Long]],13,FALSE)</f>
        <v>92.948463439941406</v>
      </c>
      <c r="BV40" s="417">
        <f>VLOOKUP(WWWW[[#This Row],[Village  Name]],SiteDB6[[Site Name]:[Pcode]],3,FALSE)</f>
        <v>197565</v>
      </c>
      <c r="BW40" s="425" t="str">
        <f t="shared" si="1"/>
        <v>Covered</v>
      </c>
      <c r="BX40" s="425"/>
      <c r="BY40" s="33"/>
      <c r="CA40"/>
      <c r="CB40" s="33"/>
      <c r="CC40" s="36"/>
      <c r="CE40" s="37"/>
      <c r="CN40" s="20"/>
    </row>
    <row r="41" spans="1:92" hidden="1">
      <c r="A41" s="612" t="s">
        <v>2380</v>
      </c>
      <c r="B41" s="412" t="s">
        <v>289</v>
      </c>
      <c r="C41" s="418" t="s">
        <v>289</v>
      </c>
      <c r="D41" s="418" t="s">
        <v>236</v>
      </c>
      <c r="E41" s="551" t="s">
        <v>2687</v>
      </c>
      <c r="F41" s="551" t="s">
        <v>404</v>
      </c>
      <c r="G41" s="551" t="str">
        <f>VLOOKUP(WWWW[[#This Row],[Village  Name]],SiteDB6[[Site Name]:[Location Type]],8,FALSE)</f>
        <v>Village</v>
      </c>
      <c r="H41" s="418" t="s">
        <v>410</v>
      </c>
      <c r="I41" s="420">
        <v>204</v>
      </c>
      <c r="J41" s="420">
        <v>1055</v>
      </c>
      <c r="K41" s="426">
        <v>43556</v>
      </c>
      <c r="L41" s="427">
        <v>43921</v>
      </c>
      <c r="M41" s="420">
        <v>241</v>
      </c>
      <c r="N41" s="420">
        <v>0</v>
      </c>
      <c r="O41" s="420"/>
      <c r="P41" s="420"/>
      <c r="Q41" s="420">
        <v>3</v>
      </c>
      <c r="R41" s="420">
        <v>1</v>
      </c>
      <c r="S41" s="420"/>
      <c r="T41" s="642"/>
      <c r="U41" s="420"/>
      <c r="V41" s="420" t="s">
        <v>41</v>
      </c>
      <c r="W41" s="420">
        <v>2</v>
      </c>
      <c r="X41" s="420"/>
      <c r="Y41" s="420"/>
      <c r="Z41" s="420"/>
      <c r="AA41" s="420"/>
      <c r="AB41" s="643"/>
      <c r="AC41" s="420"/>
      <c r="AD41" s="420"/>
      <c r="AE41" s="420"/>
      <c r="AF41" s="420"/>
      <c r="AG41" s="420"/>
      <c r="AH41" s="420"/>
      <c r="AI41" s="420"/>
      <c r="AJ41" s="420">
        <v>1</v>
      </c>
      <c r="AK41" s="420"/>
      <c r="AL41" s="420"/>
      <c r="AM41" s="642"/>
      <c r="AN41" s="420"/>
      <c r="AO41" s="420"/>
      <c r="AP4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 s="419">
        <f>WWWW[[#This Row],[%Equitable and continuous access to sufficient quantity of safe drinking water]]*WWWW[[#This Row],[Total PoP ]]</f>
        <v>0</v>
      </c>
      <c r="AR4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1" s="419">
        <f>WWWW[[#This Row],[% Access to unimproved water points]]*WWWW[[#This Row],[Total PoP ]]</f>
        <v>1055</v>
      </c>
      <c r="AT4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1055</v>
      </c>
      <c r="AV41" s="419">
        <f>WWWW[[#This Row],[HRP1]]/250</f>
        <v>4.22</v>
      </c>
      <c r="AW41" s="424">
        <f>1-WWWW[[#This Row],[% Equitable and continuous access to sufficient quantity of domestic water]]</f>
        <v>0</v>
      </c>
      <c r="AX41" s="419">
        <f>WWWW[[#This Row],[%equitable and continuous access to sufficient quantity of safe drinking and domestic water''s GAP]]*WWWW[[#This Row],[Total PoP ]]</f>
        <v>0</v>
      </c>
      <c r="AY41" s="421">
        <f>IF(WWWW[[#This Row],[Total required water points]]-WWWW[[#This Row],['#Water points coverage]]&lt;0,0,WWWW[[#This Row],[Total required water points]]-WWWW[[#This Row],['#Water points coverage]])</f>
        <v>0</v>
      </c>
      <c r="AZ41" s="421">
        <f>ROUND(IF(WWWW[[#This Row],[Total PoP ]]&lt;250,1,WWWW[[#This Row],[Total PoP ]]/250),0)</f>
        <v>4</v>
      </c>
      <c r="BA4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9.4786729857819899E-2</v>
      </c>
      <c r="BB41" s="419">
        <f>WWWW[[#This Row],[% people access to functioning Latrine]]*WWWW[[#This Row],[Total PoP ]]</f>
        <v>100</v>
      </c>
      <c r="BC41" s="421">
        <f>WWWW[[#This Row],['#_of_Functioning_latrines_in_school]]*50</f>
        <v>100</v>
      </c>
      <c r="BD41" s="421">
        <f>ROUND((WWWW[[#This Row],[Total PoP ]]/6),0)</f>
        <v>176</v>
      </c>
      <c r="BE41" s="421">
        <f>IF(WWWW[[#This Row],[Total required Latrines]]-(WWWW[[#This Row],['#_of_sanitary_fly-proof_HH_latrines]])&lt;0,0,WWWW[[#This Row],[Total required Latrines]]-(WWWW[[#This Row],['#_of_sanitary_fly-proof_HH_latrines]]))</f>
        <v>176</v>
      </c>
      <c r="BF41" s="72">
        <f>1-WWWW[[#This Row],[% people access to functioning Latrine]]</f>
        <v>0.90521327014218012</v>
      </c>
      <c r="BG4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 s="419">
        <f>IF(WWWW[[#This Row],['#_of_functional_handwashing_facilities_at_HH_level]]*6&gt;WWWW[[#This Row],[Total PoP ]],WWWW[[#This Row],[Total PoP ]],WWWW[[#This Row],['#_of_functional_handwashing_facilities_at_HH_level]]*6)</f>
        <v>0</v>
      </c>
      <c r="BI41" s="421">
        <f>IF(WWWW[[#This Row],['# people reached by regular dedicated hygiene promotion]]&gt;WWWW[[#This Row],['# People received regular supply of hygiene items]],WWWW[[#This Row],['# people reached by regular dedicated hygiene promotion]],WWWW[[#This Row],['# People received regular supply of hygiene items]])</f>
        <v>0</v>
      </c>
      <c r="BJ41" s="424">
        <f>IF(WWWW[[#This Row],[HRP3]]/WWWW[[#This Row],[Total PoP ]]&gt;100%,100%,WWWW[[#This Row],[HRP3]]/WWWW[[#This Row],[Total PoP ]])</f>
        <v>0</v>
      </c>
      <c r="BK41" s="423">
        <f>1-WWWW[[#This Row],[Hygiene Coverage%]]</f>
        <v>1</v>
      </c>
      <c r="BL41" s="422">
        <f>WWWW[[#This Row],['# people reached by regular dedicated hygiene promotion]]/WWWW[[#This Row],[Total PoP ]]</f>
        <v>0</v>
      </c>
      <c r="BM4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 s="421">
        <f>WWWW[[#This Row],['#_of_affected_women_and_girls_receiving_a_sufficient_quantity_of_sanitary_pads]]</f>
        <v>0</v>
      </c>
      <c r="BO41" s="420">
        <f>IF(WWWW[[#This Row],['# People with access to soap]]&gt;WWWW[[#This Row],['# People with access to Sanity Pads]],WWWW[[#This Row],['# People with access to soap]],WWWW[[#This Row],['# People with access to Sanity Pads]])</f>
        <v>0</v>
      </c>
      <c r="BP41" s="419" t="str">
        <f>IF(OR(WWWW[[#This Row],['#of students in school]]="",WWWW[[#This Row],['#of students in school]]=0),"No","Yes")</f>
        <v>Yes</v>
      </c>
      <c r="BQ41" s="417" t="str">
        <f>VLOOKUP(WWWW[[#This Row],[Village  Name]],SiteDB6[[Site Name]:[Location Type 1]],9,FALSE)</f>
        <v>Village</v>
      </c>
      <c r="BR41" s="417" t="str">
        <f>VLOOKUP(WWWW[[#This Row],[Village  Name]],SiteDB6[[Site Name]:[Type of Accommodation]],10,FALSE)</f>
        <v>Village</v>
      </c>
      <c r="BS41" s="417" t="str">
        <f>VLOOKUP(WWWW[[#This Row],[Village  Name]],SiteDB6[[Site Name]:[Ethnic or GCA/NGCA]],11,FALSE)</f>
        <v>Rakhine</v>
      </c>
      <c r="BT41" s="417">
        <f>VLOOKUP(WWWW[[#This Row],[Village  Name]],SiteDB6[[Site Name]:[Lat]],12,FALSE)</f>
        <v>20.0839</v>
      </c>
      <c r="BU41" s="417">
        <f>VLOOKUP(WWWW[[#This Row],[Village  Name]],SiteDB6[[Site Name]:[Long]],13,FALSE)</f>
        <v>92.993799999999993</v>
      </c>
      <c r="BV41" s="417">
        <f>VLOOKUP(WWWW[[#This Row],[Village  Name]],SiteDB6[[Site Name]:[Pcode]],3,FALSE)</f>
        <v>197557</v>
      </c>
      <c r="BW41" s="425" t="str">
        <f t="shared" si="1"/>
        <v>Covered</v>
      </c>
      <c r="BX41" s="425"/>
      <c r="BY41" s="33"/>
      <c r="CA41"/>
      <c r="CB41" s="33"/>
      <c r="CC41" s="36"/>
      <c r="CE41" s="37"/>
      <c r="CN41" s="20"/>
    </row>
    <row r="42" spans="1:92" hidden="1">
      <c r="A42" s="612" t="s">
        <v>2380</v>
      </c>
      <c r="B42" s="412" t="s">
        <v>289</v>
      </c>
      <c r="C42" s="418" t="s">
        <v>289</v>
      </c>
      <c r="D42" s="418" t="s">
        <v>236</v>
      </c>
      <c r="E42" s="551" t="s">
        <v>2687</v>
      </c>
      <c r="F42" s="418" t="s">
        <v>404</v>
      </c>
      <c r="G42" s="551" t="str">
        <f>VLOOKUP(WWWW[[#This Row],[Village  Name]],SiteDB6[[Site Name]:[Location Type]],8,FALSE)</f>
        <v>Village</v>
      </c>
      <c r="H42" s="418" t="s">
        <v>406</v>
      </c>
      <c r="I42" s="420">
        <v>948</v>
      </c>
      <c r="J42" s="420">
        <v>3946</v>
      </c>
      <c r="K42" s="426">
        <v>43556</v>
      </c>
      <c r="L42" s="427">
        <v>43921</v>
      </c>
      <c r="M42" s="420">
        <v>342</v>
      </c>
      <c r="N42" s="420">
        <v>0</v>
      </c>
      <c r="O42" s="420"/>
      <c r="P42" s="420"/>
      <c r="Q42" s="420">
        <v>3</v>
      </c>
      <c r="R42" s="420">
        <v>1</v>
      </c>
      <c r="S42" s="420">
        <v>2</v>
      </c>
      <c r="T42" s="642"/>
      <c r="U42" s="420"/>
      <c r="V42" s="420" t="s">
        <v>41</v>
      </c>
      <c r="W42" s="420">
        <v>2</v>
      </c>
      <c r="X42" s="420"/>
      <c r="Y42" s="420"/>
      <c r="Z42" s="420"/>
      <c r="AA42" s="420"/>
      <c r="AB42" s="643"/>
      <c r="AC42" s="420"/>
      <c r="AD42" s="420"/>
      <c r="AE42" s="420"/>
      <c r="AF42" s="420"/>
      <c r="AG42" s="420"/>
      <c r="AH42" s="420"/>
      <c r="AI42" s="420"/>
      <c r="AJ42" s="420">
        <v>1</v>
      </c>
      <c r="AK42" s="420"/>
      <c r="AL42" s="420"/>
      <c r="AM42" s="642"/>
      <c r="AN42" s="611"/>
      <c r="AO42" s="611"/>
      <c r="AP4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0.12671059300557527</v>
      </c>
      <c r="AQ42" s="419">
        <f>WWWW[[#This Row],[%Equitable and continuous access to sufficient quantity of safe drinking water]]*WWWW[[#This Row],[Total PoP ]]</f>
        <v>500</v>
      </c>
      <c r="AR4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2" s="419">
        <f>WWWW[[#This Row],[% Access to unimproved water points]]*WWWW[[#This Row],[Total PoP ]]</f>
        <v>3946</v>
      </c>
      <c r="AT4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AV42" s="419">
        <f>WWWW[[#This Row],[HRP1]]/250</f>
        <v>15.784000000000001</v>
      </c>
      <c r="AW42" s="424">
        <f>1-WWWW[[#This Row],[% Equitable and continuous access to sufficient quantity of domestic water]]</f>
        <v>0</v>
      </c>
      <c r="AX42" s="419">
        <f>WWWW[[#This Row],[%equitable and continuous access to sufficient quantity of safe drinking and domestic water''s GAP]]*WWWW[[#This Row],[Total PoP ]]</f>
        <v>0</v>
      </c>
      <c r="AY42" s="421">
        <f>IF(WWWW[[#This Row],[Total required water points]]-WWWW[[#This Row],['#Water points coverage]]&lt;0,0,WWWW[[#This Row],[Total required water points]]-WWWW[[#This Row],['#Water points coverage]])</f>
        <v>0.2159999999999993</v>
      </c>
      <c r="AZ42" s="421">
        <f>ROUND(IF(WWWW[[#This Row],[Total PoP ]]&lt;250,1,WWWW[[#This Row],[Total PoP ]]/250),0)</f>
        <v>16</v>
      </c>
      <c r="BA4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2.5342118601115054E-2</v>
      </c>
      <c r="BB42" s="419">
        <f>WWWW[[#This Row],[% people access to functioning Latrine]]*WWWW[[#This Row],[Total PoP ]]</f>
        <v>100</v>
      </c>
      <c r="BC42" s="421">
        <f>WWWW[[#This Row],['#_of_Functioning_latrines_in_school]]*50</f>
        <v>100</v>
      </c>
      <c r="BD42" s="421">
        <f>ROUND((WWWW[[#This Row],[Total PoP ]]/6),0)</f>
        <v>658</v>
      </c>
      <c r="BE42" s="421">
        <f>IF(WWWW[[#This Row],[Total required Latrines]]-(WWWW[[#This Row],['#_of_sanitary_fly-proof_HH_latrines]])&lt;0,0,WWWW[[#This Row],[Total required Latrines]]-(WWWW[[#This Row],['#_of_sanitary_fly-proof_HH_latrines]]))</f>
        <v>658</v>
      </c>
      <c r="BF42" s="72">
        <f>1-WWWW[[#This Row],[% people access to functioning Latrine]]</f>
        <v>0.97465788139888498</v>
      </c>
      <c r="BG4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 s="419">
        <f>IF(WWWW[[#This Row],['#_of_functional_handwashing_facilities_at_HH_level]]*6&gt;WWWW[[#This Row],[Total PoP ]],WWWW[[#This Row],[Total PoP ]],WWWW[[#This Row],['#_of_functional_handwashing_facilities_at_HH_level]]*6)</f>
        <v>0</v>
      </c>
      <c r="BI42" s="421">
        <f>IF(WWWW[[#This Row],['# people reached by regular dedicated hygiene promotion]]&gt;WWWW[[#This Row],['# People received regular supply of hygiene items]],WWWW[[#This Row],['# people reached by regular dedicated hygiene promotion]],WWWW[[#This Row],['# People received regular supply of hygiene items]])</f>
        <v>0</v>
      </c>
      <c r="BJ42" s="424">
        <f>IF(WWWW[[#This Row],[HRP3]]/WWWW[[#This Row],[Total PoP ]]&gt;100%,100%,WWWW[[#This Row],[HRP3]]/WWWW[[#This Row],[Total PoP ]])</f>
        <v>0</v>
      </c>
      <c r="BK42" s="423">
        <f>1-WWWW[[#This Row],[Hygiene Coverage%]]</f>
        <v>1</v>
      </c>
      <c r="BL42" s="422">
        <f>WWWW[[#This Row],['# people reached by regular dedicated hygiene promotion]]/WWWW[[#This Row],[Total PoP ]]</f>
        <v>0</v>
      </c>
      <c r="BM4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 s="421">
        <f>WWWW[[#This Row],['#_of_affected_women_and_girls_receiving_a_sufficient_quantity_of_sanitary_pads]]</f>
        <v>0</v>
      </c>
      <c r="BO42" s="420">
        <f>IF(WWWW[[#This Row],['# People with access to soap]]&gt;WWWW[[#This Row],['# People with access to Sanity Pads]],WWWW[[#This Row],['# People with access to soap]],WWWW[[#This Row],['# People with access to Sanity Pads]])</f>
        <v>0</v>
      </c>
      <c r="BP42" s="419" t="str">
        <f>IF(OR(WWWW[[#This Row],['#of students in school]]="",WWWW[[#This Row],['#of students in school]]=0),"No","Yes")</f>
        <v>Yes</v>
      </c>
      <c r="BQ42" s="417" t="str">
        <f>VLOOKUP(WWWW[[#This Row],[Village  Name]],SiteDB6[[Site Name]:[Location Type 1]],9,FALSE)</f>
        <v>Village</v>
      </c>
      <c r="BR42" s="417" t="str">
        <f>VLOOKUP(WWWW[[#This Row],[Village  Name]],SiteDB6[[Site Name]:[Type of Accommodation]],10,FALSE)</f>
        <v>Village</v>
      </c>
      <c r="BS42" s="417" t="str">
        <f>VLOOKUP(WWWW[[#This Row],[Village  Name]],SiteDB6[[Site Name]:[Ethnic or GCA/NGCA]],11,FALSE)</f>
        <v>Muslim</v>
      </c>
      <c r="BT42" s="417">
        <f>VLOOKUP(WWWW[[#This Row],[Village  Name]],SiteDB6[[Site Name]:[Lat]],12,FALSE)</f>
        <v>20.0641</v>
      </c>
      <c r="BU42" s="417">
        <f>VLOOKUP(WWWW[[#This Row],[Village  Name]],SiteDB6[[Site Name]:[Long]],13,FALSE)</f>
        <v>92.994600000000005</v>
      </c>
      <c r="BV42" s="417">
        <f>VLOOKUP(WWWW[[#This Row],[Village  Name]],SiteDB6[[Site Name]:[Pcode]],3,FALSE)</f>
        <v>197548</v>
      </c>
      <c r="BW42" s="425" t="str">
        <f t="shared" si="1"/>
        <v>Covered</v>
      </c>
      <c r="BX42" s="425"/>
      <c r="BY42" s="33"/>
      <c r="CA42"/>
      <c r="CB42" s="33"/>
      <c r="CC42" s="36"/>
      <c r="CE42" s="37"/>
      <c r="CN42" s="20"/>
    </row>
    <row r="43" spans="1:92" hidden="1">
      <c r="A43" s="612" t="s">
        <v>2380</v>
      </c>
      <c r="B43" s="412" t="s">
        <v>289</v>
      </c>
      <c r="C43" s="418" t="s">
        <v>289</v>
      </c>
      <c r="D43" s="418" t="s">
        <v>236</v>
      </c>
      <c r="E43" s="551" t="s">
        <v>2687</v>
      </c>
      <c r="F43" s="418" t="s">
        <v>404</v>
      </c>
      <c r="G43" s="551" t="str">
        <f>VLOOKUP(WWWW[[#This Row],[Village  Name]],SiteDB6[[Site Name]:[Location Type]],8,FALSE)</f>
        <v>Village</v>
      </c>
      <c r="H43" s="418" t="s">
        <v>405</v>
      </c>
      <c r="I43" s="420">
        <v>477</v>
      </c>
      <c r="J43" s="420">
        <v>2034</v>
      </c>
      <c r="K43" s="426">
        <v>43556</v>
      </c>
      <c r="L43" s="427">
        <v>43921</v>
      </c>
      <c r="M43" s="420">
        <v>462</v>
      </c>
      <c r="N43" s="420">
        <v>0</v>
      </c>
      <c r="O43" s="420"/>
      <c r="P43" s="420"/>
      <c r="Q43" s="420">
        <v>1</v>
      </c>
      <c r="R43" s="420"/>
      <c r="S43" s="420">
        <v>2</v>
      </c>
      <c r="T43" s="642"/>
      <c r="U43" s="420"/>
      <c r="V43" s="420" t="s">
        <v>41</v>
      </c>
      <c r="W43" s="420">
        <v>8</v>
      </c>
      <c r="X43" s="420"/>
      <c r="Y43" s="420"/>
      <c r="Z43" s="420"/>
      <c r="AA43" s="420"/>
      <c r="AB43" s="643"/>
      <c r="AC43" s="420"/>
      <c r="AD43" s="420"/>
      <c r="AE43" s="420"/>
      <c r="AF43" s="420"/>
      <c r="AG43" s="420"/>
      <c r="AH43" s="420"/>
      <c r="AI43" s="420"/>
      <c r="AJ43" s="420"/>
      <c r="AK43" s="420"/>
      <c r="AL43" s="420"/>
      <c r="AM43" s="642"/>
      <c r="AN43" s="420"/>
      <c r="AO43" s="420"/>
      <c r="AP4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0.24582104228121926</v>
      </c>
      <c r="AQ43" s="419">
        <f>WWWW[[#This Row],[%Equitable and continuous access to sufficient quantity of safe drinking water]]*WWWW[[#This Row],[Total PoP ]]</f>
        <v>500</v>
      </c>
      <c r="AR4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3" s="419">
        <f>WWWW[[#This Row],[% Access to unimproved water points]]*WWWW[[#This Row],[Total PoP ]]</f>
        <v>2034</v>
      </c>
      <c r="AT4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AV43" s="419">
        <f>WWWW[[#This Row],[HRP1]]/250</f>
        <v>8.1359999999999992</v>
      </c>
      <c r="AW43" s="424">
        <f>1-WWWW[[#This Row],[% Equitable and continuous access to sufficient quantity of domestic water]]</f>
        <v>0</v>
      </c>
      <c r="AX43" s="419">
        <f>WWWW[[#This Row],[%equitable and continuous access to sufficient quantity of safe drinking and domestic water''s GAP]]*WWWW[[#This Row],[Total PoP ]]</f>
        <v>0</v>
      </c>
      <c r="AY43" s="421">
        <f>IF(WWWW[[#This Row],[Total required water points]]-WWWW[[#This Row],['#Water points coverage]]&lt;0,0,WWWW[[#This Row],[Total required water points]]-WWWW[[#This Row],['#Water points coverage]])</f>
        <v>0</v>
      </c>
      <c r="AZ43" s="421">
        <f>ROUND(IF(WWWW[[#This Row],[Total PoP ]]&lt;250,1,WWWW[[#This Row],[Total PoP ]]/250),0)</f>
        <v>8</v>
      </c>
      <c r="BA4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0.19665683382497542</v>
      </c>
      <c r="BB43" s="419">
        <f>WWWW[[#This Row],[% people access to functioning Latrine]]*WWWW[[#This Row],[Total PoP ]]</f>
        <v>400</v>
      </c>
      <c r="BC43" s="421">
        <f>WWWW[[#This Row],['#_of_Functioning_latrines_in_school]]*50</f>
        <v>400</v>
      </c>
      <c r="BD43" s="421">
        <f>ROUND((WWWW[[#This Row],[Total PoP ]]/6),0)</f>
        <v>339</v>
      </c>
      <c r="BE43" s="421">
        <f>IF(WWWW[[#This Row],[Total required Latrines]]-(WWWW[[#This Row],['#_of_sanitary_fly-proof_HH_latrines]])&lt;0,0,WWWW[[#This Row],[Total required Latrines]]-(WWWW[[#This Row],['#_of_sanitary_fly-proof_HH_latrines]]))</f>
        <v>339</v>
      </c>
      <c r="BF43" s="72">
        <f>1-WWWW[[#This Row],[% people access to functioning Latrine]]</f>
        <v>0.80334316617502455</v>
      </c>
      <c r="BG4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 s="419">
        <f>IF(WWWW[[#This Row],['#_of_functional_handwashing_facilities_at_HH_level]]*6&gt;WWWW[[#This Row],[Total PoP ]],WWWW[[#This Row],[Total PoP ]],WWWW[[#This Row],['#_of_functional_handwashing_facilities_at_HH_level]]*6)</f>
        <v>0</v>
      </c>
      <c r="BI43" s="421">
        <f>IF(WWWW[[#This Row],['# people reached by regular dedicated hygiene promotion]]&gt;WWWW[[#This Row],['# People received regular supply of hygiene items]],WWWW[[#This Row],['# people reached by regular dedicated hygiene promotion]],WWWW[[#This Row],['# People received regular supply of hygiene items]])</f>
        <v>0</v>
      </c>
      <c r="BJ43" s="424">
        <f>IF(WWWW[[#This Row],[HRP3]]/WWWW[[#This Row],[Total PoP ]]&gt;100%,100%,WWWW[[#This Row],[HRP3]]/WWWW[[#This Row],[Total PoP ]])</f>
        <v>0</v>
      </c>
      <c r="BK43" s="423">
        <f>1-WWWW[[#This Row],[Hygiene Coverage%]]</f>
        <v>1</v>
      </c>
      <c r="BL43" s="422">
        <f>WWWW[[#This Row],['# people reached by regular dedicated hygiene promotion]]/WWWW[[#This Row],[Total PoP ]]</f>
        <v>0</v>
      </c>
      <c r="BM4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 s="421">
        <f>WWWW[[#This Row],['#_of_affected_women_and_girls_receiving_a_sufficient_quantity_of_sanitary_pads]]</f>
        <v>0</v>
      </c>
      <c r="BO43" s="420">
        <f>IF(WWWW[[#This Row],['# People with access to soap]]&gt;WWWW[[#This Row],['# People with access to Sanity Pads]],WWWW[[#This Row],['# People with access to soap]],WWWW[[#This Row],['# People with access to Sanity Pads]])</f>
        <v>0</v>
      </c>
      <c r="BP43" s="419" t="str">
        <f>IF(OR(WWWW[[#This Row],['#of students in school]]="",WWWW[[#This Row],['#of students in school]]=0),"No","Yes")</f>
        <v>Yes</v>
      </c>
      <c r="BQ43" s="417" t="str">
        <f>VLOOKUP(WWWW[[#This Row],[Village  Name]],SiteDB6[[Site Name]:[Location Type 1]],9,FALSE)</f>
        <v>Village</v>
      </c>
      <c r="BR43" s="417" t="str">
        <f>VLOOKUP(WWWW[[#This Row],[Village  Name]],SiteDB6[[Site Name]:[Type of Accommodation]],10,FALSE)</f>
        <v>Village</v>
      </c>
      <c r="BS43" s="417" t="str">
        <f>VLOOKUP(WWWW[[#This Row],[Village  Name]],SiteDB6[[Site Name]:[Ethnic or GCA/NGCA]],11,FALSE)</f>
        <v>Rakhine</v>
      </c>
      <c r="BT43" s="417">
        <f>VLOOKUP(WWWW[[#This Row],[Village  Name]],SiteDB6[[Site Name]:[Lat]],12,FALSE)</f>
        <v>20.057860999999999</v>
      </c>
      <c r="BU43" s="417">
        <f>VLOOKUP(WWWW[[#This Row],[Village  Name]],SiteDB6[[Site Name]:[Long]],13,FALSE)</f>
        <v>92.995181000000002</v>
      </c>
      <c r="BV43" s="417">
        <f>VLOOKUP(WWWW[[#This Row],[Village  Name]],SiteDB6[[Site Name]:[Pcode]],3,FALSE)</f>
        <v>197550</v>
      </c>
      <c r="BW43" s="425" t="str">
        <f t="shared" si="1"/>
        <v>Covered</v>
      </c>
      <c r="BX43" s="425"/>
      <c r="BY43" s="33"/>
      <c r="CA43"/>
      <c r="CB43" s="33"/>
      <c r="CC43" s="36"/>
      <c r="CE43" s="37"/>
      <c r="CN43" s="20"/>
    </row>
    <row r="44" spans="1:92" hidden="1">
      <c r="A44" s="612" t="s">
        <v>2380</v>
      </c>
      <c r="B44" s="412" t="s">
        <v>289</v>
      </c>
      <c r="C44" s="418" t="s">
        <v>289</v>
      </c>
      <c r="D44" s="418" t="s">
        <v>329</v>
      </c>
      <c r="E44" s="551" t="s">
        <v>2687</v>
      </c>
      <c r="F44" s="418" t="s">
        <v>404</v>
      </c>
      <c r="G44" s="551" t="str">
        <f>VLOOKUP(WWWW[[#This Row],[Village  Name]],SiteDB6[[Site Name]:[Location Type]],8,FALSE)</f>
        <v>Village</v>
      </c>
      <c r="H44" s="457" t="s">
        <v>2845</v>
      </c>
      <c r="I44" s="420">
        <v>97</v>
      </c>
      <c r="J44" s="420">
        <v>97</v>
      </c>
      <c r="K44" s="426">
        <v>43359</v>
      </c>
      <c r="L44" s="427">
        <v>43830</v>
      </c>
      <c r="M44" s="420"/>
      <c r="N44" s="420"/>
      <c r="O44" s="420"/>
      <c r="P44" s="420"/>
      <c r="Q44" s="420"/>
      <c r="R44" s="420"/>
      <c r="S44" s="420"/>
      <c r="T44" s="642"/>
      <c r="U44" s="420"/>
      <c r="V44" s="611" t="s">
        <v>132</v>
      </c>
      <c r="W44" s="420"/>
      <c r="X44" s="420"/>
      <c r="Y44" s="420"/>
      <c r="Z44" s="420"/>
      <c r="AA44" s="420"/>
      <c r="AB44" s="642"/>
      <c r="AC44" s="420"/>
      <c r="AD44" s="420"/>
      <c r="AE44" s="420"/>
      <c r="AF44" s="420"/>
      <c r="AG44" s="420"/>
      <c r="AH44" s="420"/>
      <c r="AI44" s="420"/>
      <c r="AJ44" s="420"/>
      <c r="AK44" s="420"/>
      <c r="AL44" s="420"/>
      <c r="AM44" s="642"/>
      <c r="AN44" s="420"/>
      <c r="AO44" s="420"/>
      <c r="AP4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4" s="419">
        <f>WWWW[[#This Row],[%Equitable and continuous access to sufficient quantity of safe drinking water]]*WWWW[[#This Row],[Total PoP ]]</f>
        <v>0</v>
      </c>
      <c r="AR4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4" s="419">
        <f>WWWW[[#This Row],[% Access to unimproved water points]]*WWWW[[#This Row],[Total PoP ]]</f>
        <v>0</v>
      </c>
      <c r="AT4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4" s="419">
        <f>WWWW[[#This Row],[HRP1]]/250</f>
        <v>0</v>
      </c>
      <c r="AW44" s="424">
        <f>1-WWWW[[#This Row],[% Equitable and continuous access to sufficient quantity of domestic water]]</f>
        <v>1</v>
      </c>
      <c r="AX44" s="419">
        <f>WWWW[[#This Row],[%equitable and continuous access to sufficient quantity of safe drinking and domestic water''s GAP]]*WWWW[[#This Row],[Total PoP ]]</f>
        <v>97</v>
      </c>
      <c r="AY44" s="421">
        <f>IF(WWWW[[#This Row],[Total required water points]]-WWWW[[#This Row],['#Water points coverage]]&lt;0,0,WWWW[[#This Row],[Total required water points]]-WWWW[[#This Row],['#Water points coverage]])</f>
        <v>1</v>
      </c>
      <c r="AZ44" s="421">
        <f>ROUND(IF(WWWW[[#This Row],[Total PoP ]]&lt;250,1,WWWW[[#This Row],[Total PoP ]]/250),0)</f>
        <v>1</v>
      </c>
      <c r="BA4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4" s="419">
        <f>WWWW[[#This Row],[% people access to functioning Latrine]]*WWWW[[#This Row],[Total PoP ]]</f>
        <v>0</v>
      </c>
      <c r="BC44" s="421">
        <f>WWWW[[#This Row],['#_of_Functioning_latrines_in_school]]*50</f>
        <v>0</v>
      </c>
      <c r="BD44" s="421">
        <f>ROUND((WWWW[[#This Row],[Total PoP ]]/6),0)</f>
        <v>16</v>
      </c>
      <c r="BE44" s="421">
        <f>IF(WWWW[[#This Row],[Total required Latrines]]-(WWWW[[#This Row],['#_of_sanitary_fly-proof_HH_latrines]])&lt;0,0,WWWW[[#This Row],[Total required Latrines]]-(WWWW[[#This Row],['#_of_sanitary_fly-proof_HH_latrines]]))</f>
        <v>16</v>
      </c>
      <c r="BF44" s="72">
        <f>1-WWWW[[#This Row],[% people access to functioning Latrine]]</f>
        <v>1</v>
      </c>
      <c r="BG4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 s="419">
        <f>IF(WWWW[[#This Row],['#_of_functional_handwashing_facilities_at_HH_level]]*6&gt;WWWW[[#This Row],[Total PoP ]],WWWW[[#This Row],[Total PoP ]],WWWW[[#This Row],['#_of_functional_handwashing_facilities_at_HH_level]]*6)</f>
        <v>0</v>
      </c>
      <c r="BI44" s="421">
        <f>IF(WWWW[[#This Row],['# people reached by regular dedicated hygiene promotion]]&gt;WWWW[[#This Row],['# People received regular supply of hygiene items]],WWWW[[#This Row],['# people reached by regular dedicated hygiene promotion]],WWWW[[#This Row],['# People received regular supply of hygiene items]])</f>
        <v>0</v>
      </c>
      <c r="BJ44" s="424">
        <f>IF(WWWW[[#This Row],[HRP3]]/WWWW[[#This Row],[Total PoP ]]&gt;100%,100%,WWWW[[#This Row],[HRP3]]/WWWW[[#This Row],[Total PoP ]])</f>
        <v>0</v>
      </c>
      <c r="BK44" s="423">
        <f>1-WWWW[[#This Row],[Hygiene Coverage%]]</f>
        <v>1</v>
      </c>
      <c r="BL44" s="422">
        <f>WWWW[[#This Row],['# people reached by regular dedicated hygiene promotion]]/WWWW[[#This Row],[Total PoP ]]</f>
        <v>0</v>
      </c>
      <c r="BM4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 s="421">
        <f>WWWW[[#This Row],['#_of_affected_women_and_girls_receiving_a_sufficient_quantity_of_sanitary_pads]]</f>
        <v>0</v>
      </c>
      <c r="BO44" s="420">
        <f>IF(WWWW[[#This Row],['# People with access to soap]]&gt;WWWW[[#This Row],['# People with access to Sanity Pads]],WWWW[[#This Row],['# People with access to soap]],WWWW[[#This Row],['# People with access to Sanity Pads]])</f>
        <v>0</v>
      </c>
      <c r="BP44" s="419" t="str">
        <f>IF(OR(WWWW[[#This Row],['#of students in school]]="",WWWW[[#This Row],['#of students in school]]=0),"No","Yes")</f>
        <v>No</v>
      </c>
      <c r="BQ44" s="417" t="str">
        <f>VLOOKUP(WWWW[[#This Row],[Village  Name]],SiteDB6[[Site Name]:[Location Type 1]],9,FALSE)</f>
        <v>Village</v>
      </c>
      <c r="BR44" s="417" t="str">
        <f>VLOOKUP(WWWW[[#This Row],[Village  Name]],SiteDB6[[Site Name]:[Type of Accommodation]],10,FALSE)</f>
        <v>Village</v>
      </c>
      <c r="BS44" s="417">
        <f>VLOOKUP(WWWW[[#This Row],[Village  Name]],SiteDB6[[Site Name]:[Ethnic or GCA/NGCA]],11,FALSE)</f>
        <v>0</v>
      </c>
      <c r="BT44" s="417">
        <f>VLOOKUP(WWWW[[#This Row],[Village  Name]],SiteDB6[[Site Name]:[Lat]],12,FALSE)</f>
        <v>19.9964408874512</v>
      </c>
      <c r="BU44" s="417">
        <f>VLOOKUP(WWWW[[#This Row],[Village  Name]],SiteDB6[[Site Name]:[Long]],13,FALSE)</f>
        <v>92.951683044433594</v>
      </c>
      <c r="BV44" s="417">
        <f>VLOOKUP(WWWW[[#This Row],[Village  Name]],SiteDB6[[Site Name]:[Pcode]],3,FALSE)</f>
        <v>217986</v>
      </c>
      <c r="BW44" s="425" t="str">
        <f t="shared" si="1"/>
        <v>Covered</v>
      </c>
      <c r="BX44" s="425"/>
      <c r="BY44" s="33"/>
      <c r="CA44"/>
      <c r="CB44" s="33"/>
      <c r="CC44" s="36"/>
      <c r="CE44" s="37"/>
      <c r="CN44" s="20"/>
    </row>
    <row r="45" spans="1:92" hidden="1">
      <c r="A45" s="612" t="s">
        <v>2380</v>
      </c>
      <c r="B45" s="412" t="s">
        <v>289</v>
      </c>
      <c r="C45" s="418" t="s">
        <v>289</v>
      </c>
      <c r="D45" s="418" t="s">
        <v>329</v>
      </c>
      <c r="E45" s="551" t="s">
        <v>2687</v>
      </c>
      <c r="F45" s="418" t="s">
        <v>404</v>
      </c>
      <c r="G45" s="551" t="str">
        <f>VLOOKUP(WWWW[[#This Row],[Village  Name]],SiteDB6[[Site Name]:[Location Type]],8,FALSE)</f>
        <v>Village</v>
      </c>
      <c r="H45" s="418" t="s">
        <v>2969</v>
      </c>
      <c r="I45" s="420">
        <v>47</v>
      </c>
      <c r="J45" s="420">
        <v>239</v>
      </c>
      <c r="K45" s="426">
        <v>43359</v>
      </c>
      <c r="L45" s="427">
        <v>43830</v>
      </c>
      <c r="M45" s="420"/>
      <c r="N45" s="420"/>
      <c r="O45" s="420"/>
      <c r="P45" s="420"/>
      <c r="Q45" s="420"/>
      <c r="R45" s="420"/>
      <c r="S45" s="420"/>
      <c r="T45" s="642"/>
      <c r="U45" s="420"/>
      <c r="V45" s="611" t="s">
        <v>132</v>
      </c>
      <c r="W45" s="420"/>
      <c r="X45" s="420"/>
      <c r="Y45" s="420"/>
      <c r="Z45" s="420"/>
      <c r="AA45" s="420"/>
      <c r="AB45" s="642"/>
      <c r="AC45" s="420"/>
      <c r="AD45" s="420"/>
      <c r="AE45" s="420"/>
      <c r="AF45" s="420"/>
      <c r="AG45" s="420"/>
      <c r="AH45" s="420"/>
      <c r="AI45" s="420"/>
      <c r="AJ45" s="420"/>
      <c r="AK45" s="420"/>
      <c r="AL45" s="420"/>
      <c r="AM45" s="642"/>
      <c r="AN45" s="420"/>
      <c r="AO45" s="420"/>
      <c r="AP4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5" s="419">
        <f>WWWW[[#This Row],[%Equitable and continuous access to sufficient quantity of safe drinking water]]*WWWW[[#This Row],[Total PoP ]]</f>
        <v>0</v>
      </c>
      <c r="AR4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5" s="419">
        <f>WWWW[[#This Row],[% Access to unimproved water points]]*WWWW[[#This Row],[Total PoP ]]</f>
        <v>0</v>
      </c>
      <c r="AT4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5" s="419">
        <f>WWWW[[#This Row],[HRP1]]/250</f>
        <v>0</v>
      </c>
      <c r="AW45" s="424">
        <f>1-WWWW[[#This Row],[% Equitable and continuous access to sufficient quantity of domestic water]]</f>
        <v>1</v>
      </c>
      <c r="AX45" s="419">
        <f>WWWW[[#This Row],[%equitable and continuous access to sufficient quantity of safe drinking and domestic water''s GAP]]*WWWW[[#This Row],[Total PoP ]]</f>
        <v>239</v>
      </c>
      <c r="AY45" s="421">
        <f>IF(WWWW[[#This Row],[Total required water points]]-WWWW[[#This Row],['#Water points coverage]]&lt;0,0,WWWW[[#This Row],[Total required water points]]-WWWW[[#This Row],['#Water points coverage]])</f>
        <v>1</v>
      </c>
      <c r="AZ45" s="421">
        <f>ROUND(IF(WWWW[[#This Row],[Total PoP ]]&lt;250,1,WWWW[[#This Row],[Total PoP ]]/250),0)</f>
        <v>1</v>
      </c>
      <c r="BA4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5" s="419">
        <f>WWWW[[#This Row],[% people access to functioning Latrine]]*WWWW[[#This Row],[Total PoP ]]</f>
        <v>0</v>
      </c>
      <c r="BC45" s="421">
        <f>WWWW[[#This Row],['#_of_Functioning_latrines_in_school]]*50</f>
        <v>0</v>
      </c>
      <c r="BD45" s="421">
        <f>ROUND((WWWW[[#This Row],[Total PoP ]]/6),0)</f>
        <v>40</v>
      </c>
      <c r="BE45" s="421">
        <f>IF(WWWW[[#This Row],[Total required Latrines]]-(WWWW[[#This Row],['#_of_sanitary_fly-proof_HH_latrines]])&lt;0,0,WWWW[[#This Row],[Total required Latrines]]-(WWWW[[#This Row],['#_of_sanitary_fly-proof_HH_latrines]]))</f>
        <v>40</v>
      </c>
      <c r="BF45" s="72">
        <f>1-WWWW[[#This Row],[% people access to functioning Latrine]]</f>
        <v>1</v>
      </c>
      <c r="BG4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 s="419">
        <f>IF(WWWW[[#This Row],['#_of_functional_handwashing_facilities_at_HH_level]]*6&gt;WWWW[[#This Row],[Total PoP ]],WWWW[[#This Row],[Total PoP ]],WWWW[[#This Row],['#_of_functional_handwashing_facilities_at_HH_level]]*6)</f>
        <v>0</v>
      </c>
      <c r="BI45" s="421">
        <f>IF(WWWW[[#This Row],['# people reached by regular dedicated hygiene promotion]]&gt;WWWW[[#This Row],['# People received regular supply of hygiene items]],WWWW[[#This Row],['# people reached by regular dedicated hygiene promotion]],WWWW[[#This Row],['# People received regular supply of hygiene items]])</f>
        <v>0</v>
      </c>
      <c r="BJ45" s="424">
        <f>IF(WWWW[[#This Row],[HRP3]]/WWWW[[#This Row],[Total PoP ]]&gt;100%,100%,WWWW[[#This Row],[HRP3]]/WWWW[[#This Row],[Total PoP ]])</f>
        <v>0</v>
      </c>
      <c r="BK45" s="423">
        <f>1-WWWW[[#This Row],[Hygiene Coverage%]]</f>
        <v>1</v>
      </c>
      <c r="BL45" s="422">
        <f>WWWW[[#This Row],['# people reached by regular dedicated hygiene promotion]]/WWWW[[#This Row],[Total PoP ]]</f>
        <v>0</v>
      </c>
      <c r="BM4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 s="421">
        <f>WWWW[[#This Row],['#_of_affected_women_and_girls_receiving_a_sufficient_quantity_of_sanitary_pads]]</f>
        <v>0</v>
      </c>
      <c r="BO45" s="420">
        <f>IF(WWWW[[#This Row],['# People with access to soap]]&gt;WWWW[[#This Row],['# People with access to Sanity Pads]],WWWW[[#This Row],['# People with access to soap]],WWWW[[#This Row],['# People with access to Sanity Pads]])</f>
        <v>0</v>
      </c>
      <c r="BP45" s="419" t="str">
        <f>IF(OR(WWWW[[#This Row],['#of students in school]]="",WWWW[[#This Row],['#of students in school]]=0),"No","Yes")</f>
        <v>No</v>
      </c>
      <c r="BQ45" s="417" t="str">
        <f>VLOOKUP(WWWW[[#This Row],[Village  Name]],SiteDB6[[Site Name]:[Location Type 1]],9,FALSE)</f>
        <v>Village</v>
      </c>
      <c r="BR45" s="417" t="str">
        <f>VLOOKUP(WWWW[[#This Row],[Village  Name]],SiteDB6[[Site Name]:[Type of Accommodation]],10,FALSE)</f>
        <v>Village</v>
      </c>
      <c r="BS45" s="417">
        <f>VLOOKUP(WWWW[[#This Row],[Village  Name]],SiteDB6[[Site Name]:[Ethnic or GCA/NGCA]],11,FALSE)</f>
        <v>0</v>
      </c>
      <c r="BT45" s="417">
        <f>VLOOKUP(WWWW[[#This Row],[Village  Name]],SiteDB6[[Site Name]:[Lat]],12,FALSE)</f>
        <v>20.032600402831999</v>
      </c>
      <c r="BU45" s="417">
        <f>VLOOKUP(WWWW[[#This Row],[Village  Name]],SiteDB6[[Site Name]:[Long]],13,FALSE)</f>
        <v>92.931488037109403</v>
      </c>
      <c r="BV45" s="417">
        <f>VLOOKUP(WWWW[[#This Row],[Village  Name]],SiteDB6[[Site Name]:[Pcode]],3,FALSE)</f>
        <v>197563</v>
      </c>
      <c r="BW45" s="425" t="str">
        <f t="shared" si="1"/>
        <v>Covered</v>
      </c>
      <c r="BX45" s="425"/>
      <c r="BY45" s="33"/>
      <c r="CA45"/>
      <c r="CB45" s="33"/>
      <c r="CC45" s="36"/>
      <c r="CE45" s="37"/>
      <c r="CN45" s="20"/>
    </row>
    <row r="46" spans="1:92" hidden="1">
      <c r="A46" s="612" t="s">
        <v>2380</v>
      </c>
      <c r="B46" s="412" t="s">
        <v>289</v>
      </c>
      <c r="C46" s="418" t="s">
        <v>289</v>
      </c>
      <c r="D46" s="418" t="s">
        <v>329</v>
      </c>
      <c r="E46" s="551" t="s">
        <v>2687</v>
      </c>
      <c r="F46" s="418" t="s">
        <v>404</v>
      </c>
      <c r="G46" s="551" t="str">
        <f>VLOOKUP(WWWW[[#This Row],[Village  Name]],SiteDB6[[Site Name]:[Location Type]],8,FALSE)</f>
        <v>Village</v>
      </c>
      <c r="H46" s="418" t="s">
        <v>2970</v>
      </c>
      <c r="I46" s="420">
        <v>113</v>
      </c>
      <c r="J46" s="420">
        <v>506</v>
      </c>
      <c r="K46" s="426">
        <v>43359</v>
      </c>
      <c r="L46" s="427">
        <v>43830</v>
      </c>
      <c r="M46" s="420"/>
      <c r="N46" s="420"/>
      <c r="O46" s="420"/>
      <c r="P46" s="420"/>
      <c r="Q46" s="420"/>
      <c r="R46" s="420"/>
      <c r="S46" s="420"/>
      <c r="T46" s="642"/>
      <c r="U46" s="420"/>
      <c r="V46" s="611" t="s">
        <v>132</v>
      </c>
      <c r="W46" s="420"/>
      <c r="X46" s="420"/>
      <c r="Y46" s="420"/>
      <c r="Z46" s="420"/>
      <c r="AA46" s="420"/>
      <c r="AB46" s="642"/>
      <c r="AC46" s="420"/>
      <c r="AD46" s="420"/>
      <c r="AE46" s="420"/>
      <c r="AF46" s="420"/>
      <c r="AG46" s="420"/>
      <c r="AH46" s="420"/>
      <c r="AI46" s="420"/>
      <c r="AJ46" s="420"/>
      <c r="AK46" s="420"/>
      <c r="AL46" s="420"/>
      <c r="AM46" s="642"/>
      <c r="AN46" s="420"/>
      <c r="AO46" s="420"/>
      <c r="AP4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6" s="419">
        <f>WWWW[[#This Row],[%Equitable and continuous access to sufficient quantity of safe drinking water]]*WWWW[[#This Row],[Total PoP ]]</f>
        <v>0</v>
      </c>
      <c r="AR4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6" s="419">
        <f>WWWW[[#This Row],[% Access to unimproved water points]]*WWWW[[#This Row],[Total PoP ]]</f>
        <v>0</v>
      </c>
      <c r="AT4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6" s="419">
        <f>WWWW[[#This Row],[HRP1]]/250</f>
        <v>0</v>
      </c>
      <c r="AW46" s="424">
        <f>1-WWWW[[#This Row],[% Equitable and continuous access to sufficient quantity of domestic water]]</f>
        <v>1</v>
      </c>
      <c r="AX46" s="419">
        <f>WWWW[[#This Row],[%equitable and continuous access to sufficient quantity of safe drinking and domestic water''s GAP]]*WWWW[[#This Row],[Total PoP ]]</f>
        <v>506</v>
      </c>
      <c r="AY46" s="421">
        <f>IF(WWWW[[#This Row],[Total required water points]]-WWWW[[#This Row],['#Water points coverage]]&lt;0,0,WWWW[[#This Row],[Total required water points]]-WWWW[[#This Row],['#Water points coverage]])</f>
        <v>2</v>
      </c>
      <c r="AZ46" s="421">
        <f>ROUND(IF(WWWW[[#This Row],[Total PoP ]]&lt;250,1,WWWW[[#This Row],[Total PoP ]]/250),0)</f>
        <v>2</v>
      </c>
      <c r="BA4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6" s="419">
        <f>WWWW[[#This Row],[% people access to functioning Latrine]]*WWWW[[#This Row],[Total PoP ]]</f>
        <v>0</v>
      </c>
      <c r="BC46" s="421">
        <f>WWWW[[#This Row],['#_of_Functioning_latrines_in_school]]*50</f>
        <v>0</v>
      </c>
      <c r="BD46" s="421">
        <f>ROUND((WWWW[[#This Row],[Total PoP ]]/6),0)</f>
        <v>84</v>
      </c>
      <c r="BE46" s="421">
        <f>IF(WWWW[[#This Row],[Total required Latrines]]-(WWWW[[#This Row],['#_of_sanitary_fly-proof_HH_latrines]])&lt;0,0,WWWW[[#This Row],[Total required Latrines]]-(WWWW[[#This Row],['#_of_sanitary_fly-proof_HH_latrines]]))</f>
        <v>84</v>
      </c>
      <c r="BF46" s="72">
        <f>1-WWWW[[#This Row],[% people access to functioning Latrine]]</f>
        <v>1</v>
      </c>
      <c r="BG4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 s="419">
        <f>IF(WWWW[[#This Row],['#_of_functional_handwashing_facilities_at_HH_level]]*6&gt;WWWW[[#This Row],[Total PoP ]],WWWW[[#This Row],[Total PoP ]],WWWW[[#This Row],['#_of_functional_handwashing_facilities_at_HH_level]]*6)</f>
        <v>0</v>
      </c>
      <c r="BI46" s="421">
        <f>IF(WWWW[[#This Row],['# people reached by regular dedicated hygiene promotion]]&gt;WWWW[[#This Row],['# People received regular supply of hygiene items]],WWWW[[#This Row],['# people reached by regular dedicated hygiene promotion]],WWWW[[#This Row],['# People received regular supply of hygiene items]])</f>
        <v>0</v>
      </c>
      <c r="BJ46" s="424">
        <f>IF(WWWW[[#This Row],[HRP3]]/WWWW[[#This Row],[Total PoP ]]&gt;100%,100%,WWWW[[#This Row],[HRP3]]/WWWW[[#This Row],[Total PoP ]])</f>
        <v>0</v>
      </c>
      <c r="BK46" s="423">
        <f>1-WWWW[[#This Row],[Hygiene Coverage%]]</f>
        <v>1</v>
      </c>
      <c r="BL46" s="422">
        <f>WWWW[[#This Row],['# people reached by regular dedicated hygiene promotion]]/WWWW[[#This Row],[Total PoP ]]</f>
        <v>0</v>
      </c>
      <c r="BM4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 s="421">
        <f>WWWW[[#This Row],['#_of_affected_women_and_girls_receiving_a_sufficient_quantity_of_sanitary_pads]]</f>
        <v>0</v>
      </c>
      <c r="BO46" s="420">
        <f>IF(WWWW[[#This Row],['# People with access to soap]]&gt;WWWW[[#This Row],['# People with access to Sanity Pads]],WWWW[[#This Row],['# People with access to soap]],WWWW[[#This Row],['# People with access to Sanity Pads]])</f>
        <v>0</v>
      </c>
      <c r="BP46" s="419" t="str">
        <f>IF(OR(WWWW[[#This Row],['#of students in school]]="",WWWW[[#This Row],['#of students in school]]=0),"No","Yes")</f>
        <v>No</v>
      </c>
      <c r="BQ46" s="417" t="str">
        <f>VLOOKUP(WWWW[[#This Row],[Village  Name]],SiteDB6[[Site Name]:[Location Type 1]],9,FALSE)</f>
        <v>Village</v>
      </c>
      <c r="BR46" s="417" t="str">
        <f>VLOOKUP(WWWW[[#This Row],[Village  Name]],SiteDB6[[Site Name]:[Type of Accommodation]],10,FALSE)</f>
        <v>Village</v>
      </c>
      <c r="BS46" s="417">
        <f>VLOOKUP(WWWW[[#This Row],[Village  Name]],SiteDB6[[Site Name]:[Ethnic or GCA/NGCA]],11,FALSE)</f>
        <v>0</v>
      </c>
      <c r="BT46" s="417">
        <f>VLOOKUP(WWWW[[#This Row],[Village  Name]],SiteDB6[[Site Name]:[Lat]],12,FALSE)</f>
        <v>20.0275993347168</v>
      </c>
      <c r="BU46" s="417">
        <f>VLOOKUP(WWWW[[#This Row],[Village  Name]],SiteDB6[[Site Name]:[Long]],13,FALSE)</f>
        <v>92.936653137207003</v>
      </c>
      <c r="BV46" s="417">
        <f>VLOOKUP(WWWW[[#This Row],[Village  Name]],SiteDB6[[Site Name]:[Pcode]],3,FALSE)</f>
        <v>197564</v>
      </c>
      <c r="BW46" s="425" t="str">
        <f t="shared" si="1"/>
        <v>Covered</v>
      </c>
      <c r="BX46" s="425"/>
      <c r="BY46" s="33"/>
      <c r="CA46"/>
      <c r="CB46" s="33"/>
      <c r="CC46" s="36"/>
      <c r="CE46" s="37"/>
      <c r="CN46" s="20"/>
    </row>
    <row r="47" spans="1:92" hidden="1">
      <c r="A47" s="612" t="s">
        <v>2380</v>
      </c>
      <c r="B47" s="412" t="s">
        <v>289</v>
      </c>
      <c r="C47" s="418" t="s">
        <v>289</v>
      </c>
      <c r="D47" s="418" t="s">
        <v>329</v>
      </c>
      <c r="E47" s="551" t="s">
        <v>2687</v>
      </c>
      <c r="F47" s="418" t="s">
        <v>404</v>
      </c>
      <c r="G47" s="551" t="str">
        <f>VLOOKUP(WWWW[[#This Row],[Village  Name]],SiteDB6[[Site Name]:[Location Type]],8,FALSE)</f>
        <v>Village</v>
      </c>
      <c r="H47" s="418" t="s">
        <v>2567</v>
      </c>
      <c r="I47" s="420">
        <v>66</v>
      </c>
      <c r="J47" s="420">
        <v>315</v>
      </c>
      <c r="K47" s="426">
        <v>43359</v>
      </c>
      <c r="L47" s="427">
        <v>43830</v>
      </c>
      <c r="M47" s="420"/>
      <c r="N47" s="420"/>
      <c r="O47" s="420"/>
      <c r="P47" s="420"/>
      <c r="Q47" s="420"/>
      <c r="R47" s="420"/>
      <c r="S47" s="420"/>
      <c r="T47" s="642"/>
      <c r="U47" s="420"/>
      <c r="V47" s="611" t="s">
        <v>132</v>
      </c>
      <c r="W47" s="420"/>
      <c r="X47" s="420"/>
      <c r="Y47" s="420"/>
      <c r="Z47" s="420"/>
      <c r="AA47" s="420"/>
      <c r="AB47" s="642"/>
      <c r="AC47" s="420"/>
      <c r="AD47" s="420"/>
      <c r="AE47" s="420"/>
      <c r="AF47" s="420"/>
      <c r="AG47" s="420"/>
      <c r="AH47" s="420"/>
      <c r="AI47" s="420"/>
      <c r="AJ47" s="420"/>
      <c r="AK47" s="420"/>
      <c r="AL47" s="420"/>
      <c r="AM47" s="642"/>
      <c r="AN47" s="420"/>
      <c r="AO47" s="420"/>
      <c r="AP4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7" s="419">
        <f>WWWW[[#This Row],[%Equitable and continuous access to sufficient quantity of safe drinking water]]*WWWW[[#This Row],[Total PoP ]]</f>
        <v>0</v>
      </c>
      <c r="AR4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7" s="419">
        <f>WWWW[[#This Row],[% Access to unimproved water points]]*WWWW[[#This Row],[Total PoP ]]</f>
        <v>0</v>
      </c>
      <c r="AT4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7" s="419">
        <f>WWWW[[#This Row],[HRP1]]/250</f>
        <v>0</v>
      </c>
      <c r="AW47" s="424">
        <f>1-WWWW[[#This Row],[% Equitable and continuous access to sufficient quantity of domestic water]]</f>
        <v>1</v>
      </c>
      <c r="AX47" s="419">
        <f>WWWW[[#This Row],[%equitable and continuous access to sufficient quantity of safe drinking and domestic water''s GAP]]*WWWW[[#This Row],[Total PoP ]]</f>
        <v>315</v>
      </c>
      <c r="AY47" s="421">
        <f>IF(WWWW[[#This Row],[Total required water points]]-WWWW[[#This Row],['#Water points coverage]]&lt;0,0,WWWW[[#This Row],[Total required water points]]-WWWW[[#This Row],['#Water points coverage]])</f>
        <v>1</v>
      </c>
      <c r="AZ47" s="421">
        <f>ROUND(IF(WWWW[[#This Row],[Total PoP ]]&lt;250,1,WWWW[[#This Row],[Total PoP ]]/250),0)</f>
        <v>1</v>
      </c>
      <c r="BA4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7" s="419">
        <f>WWWW[[#This Row],[% people access to functioning Latrine]]*WWWW[[#This Row],[Total PoP ]]</f>
        <v>0</v>
      </c>
      <c r="BC47" s="421">
        <f>WWWW[[#This Row],['#_of_Functioning_latrines_in_school]]*50</f>
        <v>0</v>
      </c>
      <c r="BD47" s="421">
        <f>ROUND((WWWW[[#This Row],[Total PoP ]]/6),0)</f>
        <v>53</v>
      </c>
      <c r="BE47" s="421">
        <f>IF(WWWW[[#This Row],[Total required Latrines]]-(WWWW[[#This Row],['#_of_sanitary_fly-proof_HH_latrines]])&lt;0,0,WWWW[[#This Row],[Total required Latrines]]-(WWWW[[#This Row],['#_of_sanitary_fly-proof_HH_latrines]]))</f>
        <v>53</v>
      </c>
      <c r="BF47" s="72">
        <f>1-WWWW[[#This Row],[% people access to functioning Latrine]]</f>
        <v>1</v>
      </c>
      <c r="BG4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 s="419">
        <f>IF(WWWW[[#This Row],['#_of_functional_handwashing_facilities_at_HH_level]]*6&gt;WWWW[[#This Row],[Total PoP ]],WWWW[[#This Row],[Total PoP ]],WWWW[[#This Row],['#_of_functional_handwashing_facilities_at_HH_level]]*6)</f>
        <v>0</v>
      </c>
      <c r="BI47" s="421">
        <f>IF(WWWW[[#This Row],['# people reached by regular dedicated hygiene promotion]]&gt;WWWW[[#This Row],['# People received regular supply of hygiene items]],WWWW[[#This Row],['# people reached by regular dedicated hygiene promotion]],WWWW[[#This Row],['# People received regular supply of hygiene items]])</f>
        <v>0</v>
      </c>
      <c r="BJ47" s="424">
        <f>IF(WWWW[[#This Row],[HRP3]]/WWWW[[#This Row],[Total PoP ]]&gt;100%,100%,WWWW[[#This Row],[HRP3]]/WWWW[[#This Row],[Total PoP ]])</f>
        <v>0</v>
      </c>
      <c r="BK47" s="423">
        <f>1-WWWW[[#This Row],[Hygiene Coverage%]]</f>
        <v>1</v>
      </c>
      <c r="BL47" s="422">
        <f>WWWW[[#This Row],['# people reached by regular dedicated hygiene promotion]]/WWWW[[#This Row],[Total PoP ]]</f>
        <v>0</v>
      </c>
      <c r="BM4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 s="421">
        <f>WWWW[[#This Row],['#_of_affected_women_and_girls_receiving_a_sufficient_quantity_of_sanitary_pads]]</f>
        <v>0</v>
      </c>
      <c r="BO47" s="420">
        <f>IF(WWWW[[#This Row],['# People with access to soap]]&gt;WWWW[[#This Row],['# People with access to Sanity Pads]],WWWW[[#This Row],['# People with access to soap]],WWWW[[#This Row],['# People with access to Sanity Pads]])</f>
        <v>0</v>
      </c>
      <c r="BP47" s="419" t="str">
        <f>IF(OR(WWWW[[#This Row],['#of students in school]]="",WWWW[[#This Row],['#of students in school]]=0),"No","Yes")</f>
        <v>No</v>
      </c>
      <c r="BQ47" s="417" t="str">
        <f>VLOOKUP(WWWW[[#This Row],[Village  Name]],SiteDB6[[Site Name]:[Location Type 1]],9,FALSE)</f>
        <v>Village</v>
      </c>
      <c r="BR47" s="417" t="str">
        <f>VLOOKUP(WWWW[[#This Row],[Village  Name]],SiteDB6[[Site Name]:[Type of Accommodation]],10,FALSE)</f>
        <v>Village</v>
      </c>
      <c r="BS47" s="417">
        <f>VLOOKUP(WWWW[[#This Row],[Village  Name]],SiteDB6[[Site Name]:[Ethnic or GCA/NGCA]],11,FALSE)</f>
        <v>0</v>
      </c>
      <c r="BT47" s="417">
        <f>VLOOKUP(WWWW[[#This Row],[Village  Name]],SiteDB6[[Site Name]:[Lat]],12,FALSE)</f>
        <v>19.9403591156006</v>
      </c>
      <c r="BU47" s="417">
        <f>VLOOKUP(WWWW[[#This Row],[Village  Name]],SiteDB6[[Site Name]:[Long]],13,FALSE)</f>
        <v>93.009452819824205</v>
      </c>
      <c r="BV47" s="417">
        <f>VLOOKUP(WWWW[[#This Row],[Village  Name]],SiteDB6[[Site Name]:[Pcode]],3,FALSE)</f>
        <v>197543</v>
      </c>
      <c r="BW47" s="425" t="str">
        <f t="shared" si="1"/>
        <v>Covered</v>
      </c>
      <c r="BX47" s="425"/>
      <c r="BY47" s="33"/>
      <c r="CA47"/>
      <c r="CB47" s="33"/>
      <c r="CC47" s="36"/>
      <c r="CE47" s="37"/>
      <c r="CN47" s="20"/>
    </row>
    <row r="48" spans="1:92" hidden="1">
      <c r="A48" s="412" t="s">
        <v>2380</v>
      </c>
      <c r="B48" s="412" t="s">
        <v>1254</v>
      </c>
      <c r="C48" s="496" t="s">
        <v>2727</v>
      </c>
      <c r="D48" s="496"/>
      <c r="E48" s="551" t="s">
        <v>2686</v>
      </c>
      <c r="F48" s="496" t="s">
        <v>321</v>
      </c>
      <c r="G48" s="497" t="str">
        <f>VLOOKUP(WWWW[[#This Row],[Village  Name]],SiteDB6[[Site Name]:[Location Type]],8,FALSE)</f>
        <v>Village</v>
      </c>
      <c r="H48" s="496" t="s">
        <v>2715</v>
      </c>
      <c r="I48" s="510">
        <v>935.8</v>
      </c>
      <c r="J48" s="510">
        <v>4679</v>
      </c>
      <c r="K48" s="499"/>
      <c r="L48" s="500"/>
      <c r="M48" s="501"/>
      <c r="N48" s="501"/>
      <c r="O48" s="611"/>
      <c r="P48" s="501"/>
      <c r="Q48" s="501"/>
      <c r="R48" s="501"/>
      <c r="S48" s="501"/>
      <c r="T48" s="645"/>
      <c r="U48" s="501"/>
      <c r="V48" s="611" t="s">
        <v>132</v>
      </c>
      <c r="W48" s="501"/>
      <c r="X48" s="501"/>
      <c r="Y48" s="501"/>
      <c r="Z48" s="501"/>
      <c r="AA48" s="501"/>
      <c r="AB48" s="645"/>
      <c r="AC48" s="501"/>
      <c r="AD48" s="501"/>
      <c r="AE48" s="501"/>
      <c r="AF48" s="501"/>
      <c r="AG48" s="501"/>
      <c r="AH48" s="501"/>
      <c r="AI48" s="501"/>
      <c r="AJ48" s="501"/>
      <c r="AK48" s="501"/>
      <c r="AL48" s="501"/>
      <c r="AM48" s="645"/>
      <c r="AN48" s="501"/>
      <c r="AO48" s="501"/>
      <c r="AP48" s="503">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 s="498">
        <f>WWWW[[#This Row],[%Equitable and continuous access to sufficient quantity of safe drinking water]]*WWWW[[#This Row],[Total PoP ]]</f>
        <v>0</v>
      </c>
      <c r="AR4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 s="498">
        <f>WWWW[[#This Row],[% Access to unimproved water points]]*WWWW[[#This Row],[Total PoP ]]</f>
        <v>0</v>
      </c>
      <c r="AT48" s="50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 s="4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 s="498">
        <f>WWWW[[#This Row],[HRP1]]/250</f>
        <v>0</v>
      </c>
      <c r="AW48" s="507">
        <f>1-WWWW[[#This Row],[% Equitable and continuous access to sufficient quantity of domestic water]]</f>
        <v>1</v>
      </c>
      <c r="AX48" s="498">
        <f>WWWW[[#This Row],[%equitable and continuous access to sufficient quantity of safe drinking and domestic water''s GAP]]*WWWW[[#This Row],[Total PoP ]]</f>
        <v>4679</v>
      </c>
      <c r="AY48" s="505">
        <f>IF(WWWW[[#This Row],[Total required water points]]-WWWW[[#This Row],['#Water points coverage]]&lt;0,0,WWWW[[#This Row],[Total required water points]]-WWWW[[#This Row],['#Water points coverage]])</f>
        <v>19</v>
      </c>
      <c r="AZ48" s="505">
        <f>ROUND(IF(WWWW[[#This Row],[Total PoP ]]&lt;250,1,WWWW[[#This Row],[Total PoP ]]/250),0)</f>
        <v>19</v>
      </c>
      <c r="BA4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 s="498">
        <f>WWWW[[#This Row],[% people access to functioning Latrine]]*WWWW[[#This Row],[Total PoP ]]</f>
        <v>0</v>
      </c>
      <c r="BC48" s="421">
        <f>WWWW[[#This Row],['#_of_Functioning_latrines_in_school]]*50</f>
        <v>0</v>
      </c>
      <c r="BD48" s="505">
        <f>ROUND((WWWW[[#This Row],[Total PoP ]]/6),0)</f>
        <v>780</v>
      </c>
      <c r="BE48" s="421">
        <f>IF(WWWW[[#This Row],[Total required Latrines]]-(WWWW[[#This Row],['#_of_sanitary_fly-proof_HH_latrines]])&lt;0,0,WWWW[[#This Row],[Total required Latrines]]-(WWWW[[#This Row],['#_of_sanitary_fly-proof_HH_latrines]]))</f>
        <v>780</v>
      </c>
      <c r="BF48" s="508">
        <f>1-WWWW[[#This Row],[% people access to functioning Latrine]]</f>
        <v>1</v>
      </c>
      <c r="BG48" s="49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 s="498">
        <f>IF(WWWW[[#This Row],['#_of_functional_handwashing_facilities_at_HH_level]]*6&gt;WWWW[[#This Row],[Total PoP ]],WWWW[[#This Row],[Total PoP ]],WWWW[[#This Row],['#_of_functional_handwashing_facilities_at_HH_level]]*6)</f>
        <v>0</v>
      </c>
      <c r="BI48" s="505">
        <f>IF(WWWW[[#This Row],['# people reached by regular dedicated hygiene promotion]]&gt;WWWW[[#This Row],['# People received regular supply of hygiene items]],WWWW[[#This Row],['# people reached by regular dedicated hygiene promotion]],WWWW[[#This Row],['# People received regular supply of hygiene items]])</f>
        <v>0</v>
      </c>
      <c r="BJ48" s="507">
        <f>IF(WWWW[[#This Row],[HRP3]]/WWWW[[#This Row],[Total PoP ]]&gt;100%,100%,WWWW[[#This Row],[HRP3]]/WWWW[[#This Row],[Total PoP ]])</f>
        <v>0</v>
      </c>
      <c r="BK48" s="506">
        <f>1-WWWW[[#This Row],[Hygiene Coverage%]]</f>
        <v>1</v>
      </c>
      <c r="BL48" s="503">
        <f>WWWW[[#This Row],['# people reached by regular dedicated hygiene promotion]]/WWWW[[#This Row],[Total PoP ]]</f>
        <v>0</v>
      </c>
      <c r="BM48" s="505">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8" s="505">
        <f>WWWW[[#This Row],['#_of_affected_women_and_girls_receiving_a_sufficient_quantity_of_sanitary_pads]]</f>
        <v>0</v>
      </c>
      <c r="BO48" s="501">
        <f>IF(WWWW[[#This Row],['# People with access to soap]]&gt;WWWW[[#This Row],['# People with access to Sanity Pads]],WWWW[[#This Row],['# People with access to soap]],WWWW[[#This Row],['# People with access to Sanity Pads]])</f>
        <v>0</v>
      </c>
      <c r="BP48" s="565" t="str">
        <f>IF(OR(WWWW[[#This Row],['#of students in school]]="",WWWW[[#This Row],['#of students in school]]=0),"No","Yes")</f>
        <v>No</v>
      </c>
      <c r="BQ48" s="504" t="str">
        <f>VLOOKUP(WWWW[[#This Row],[Village  Name]],SiteDB6[[Site Name]:[Location Type 1]],9,FALSE)</f>
        <v>village</v>
      </c>
      <c r="BR48" s="504" t="str">
        <f>VLOOKUP(WWWW[[#This Row],[Village  Name]],SiteDB6[[Site Name]:[Type of Accommodation]],10,FALSE)</f>
        <v>village</v>
      </c>
      <c r="BS48" s="504">
        <f>VLOOKUP(WWWW[[#This Row],[Village  Name]],SiteDB6[[Site Name]:[Ethnic or GCA/NGCA]],11,FALSE)</f>
        <v>0</v>
      </c>
      <c r="BT48" s="504">
        <f>VLOOKUP(WWWW[[#This Row],[Village  Name]],SiteDB6[[Site Name]:[Lat]],12,FALSE)</f>
        <v>0</v>
      </c>
      <c r="BU48" s="504">
        <f>VLOOKUP(WWWW[[#This Row],[Village  Name]],SiteDB6[[Site Name]:[Long]],13,FALSE)</f>
        <v>0</v>
      </c>
      <c r="BV48" s="504">
        <f>VLOOKUP(WWWW[[#This Row],[Village  Name]],SiteDB6[[Site Name]:[Pcode]],3,FALSE)</f>
        <v>0</v>
      </c>
      <c r="BW48" s="502" t="str">
        <f t="shared" si="1"/>
        <v>Covered</v>
      </c>
      <c r="BX48" s="502"/>
      <c r="BY48" s="33"/>
      <c r="CA48"/>
      <c r="CB48" s="33"/>
      <c r="CC48" s="36"/>
      <c r="CE48" s="37"/>
      <c r="CN48" s="20"/>
    </row>
    <row r="49" spans="1:92" hidden="1">
      <c r="A49" s="412" t="s">
        <v>2380</v>
      </c>
      <c r="B49" s="412" t="s">
        <v>1254</v>
      </c>
      <c r="C49" s="496" t="s">
        <v>2727</v>
      </c>
      <c r="D49" s="496"/>
      <c r="E49" s="551" t="s">
        <v>2686</v>
      </c>
      <c r="F49" s="496" t="s">
        <v>321</v>
      </c>
      <c r="G49" s="497" t="str">
        <f>VLOOKUP(WWWW[[#This Row],[Village  Name]],SiteDB6[[Site Name]:[Location Type]],8,FALSE)</f>
        <v>Village</v>
      </c>
      <c r="H49" s="496" t="s">
        <v>2716</v>
      </c>
      <c r="I49" s="510">
        <v>3210</v>
      </c>
      <c r="J49" s="510">
        <v>16050</v>
      </c>
      <c r="K49" s="499"/>
      <c r="L49" s="500"/>
      <c r="M49" s="501"/>
      <c r="N49" s="501"/>
      <c r="O49" s="611"/>
      <c r="P49" s="501"/>
      <c r="Q49" s="501"/>
      <c r="R49" s="501"/>
      <c r="S49" s="501"/>
      <c r="T49" s="645"/>
      <c r="U49" s="501"/>
      <c r="V49" s="611" t="s">
        <v>132</v>
      </c>
      <c r="W49" s="501"/>
      <c r="X49" s="501"/>
      <c r="Y49" s="501"/>
      <c r="Z49" s="501"/>
      <c r="AA49" s="501"/>
      <c r="AB49" s="645"/>
      <c r="AC49" s="501"/>
      <c r="AD49" s="501"/>
      <c r="AE49" s="501"/>
      <c r="AF49" s="501"/>
      <c r="AG49" s="501"/>
      <c r="AH49" s="501"/>
      <c r="AI49" s="501"/>
      <c r="AJ49" s="501"/>
      <c r="AK49" s="501"/>
      <c r="AL49" s="501"/>
      <c r="AM49" s="645"/>
      <c r="AN49" s="501"/>
      <c r="AO49" s="501"/>
      <c r="AP49" s="503">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9" s="498">
        <f>WWWW[[#This Row],[%Equitable and continuous access to sufficient quantity of safe drinking water]]*WWWW[[#This Row],[Total PoP ]]</f>
        <v>0</v>
      </c>
      <c r="AR4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9" s="498">
        <f>WWWW[[#This Row],[% Access to unimproved water points]]*WWWW[[#This Row],[Total PoP ]]</f>
        <v>0</v>
      </c>
      <c r="AT49" s="50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9" s="4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9" s="498">
        <f>WWWW[[#This Row],[HRP1]]/250</f>
        <v>0</v>
      </c>
      <c r="AW49" s="507">
        <f>1-WWWW[[#This Row],[% Equitable and continuous access to sufficient quantity of domestic water]]</f>
        <v>1</v>
      </c>
      <c r="AX49" s="498">
        <f>WWWW[[#This Row],[%equitable and continuous access to sufficient quantity of safe drinking and domestic water''s GAP]]*WWWW[[#This Row],[Total PoP ]]</f>
        <v>16050</v>
      </c>
      <c r="AY49" s="505">
        <f>IF(WWWW[[#This Row],[Total required water points]]-WWWW[[#This Row],['#Water points coverage]]&lt;0,0,WWWW[[#This Row],[Total required water points]]-WWWW[[#This Row],['#Water points coverage]])</f>
        <v>64</v>
      </c>
      <c r="AZ49" s="505">
        <f>ROUND(IF(WWWW[[#This Row],[Total PoP ]]&lt;250,1,WWWW[[#This Row],[Total PoP ]]/250),0)</f>
        <v>64</v>
      </c>
      <c r="BA4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9" s="498">
        <f>WWWW[[#This Row],[% people access to functioning Latrine]]*WWWW[[#This Row],[Total PoP ]]</f>
        <v>0</v>
      </c>
      <c r="BC49" s="421">
        <f>WWWW[[#This Row],['#_of_Functioning_latrines_in_school]]*50</f>
        <v>0</v>
      </c>
      <c r="BD49" s="505">
        <f>ROUND((WWWW[[#This Row],[Total PoP ]]/6),0)</f>
        <v>2675</v>
      </c>
      <c r="BE49" s="421">
        <f>IF(WWWW[[#This Row],[Total required Latrines]]-(WWWW[[#This Row],['#_of_sanitary_fly-proof_HH_latrines]])&lt;0,0,WWWW[[#This Row],[Total required Latrines]]-(WWWW[[#This Row],['#_of_sanitary_fly-proof_HH_latrines]]))</f>
        <v>2675</v>
      </c>
      <c r="BF49" s="508">
        <f>1-WWWW[[#This Row],[% people access to functioning Latrine]]</f>
        <v>1</v>
      </c>
      <c r="BG49" s="49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9" s="498">
        <f>IF(WWWW[[#This Row],['#_of_functional_handwashing_facilities_at_HH_level]]*6&gt;WWWW[[#This Row],[Total PoP ]],WWWW[[#This Row],[Total PoP ]],WWWW[[#This Row],['#_of_functional_handwashing_facilities_at_HH_level]]*6)</f>
        <v>0</v>
      </c>
      <c r="BI49" s="505">
        <f>IF(WWWW[[#This Row],['# people reached by regular dedicated hygiene promotion]]&gt;WWWW[[#This Row],['# People received regular supply of hygiene items]],WWWW[[#This Row],['# people reached by regular dedicated hygiene promotion]],WWWW[[#This Row],['# People received regular supply of hygiene items]])</f>
        <v>0</v>
      </c>
      <c r="BJ49" s="507">
        <f>IF(WWWW[[#This Row],[HRP3]]/WWWW[[#This Row],[Total PoP ]]&gt;100%,100%,WWWW[[#This Row],[HRP3]]/WWWW[[#This Row],[Total PoP ]])</f>
        <v>0</v>
      </c>
      <c r="BK49" s="506">
        <f>1-WWWW[[#This Row],[Hygiene Coverage%]]</f>
        <v>1</v>
      </c>
      <c r="BL49" s="503">
        <f>WWWW[[#This Row],['# people reached by regular dedicated hygiene promotion]]/WWWW[[#This Row],[Total PoP ]]</f>
        <v>0</v>
      </c>
      <c r="BM49" s="505">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9" s="505">
        <f>WWWW[[#This Row],['#_of_affected_women_and_girls_receiving_a_sufficient_quantity_of_sanitary_pads]]</f>
        <v>0</v>
      </c>
      <c r="BO49" s="501">
        <f>IF(WWWW[[#This Row],['# People with access to soap]]&gt;WWWW[[#This Row],['# People with access to Sanity Pads]],WWWW[[#This Row],['# People with access to soap]],WWWW[[#This Row],['# People with access to Sanity Pads]])</f>
        <v>0</v>
      </c>
      <c r="BP49" s="565" t="str">
        <f>IF(OR(WWWW[[#This Row],['#of students in school]]="",WWWW[[#This Row],['#of students in school]]=0),"No","Yes")</f>
        <v>No</v>
      </c>
      <c r="BQ49" s="504" t="str">
        <f>VLOOKUP(WWWW[[#This Row],[Village  Name]],SiteDB6[[Site Name]:[Location Type 1]],9,FALSE)</f>
        <v>Village</v>
      </c>
      <c r="BR49" s="504" t="str">
        <f>VLOOKUP(WWWW[[#This Row],[Village  Name]],SiteDB6[[Site Name]:[Type of Accommodation]],10,FALSE)</f>
        <v>Village</v>
      </c>
      <c r="BS49" s="504">
        <f>VLOOKUP(WWWW[[#This Row],[Village  Name]],SiteDB6[[Site Name]:[Ethnic or GCA/NGCA]],11,FALSE)</f>
        <v>0</v>
      </c>
      <c r="BT49" s="504">
        <f>VLOOKUP(WWWW[[#This Row],[Village  Name]],SiteDB6[[Site Name]:[Lat]],12,FALSE)</f>
        <v>20.825700759887699</v>
      </c>
      <c r="BU49" s="504">
        <f>VLOOKUP(WWWW[[#This Row],[Village  Name]],SiteDB6[[Site Name]:[Long]],13,FALSE)</f>
        <v>92.542686462402301</v>
      </c>
      <c r="BV49" s="504">
        <f>VLOOKUP(WWWW[[#This Row],[Village  Name]],SiteDB6[[Site Name]:[Pcode]],3,FALSE)</f>
        <v>198334</v>
      </c>
      <c r="BW49" s="502" t="str">
        <f t="shared" si="1"/>
        <v>Covered</v>
      </c>
      <c r="BX49" s="502"/>
      <c r="BY49" s="33"/>
      <c r="CA49"/>
      <c r="CB49" s="33"/>
      <c r="CC49" s="36"/>
      <c r="CE49" s="37"/>
      <c r="CN49" s="20"/>
    </row>
    <row r="50" spans="1:92" hidden="1">
      <c r="A50" s="412" t="s">
        <v>2380</v>
      </c>
      <c r="B50" s="412" t="s">
        <v>1254</v>
      </c>
      <c r="C50" s="496" t="s">
        <v>2727</v>
      </c>
      <c r="D50" s="496"/>
      <c r="E50" s="551" t="s">
        <v>2686</v>
      </c>
      <c r="F50" s="496" t="s">
        <v>321</v>
      </c>
      <c r="G50" s="497" t="str">
        <f>VLOOKUP(WWWW[[#This Row],[Village  Name]],SiteDB6[[Site Name]:[Location Type]],8,FALSE)</f>
        <v>Village</v>
      </c>
      <c r="H50" s="496" t="s">
        <v>2717</v>
      </c>
      <c r="I50" s="510">
        <v>1048</v>
      </c>
      <c r="J50" s="510">
        <v>5240</v>
      </c>
      <c r="K50" s="499"/>
      <c r="L50" s="500"/>
      <c r="M50" s="501"/>
      <c r="N50" s="501"/>
      <c r="O50" s="611"/>
      <c r="P50" s="501"/>
      <c r="Q50" s="501"/>
      <c r="R50" s="501"/>
      <c r="S50" s="501"/>
      <c r="T50" s="645"/>
      <c r="U50" s="501"/>
      <c r="V50" s="611" t="s">
        <v>132</v>
      </c>
      <c r="W50" s="501"/>
      <c r="X50" s="501"/>
      <c r="Y50" s="501"/>
      <c r="Z50" s="501"/>
      <c r="AA50" s="501"/>
      <c r="AB50" s="645"/>
      <c r="AC50" s="501"/>
      <c r="AD50" s="501"/>
      <c r="AE50" s="501"/>
      <c r="AF50" s="501"/>
      <c r="AG50" s="501"/>
      <c r="AH50" s="501"/>
      <c r="AI50" s="501"/>
      <c r="AJ50" s="501"/>
      <c r="AK50" s="501"/>
      <c r="AL50" s="501"/>
      <c r="AM50" s="645"/>
      <c r="AN50" s="501"/>
      <c r="AO50" s="501"/>
      <c r="AP50" s="503">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50" s="498">
        <f>WWWW[[#This Row],[%Equitable and continuous access to sufficient quantity of safe drinking water]]*WWWW[[#This Row],[Total PoP ]]</f>
        <v>0</v>
      </c>
      <c r="AR5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50" s="498">
        <f>WWWW[[#This Row],[% Access to unimproved water points]]*WWWW[[#This Row],[Total PoP ]]</f>
        <v>0</v>
      </c>
      <c r="AT50" s="50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50" s="4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50" s="498">
        <f>WWWW[[#This Row],[HRP1]]/250</f>
        <v>0</v>
      </c>
      <c r="AW50" s="507">
        <f>1-WWWW[[#This Row],[% Equitable and continuous access to sufficient quantity of domestic water]]</f>
        <v>1</v>
      </c>
      <c r="AX50" s="498">
        <f>WWWW[[#This Row],[%equitable and continuous access to sufficient quantity of safe drinking and domestic water''s GAP]]*WWWW[[#This Row],[Total PoP ]]</f>
        <v>5240</v>
      </c>
      <c r="AY50" s="505">
        <f>IF(WWWW[[#This Row],[Total required water points]]-WWWW[[#This Row],['#Water points coverage]]&lt;0,0,WWWW[[#This Row],[Total required water points]]-WWWW[[#This Row],['#Water points coverage]])</f>
        <v>21</v>
      </c>
      <c r="AZ50" s="505">
        <f>ROUND(IF(WWWW[[#This Row],[Total PoP ]]&lt;250,1,WWWW[[#This Row],[Total PoP ]]/250),0)</f>
        <v>21</v>
      </c>
      <c r="BA5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50" s="498">
        <f>WWWW[[#This Row],[% people access to functioning Latrine]]*WWWW[[#This Row],[Total PoP ]]</f>
        <v>0</v>
      </c>
      <c r="BC50" s="421">
        <f>WWWW[[#This Row],['#_of_Functioning_latrines_in_school]]*50</f>
        <v>0</v>
      </c>
      <c r="BD50" s="505">
        <f>ROUND((WWWW[[#This Row],[Total PoP ]]/6),0)</f>
        <v>873</v>
      </c>
      <c r="BE50" s="421">
        <f>IF(WWWW[[#This Row],[Total required Latrines]]-(WWWW[[#This Row],['#_of_sanitary_fly-proof_HH_latrines]])&lt;0,0,WWWW[[#This Row],[Total required Latrines]]-(WWWW[[#This Row],['#_of_sanitary_fly-proof_HH_latrines]]))</f>
        <v>873</v>
      </c>
      <c r="BF50" s="508">
        <f>1-WWWW[[#This Row],[% people access to functioning Latrine]]</f>
        <v>1</v>
      </c>
      <c r="BG50" s="49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50" s="498">
        <f>IF(WWWW[[#This Row],['#_of_functional_handwashing_facilities_at_HH_level]]*6&gt;WWWW[[#This Row],[Total PoP ]],WWWW[[#This Row],[Total PoP ]],WWWW[[#This Row],['#_of_functional_handwashing_facilities_at_HH_level]]*6)</f>
        <v>0</v>
      </c>
      <c r="BI50" s="505">
        <f>IF(WWWW[[#This Row],['# people reached by regular dedicated hygiene promotion]]&gt;WWWW[[#This Row],['# People received regular supply of hygiene items]],WWWW[[#This Row],['# people reached by regular dedicated hygiene promotion]],WWWW[[#This Row],['# People received regular supply of hygiene items]])</f>
        <v>0</v>
      </c>
      <c r="BJ50" s="507">
        <f>IF(WWWW[[#This Row],[HRP3]]/WWWW[[#This Row],[Total PoP ]]&gt;100%,100%,WWWW[[#This Row],[HRP3]]/WWWW[[#This Row],[Total PoP ]])</f>
        <v>0</v>
      </c>
      <c r="BK50" s="506">
        <f>1-WWWW[[#This Row],[Hygiene Coverage%]]</f>
        <v>1</v>
      </c>
      <c r="BL50" s="503">
        <f>WWWW[[#This Row],['# people reached by regular dedicated hygiene promotion]]/WWWW[[#This Row],[Total PoP ]]</f>
        <v>0</v>
      </c>
      <c r="BM50" s="505">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0" s="505">
        <f>WWWW[[#This Row],['#_of_affected_women_and_girls_receiving_a_sufficient_quantity_of_sanitary_pads]]</f>
        <v>0</v>
      </c>
      <c r="BO50" s="501">
        <f>IF(WWWW[[#This Row],['# People with access to soap]]&gt;WWWW[[#This Row],['# People with access to Sanity Pads]],WWWW[[#This Row],['# People with access to soap]],WWWW[[#This Row],['# People with access to Sanity Pads]])</f>
        <v>0</v>
      </c>
      <c r="BP50" s="565" t="str">
        <f>IF(OR(WWWW[[#This Row],['#of students in school]]="",WWWW[[#This Row],['#of students in school]]=0),"No","Yes")</f>
        <v>No</v>
      </c>
      <c r="BQ50" s="504" t="str">
        <f>VLOOKUP(WWWW[[#This Row],[Village  Name]],SiteDB6[[Site Name]:[Location Type 1]],9,FALSE)</f>
        <v>Village</v>
      </c>
      <c r="BR50" s="504" t="str">
        <f>VLOOKUP(WWWW[[#This Row],[Village  Name]],SiteDB6[[Site Name]:[Type of Accommodation]],10,FALSE)</f>
        <v>Village</v>
      </c>
      <c r="BS50" s="504">
        <f>VLOOKUP(WWWW[[#This Row],[Village  Name]],SiteDB6[[Site Name]:[Ethnic or GCA/NGCA]],11,FALSE)</f>
        <v>0</v>
      </c>
      <c r="BT50" s="504">
        <f>VLOOKUP(WWWW[[#This Row],[Village  Name]],SiteDB6[[Site Name]:[Lat]],12,FALSE)</f>
        <v>20.8608493804932</v>
      </c>
      <c r="BU50" s="504">
        <f>VLOOKUP(WWWW[[#This Row],[Village  Name]],SiteDB6[[Site Name]:[Long]],13,FALSE)</f>
        <v>92.539390563964801</v>
      </c>
      <c r="BV50" s="504">
        <f>VLOOKUP(WWWW[[#This Row],[Village  Name]],SiteDB6[[Site Name]:[Pcode]],3,FALSE)</f>
        <v>198326</v>
      </c>
      <c r="BW50" s="502" t="str">
        <f t="shared" si="1"/>
        <v>Covered</v>
      </c>
      <c r="BX50" s="502"/>
      <c r="BY50" s="33"/>
      <c r="CA50"/>
      <c r="CB50" s="33"/>
      <c r="CC50" s="36"/>
      <c r="CE50" s="37"/>
      <c r="CN50" s="20"/>
    </row>
    <row r="51" spans="1:92" hidden="1">
      <c r="A51" s="412" t="s">
        <v>2380</v>
      </c>
      <c r="B51" s="412" t="s">
        <v>1254</v>
      </c>
      <c r="C51" s="496" t="s">
        <v>2727</v>
      </c>
      <c r="D51" s="496"/>
      <c r="E51" s="551" t="s">
        <v>2686</v>
      </c>
      <c r="F51" s="496" t="s">
        <v>321</v>
      </c>
      <c r="G51" s="497" t="str">
        <f>VLOOKUP(WWWW[[#This Row],[Village  Name]],SiteDB6[[Site Name]:[Location Type]],8,FALSE)</f>
        <v>Village</v>
      </c>
      <c r="H51" s="496" t="s">
        <v>2664</v>
      </c>
      <c r="I51" s="510">
        <v>1634.4</v>
      </c>
      <c r="J51" s="510">
        <v>8172</v>
      </c>
      <c r="K51" s="499"/>
      <c r="L51" s="500"/>
      <c r="M51" s="501"/>
      <c r="N51" s="501"/>
      <c r="O51" s="611"/>
      <c r="P51" s="501"/>
      <c r="Q51" s="501"/>
      <c r="R51" s="501"/>
      <c r="S51" s="501"/>
      <c r="T51" s="645"/>
      <c r="U51" s="501"/>
      <c r="V51" s="611" t="s">
        <v>132</v>
      </c>
      <c r="W51" s="501"/>
      <c r="X51" s="501"/>
      <c r="Y51" s="501"/>
      <c r="Z51" s="501"/>
      <c r="AA51" s="501"/>
      <c r="AB51" s="645"/>
      <c r="AC51" s="501"/>
      <c r="AD51" s="501"/>
      <c r="AE51" s="501"/>
      <c r="AF51" s="501"/>
      <c r="AG51" s="501"/>
      <c r="AH51" s="501"/>
      <c r="AI51" s="501"/>
      <c r="AJ51" s="501"/>
      <c r="AK51" s="501"/>
      <c r="AL51" s="501"/>
      <c r="AM51" s="645"/>
      <c r="AN51" s="501"/>
      <c r="AO51" s="501"/>
      <c r="AP51" s="503">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51" s="498">
        <f>WWWW[[#This Row],[%Equitable and continuous access to sufficient quantity of safe drinking water]]*WWWW[[#This Row],[Total PoP ]]</f>
        <v>0</v>
      </c>
      <c r="AR5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51" s="498">
        <f>WWWW[[#This Row],[% Access to unimproved water points]]*WWWW[[#This Row],[Total PoP ]]</f>
        <v>0</v>
      </c>
      <c r="AT51" s="50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51" s="4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51" s="498">
        <f>WWWW[[#This Row],[HRP1]]/250</f>
        <v>0</v>
      </c>
      <c r="AW51" s="507">
        <f>1-WWWW[[#This Row],[% Equitable and continuous access to sufficient quantity of domestic water]]</f>
        <v>1</v>
      </c>
      <c r="AX51" s="498">
        <f>WWWW[[#This Row],[%equitable and continuous access to sufficient quantity of safe drinking and domestic water''s GAP]]*WWWW[[#This Row],[Total PoP ]]</f>
        <v>8172</v>
      </c>
      <c r="AY51" s="505">
        <f>IF(WWWW[[#This Row],[Total required water points]]-WWWW[[#This Row],['#Water points coverage]]&lt;0,0,WWWW[[#This Row],[Total required water points]]-WWWW[[#This Row],['#Water points coverage]])</f>
        <v>33</v>
      </c>
      <c r="AZ51" s="505">
        <f>ROUND(IF(WWWW[[#This Row],[Total PoP ]]&lt;250,1,WWWW[[#This Row],[Total PoP ]]/250),0)</f>
        <v>33</v>
      </c>
      <c r="BA51"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51" s="498">
        <f>WWWW[[#This Row],[% people access to functioning Latrine]]*WWWW[[#This Row],[Total PoP ]]</f>
        <v>0</v>
      </c>
      <c r="BC51" s="421">
        <f>WWWW[[#This Row],['#_of_Functioning_latrines_in_school]]*50</f>
        <v>0</v>
      </c>
      <c r="BD51" s="505">
        <f>ROUND((WWWW[[#This Row],[Total PoP ]]/6),0)</f>
        <v>1362</v>
      </c>
      <c r="BE51" s="421">
        <f>IF(WWWW[[#This Row],[Total required Latrines]]-(WWWW[[#This Row],['#_of_sanitary_fly-proof_HH_latrines]])&lt;0,0,WWWW[[#This Row],[Total required Latrines]]-(WWWW[[#This Row],['#_of_sanitary_fly-proof_HH_latrines]]))</f>
        <v>1362</v>
      </c>
      <c r="BF51" s="508">
        <f>1-WWWW[[#This Row],[% people access to functioning Latrine]]</f>
        <v>1</v>
      </c>
      <c r="BG51" s="49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51" s="498">
        <f>IF(WWWW[[#This Row],['#_of_functional_handwashing_facilities_at_HH_level]]*6&gt;WWWW[[#This Row],[Total PoP ]],WWWW[[#This Row],[Total PoP ]],WWWW[[#This Row],['#_of_functional_handwashing_facilities_at_HH_level]]*6)</f>
        <v>0</v>
      </c>
      <c r="BI51" s="505">
        <f>IF(WWWW[[#This Row],['# people reached by regular dedicated hygiene promotion]]&gt;WWWW[[#This Row],['# People received regular supply of hygiene items]],WWWW[[#This Row],['# people reached by regular dedicated hygiene promotion]],WWWW[[#This Row],['# People received regular supply of hygiene items]])</f>
        <v>0</v>
      </c>
      <c r="BJ51" s="507">
        <f>IF(WWWW[[#This Row],[HRP3]]/WWWW[[#This Row],[Total PoP ]]&gt;100%,100%,WWWW[[#This Row],[HRP3]]/WWWW[[#This Row],[Total PoP ]])</f>
        <v>0</v>
      </c>
      <c r="BK51" s="506">
        <f>1-WWWW[[#This Row],[Hygiene Coverage%]]</f>
        <v>1</v>
      </c>
      <c r="BL51" s="503">
        <f>WWWW[[#This Row],['# people reached by regular dedicated hygiene promotion]]/WWWW[[#This Row],[Total PoP ]]</f>
        <v>0</v>
      </c>
      <c r="BM51" s="505">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1" s="505">
        <f>WWWW[[#This Row],['#_of_affected_women_and_girls_receiving_a_sufficient_quantity_of_sanitary_pads]]</f>
        <v>0</v>
      </c>
      <c r="BO51" s="501">
        <f>IF(WWWW[[#This Row],['# People with access to soap]]&gt;WWWW[[#This Row],['# People with access to Sanity Pads]],WWWW[[#This Row],['# People with access to soap]],WWWW[[#This Row],['# People with access to Sanity Pads]])</f>
        <v>0</v>
      </c>
      <c r="BP51" s="458" t="str">
        <f>IF(OR(WWWW[[#This Row],['#of students in school]]="",WWWW[[#This Row],['#of students in school]]=0),"No","Yes")</f>
        <v>No</v>
      </c>
      <c r="BQ51" s="504" t="str">
        <f>VLOOKUP(WWWW[[#This Row],[Village  Name]],SiteDB6[[Site Name]:[Location Type 1]],9,FALSE)</f>
        <v>Village</v>
      </c>
      <c r="BR51" s="504" t="str">
        <f>VLOOKUP(WWWW[[#This Row],[Village  Name]],SiteDB6[[Site Name]:[Type of Accommodation]],10,FALSE)</f>
        <v>Village</v>
      </c>
      <c r="BS51" s="504">
        <f>VLOOKUP(WWWW[[#This Row],[Village  Name]],SiteDB6[[Site Name]:[Ethnic or GCA/NGCA]],11,FALSE)</f>
        <v>0</v>
      </c>
      <c r="BT51" s="504">
        <f>VLOOKUP(WWWW[[#This Row],[Village  Name]],SiteDB6[[Site Name]:[Lat]],12,FALSE)</f>
        <v>20.793779373168899</v>
      </c>
      <c r="BU51" s="504">
        <f>VLOOKUP(WWWW[[#This Row],[Village  Name]],SiteDB6[[Site Name]:[Long]],13,FALSE)</f>
        <v>92.597961425781307</v>
      </c>
      <c r="BV51" s="504">
        <f>VLOOKUP(WWWW[[#This Row],[Village  Name]],SiteDB6[[Site Name]:[Pcode]],3,FALSE)</f>
        <v>198370</v>
      </c>
      <c r="BW51" s="502" t="str">
        <f t="shared" si="1"/>
        <v>Covered</v>
      </c>
      <c r="BX51" s="502"/>
      <c r="BY51" s="33"/>
      <c r="CA51" s="431"/>
      <c r="CB51" s="33"/>
      <c r="CC51" s="36"/>
      <c r="CE51" s="37"/>
      <c r="CN51" s="20"/>
    </row>
    <row r="52" spans="1:92" hidden="1">
      <c r="A52" s="412" t="s">
        <v>2380</v>
      </c>
      <c r="B52" s="412" t="s">
        <v>1254</v>
      </c>
      <c r="C52" s="496" t="s">
        <v>2727</v>
      </c>
      <c r="D52" s="496"/>
      <c r="E52" s="551" t="s">
        <v>2686</v>
      </c>
      <c r="F52" s="496" t="s">
        <v>321</v>
      </c>
      <c r="G52" s="497" t="str">
        <f>VLOOKUP(WWWW[[#This Row],[Village  Name]],SiteDB6[[Site Name]:[Location Type]],8,FALSE)</f>
        <v>Village</v>
      </c>
      <c r="H52" s="496" t="s">
        <v>2711</v>
      </c>
      <c r="I52" s="510">
        <v>403</v>
      </c>
      <c r="J52" s="510">
        <v>2015</v>
      </c>
      <c r="K52" s="499"/>
      <c r="L52" s="500"/>
      <c r="M52" s="501"/>
      <c r="N52" s="501"/>
      <c r="O52" s="611"/>
      <c r="P52" s="501"/>
      <c r="Q52" s="501"/>
      <c r="R52" s="501"/>
      <c r="S52" s="501"/>
      <c r="T52" s="645"/>
      <c r="U52" s="501"/>
      <c r="V52" s="611" t="s">
        <v>132</v>
      </c>
      <c r="W52" s="501"/>
      <c r="X52" s="501"/>
      <c r="Y52" s="501"/>
      <c r="Z52" s="501"/>
      <c r="AA52" s="501"/>
      <c r="AB52" s="645"/>
      <c r="AC52" s="501"/>
      <c r="AD52" s="501"/>
      <c r="AE52" s="501"/>
      <c r="AF52" s="501"/>
      <c r="AG52" s="501"/>
      <c r="AH52" s="501"/>
      <c r="AI52" s="501"/>
      <c r="AJ52" s="501"/>
      <c r="AK52" s="501"/>
      <c r="AL52" s="501"/>
      <c r="AM52" s="645"/>
      <c r="AN52" s="501"/>
      <c r="AO52" s="501"/>
      <c r="AP52" s="503">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52" s="498">
        <f>WWWW[[#This Row],[%Equitable and continuous access to sufficient quantity of safe drinking water]]*WWWW[[#This Row],[Total PoP ]]</f>
        <v>0</v>
      </c>
      <c r="AR5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52" s="498">
        <f>WWWW[[#This Row],[% Access to unimproved water points]]*WWWW[[#This Row],[Total PoP ]]</f>
        <v>0</v>
      </c>
      <c r="AT52" s="50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52" s="4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52" s="498">
        <f>WWWW[[#This Row],[HRP1]]/250</f>
        <v>0</v>
      </c>
      <c r="AW52" s="507">
        <f>1-WWWW[[#This Row],[% Equitable and continuous access to sufficient quantity of domestic water]]</f>
        <v>1</v>
      </c>
      <c r="AX52" s="498">
        <f>WWWW[[#This Row],[%equitable and continuous access to sufficient quantity of safe drinking and domestic water''s GAP]]*WWWW[[#This Row],[Total PoP ]]</f>
        <v>2015</v>
      </c>
      <c r="AY52" s="505">
        <f>IF(WWWW[[#This Row],[Total required water points]]-WWWW[[#This Row],['#Water points coverage]]&lt;0,0,WWWW[[#This Row],[Total required water points]]-WWWW[[#This Row],['#Water points coverage]])</f>
        <v>8</v>
      </c>
      <c r="AZ52" s="505">
        <f>ROUND(IF(WWWW[[#This Row],[Total PoP ]]&lt;250,1,WWWW[[#This Row],[Total PoP ]]/250),0)</f>
        <v>8</v>
      </c>
      <c r="BA5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52" s="498">
        <f>WWWW[[#This Row],[% people access to functioning Latrine]]*WWWW[[#This Row],[Total PoP ]]</f>
        <v>0</v>
      </c>
      <c r="BC52" s="421">
        <f>WWWW[[#This Row],['#_of_Functioning_latrines_in_school]]*50</f>
        <v>0</v>
      </c>
      <c r="BD52" s="505">
        <f>ROUND((WWWW[[#This Row],[Total PoP ]]/6),0)</f>
        <v>336</v>
      </c>
      <c r="BE52" s="421">
        <f>IF(WWWW[[#This Row],[Total required Latrines]]-(WWWW[[#This Row],['#_of_sanitary_fly-proof_HH_latrines]])&lt;0,0,WWWW[[#This Row],[Total required Latrines]]-(WWWW[[#This Row],['#_of_sanitary_fly-proof_HH_latrines]]))</f>
        <v>336</v>
      </c>
      <c r="BF52" s="508">
        <f>1-WWWW[[#This Row],[% people access to functioning Latrine]]</f>
        <v>1</v>
      </c>
      <c r="BG52" s="49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52" s="498">
        <f>IF(WWWW[[#This Row],['#_of_functional_handwashing_facilities_at_HH_level]]*6&gt;WWWW[[#This Row],[Total PoP ]],WWWW[[#This Row],[Total PoP ]],WWWW[[#This Row],['#_of_functional_handwashing_facilities_at_HH_level]]*6)</f>
        <v>0</v>
      </c>
      <c r="BI52" s="505">
        <f>IF(WWWW[[#This Row],['# people reached by regular dedicated hygiene promotion]]&gt;WWWW[[#This Row],['# People received regular supply of hygiene items]],WWWW[[#This Row],['# people reached by regular dedicated hygiene promotion]],WWWW[[#This Row],['# People received regular supply of hygiene items]])</f>
        <v>0</v>
      </c>
      <c r="BJ52" s="507">
        <f>IF(WWWW[[#This Row],[HRP3]]/WWWW[[#This Row],[Total PoP ]]&gt;100%,100%,WWWW[[#This Row],[HRP3]]/WWWW[[#This Row],[Total PoP ]])</f>
        <v>0</v>
      </c>
      <c r="BK52" s="506">
        <f>1-WWWW[[#This Row],[Hygiene Coverage%]]</f>
        <v>1</v>
      </c>
      <c r="BL52" s="503">
        <f>WWWW[[#This Row],['# people reached by regular dedicated hygiene promotion]]/WWWW[[#This Row],[Total PoP ]]</f>
        <v>0</v>
      </c>
      <c r="BM52" s="505">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2" s="505">
        <f>WWWW[[#This Row],['#_of_affected_women_and_girls_receiving_a_sufficient_quantity_of_sanitary_pads]]</f>
        <v>0</v>
      </c>
      <c r="BO52" s="501">
        <f>IF(WWWW[[#This Row],['# People with access to soap]]&gt;WWWW[[#This Row],['# People with access to Sanity Pads]],WWWW[[#This Row],['# People with access to soap]],WWWW[[#This Row],['# People with access to Sanity Pads]])</f>
        <v>0</v>
      </c>
      <c r="BP52" s="565" t="str">
        <f>IF(OR(WWWW[[#This Row],['#of students in school]]="",WWWW[[#This Row],['#of students in school]]=0),"No","Yes")</f>
        <v>No</v>
      </c>
      <c r="BQ52" s="504" t="str">
        <f>VLOOKUP(WWWW[[#This Row],[Village  Name]],SiteDB6[[Site Name]:[Location Type 1]],9,FALSE)</f>
        <v>Village</v>
      </c>
      <c r="BR52" s="504" t="str">
        <f>VLOOKUP(WWWW[[#This Row],[Village  Name]],SiteDB6[[Site Name]:[Type of Accommodation]],10,FALSE)</f>
        <v>Village</v>
      </c>
      <c r="BS52" s="504">
        <f>VLOOKUP(WWWW[[#This Row],[Village  Name]],SiteDB6[[Site Name]:[Ethnic or GCA/NGCA]],11,FALSE)</f>
        <v>0</v>
      </c>
      <c r="BT52" s="504">
        <f>VLOOKUP(WWWW[[#This Row],[Village  Name]],SiteDB6[[Site Name]:[Lat]],12,FALSE)</f>
        <v>20.821479797363299</v>
      </c>
      <c r="BU52" s="504">
        <f>VLOOKUP(WWWW[[#This Row],[Village  Name]],SiteDB6[[Site Name]:[Long]],13,FALSE)</f>
        <v>92.603950500488295</v>
      </c>
      <c r="BV52" s="504">
        <f>VLOOKUP(WWWW[[#This Row],[Village  Name]],SiteDB6[[Site Name]:[Pcode]],3,FALSE)</f>
        <v>198356</v>
      </c>
      <c r="BW52" s="502" t="str">
        <f t="shared" si="1"/>
        <v>Covered</v>
      </c>
      <c r="BX52" s="502"/>
      <c r="BY52" s="33"/>
      <c r="CA52"/>
      <c r="CB52" s="33"/>
      <c r="CC52" s="36"/>
      <c r="CE52" s="37"/>
      <c r="CN52" s="20"/>
    </row>
    <row r="53" spans="1:92" hidden="1">
      <c r="A53" s="412" t="s">
        <v>2380</v>
      </c>
      <c r="B53" s="412" t="s">
        <v>1254</v>
      </c>
      <c r="C53" s="496" t="s">
        <v>2727</v>
      </c>
      <c r="D53" s="496"/>
      <c r="E53" s="551" t="s">
        <v>2686</v>
      </c>
      <c r="F53" s="496" t="s">
        <v>321</v>
      </c>
      <c r="G53" s="497" t="str">
        <f>VLOOKUP(WWWW[[#This Row],[Village  Name]],SiteDB6[[Site Name]:[Location Type]],8,FALSE)</f>
        <v>Village</v>
      </c>
      <c r="H53" s="496" t="s">
        <v>574</v>
      </c>
      <c r="I53" s="510">
        <v>51.2</v>
      </c>
      <c r="J53" s="510">
        <v>256</v>
      </c>
      <c r="K53" s="499"/>
      <c r="L53" s="500"/>
      <c r="M53" s="501"/>
      <c r="N53" s="501"/>
      <c r="O53" s="611"/>
      <c r="P53" s="501"/>
      <c r="Q53" s="501"/>
      <c r="R53" s="501"/>
      <c r="S53" s="501"/>
      <c r="T53" s="645"/>
      <c r="U53" s="501"/>
      <c r="V53" s="611" t="s">
        <v>132</v>
      </c>
      <c r="W53" s="501"/>
      <c r="X53" s="501"/>
      <c r="Y53" s="501"/>
      <c r="Z53" s="501"/>
      <c r="AA53" s="501"/>
      <c r="AB53" s="645"/>
      <c r="AC53" s="501"/>
      <c r="AD53" s="501"/>
      <c r="AE53" s="501"/>
      <c r="AF53" s="501"/>
      <c r="AG53" s="501"/>
      <c r="AH53" s="501"/>
      <c r="AI53" s="501"/>
      <c r="AJ53" s="501"/>
      <c r="AK53" s="501"/>
      <c r="AL53" s="501"/>
      <c r="AM53" s="645"/>
      <c r="AN53" s="501"/>
      <c r="AO53" s="501"/>
      <c r="AP53" s="503">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53" s="498">
        <f>WWWW[[#This Row],[%Equitable and continuous access to sufficient quantity of safe drinking water]]*WWWW[[#This Row],[Total PoP ]]</f>
        <v>0</v>
      </c>
      <c r="AR5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53" s="498">
        <f>WWWW[[#This Row],[% Access to unimproved water points]]*WWWW[[#This Row],[Total PoP ]]</f>
        <v>0</v>
      </c>
      <c r="AT53" s="50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53" s="4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53" s="498">
        <f>WWWW[[#This Row],[HRP1]]/250</f>
        <v>0</v>
      </c>
      <c r="AW53" s="507">
        <f>1-WWWW[[#This Row],[% Equitable and continuous access to sufficient quantity of domestic water]]</f>
        <v>1</v>
      </c>
      <c r="AX53" s="498">
        <f>WWWW[[#This Row],[%equitable and continuous access to sufficient quantity of safe drinking and domestic water''s GAP]]*WWWW[[#This Row],[Total PoP ]]</f>
        <v>256</v>
      </c>
      <c r="AY53" s="505">
        <f>IF(WWWW[[#This Row],[Total required water points]]-WWWW[[#This Row],['#Water points coverage]]&lt;0,0,WWWW[[#This Row],[Total required water points]]-WWWW[[#This Row],['#Water points coverage]])</f>
        <v>1</v>
      </c>
      <c r="AZ53" s="505">
        <f>ROUND(IF(WWWW[[#This Row],[Total PoP ]]&lt;250,1,WWWW[[#This Row],[Total PoP ]]/250),0)</f>
        <v>1</v>
      </c>
      <c r="BA5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53" s="498">
        <f>WWWW[[#This Row],[% people access to functioning Latrine]]*WWWW[[#This Row],[Total PoP ]]</f>
        <v>0</v>
      </c>
      <c r="BC53" s="421">
        <f>WWWW[[#This Row],['#_of_Functioning_latrines_in_school]]*50</f>
        <v>0</v>
      </c>
      <c r="BD53" s="505">
        <f>ROUND((WWWW[[#This Row],[Total PoP ]]/6),0)</f>
        <v>43</v>
      </c>
      <c r="BE53" s="421">
        <f>IF(WWWW[[#This Row],[Total required Latrines]]-(WWWW[[#This Row],['#_of_sanitary_fly-proof_HH_latrines]])&lt;0,0,WWWW[[#This Row],[Total required Latrines]]-(WWWW[[#This Row],['#_of_sanitary_fly-proof_HH_latrines]]))</f>
        <v>43</v>
      </c>
      <c r="BF53" s="508">
        <f>1-WWWW[[#This Row],[% people access to functioning Latrine]]</f>
        <v>1</v>
      </c>
      <c r="BG53" s="49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53" s="498">
        <f>IF(WWWW[[#This Row],['#_of_functional_handwashing_facilities_at_HH_level]]*6&gt;WWWW[[#This Row],[Total PoP ]],WWWW[[#This Row],[Total PoP ]],WWWW[[#This Row],['#_of_functional_handwashing_facilities_at_HH_level]]*6)</f>
        <v>0</v>
      </c>
      <c r="BI53" s="505">
        <f>IF(WWWW[[#This Row],['# people reached by regular dedicated hygiene promotion]]&gt;WWWW[[#This Row],['# People received regular supply of hygiene items]],WWWW[[#This Row],['# people reached by regular dedicated hygiene promotion]],WWWW[[#This Row],['# People received regular supply of hygiene items]])</f>
        <v>0</v>
      </c>
      <c r="BJ53" s="507">
        <f>IF(WWWW[[#This Row],[HRP3]]/WWWW[[#This Row],[Total PoP ]]&gt;100%,100%,WWWW[[#This Row],[HRP3]]/WWWW[[#This Row],[Total PoP ]])</f>
        <v>0</v>
      </c>
      <c r="BK53" s="506">
        <f>1-WWWW[[#This Row],[Hygiene Coverage%]]</f>
        <v>1</v>
      </c>
      <c r="BL53" s="503">
        <f>WWWW[[#This Row],['# people reached by regular dedicated hygiene promotion]]/WWWW[[#This Row],[Total PoP ]]</f>
        <v>0</v>
      </c>
      <c r="BM53" s="505">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3" s="505">
        <f>WWWW[[#This Row],['#_of_affected_women_and_girls_receiving_a_sufficient_quantity_of_sanitary_pads]]</f>
        <v>0</v>
      </c>
      <c r="BO53" s="501">
        <f>IF(WWWW[[#This Row],['# People with access to soap]]&gt;WWWW[[#This Row],['# People with access to Sanity Pads]],WWWW[[#This Row],['# People with access to soap]],WWWW[[#This Row],['# People with access to Sanity Pads]])</f>
        <v>0</v>
      </c>
      <c r="BP53" s="565" t="str">
        <f>IF(OR(WWWW[[#This Row],['#of students in school]]="",WWWW[[#This Row],['#of students in school]]=0),"No","Yes")</f>
        <v>No</v>
      </c>
      <c r="BQ53" s="504" t="str">
        <f>VLOOKUP(WWWW[[#This Row],[Village  Name]],SiteDB6[[Site Name]:[Location Type 1]],9,FALSE)</f>
        <v>Village</v>
      </c>
      <c r="BR53" s="504" t="str">
        <f>VLOOKUP(WWWW[[#This Row],[Village  Name]],SiteDB6[[Site Name]:[Type of Accommodation]],10,FALSE)</f>
        <v>Village</v>
      </c>
      <c r="BS53" s="504" t="str">
        <f>VLOOKUP(WWWW[[#This Row],[Village  Name]],SiteDB6[[Site Name]:[Ethnic or GCA/NGCA]],11,FALSE)</f>
        <v>Rakhine</v>
      </c>
      <c r="BT53" s="504">
        <f>VLOOKUP(WWWW[[#This Row],[Village  Name]],SiteDB6[[Site Name]:[Lat]],12,FALSE)</f>
        <v>20.7264194488525</v>
      </c>
      <c r="BU53" s="504">
        <f>VLOOKUP(WWWW[[#This Row],[Village  Name]],SiteDB6[[Site Name]:[Long]],13,FALSE)</f>
        <v>92.671180730000003</v>
      </c>
      <c r="BV53" s="504">
        <f>VLOOKUP(WWWW[[#This Row],[Village  Name]],SiteDB6[[Site Name]:[Pcode]],3,FALSE)</f>
        <v>198418</v>
      </c>
      <c r="BW53" s="502" t="str">
        <f t="shared" si="1"/>
        <v>Covered</v>
      </c>
      <c r="BX53" s="502"/>
      <c r="BY53" s="33"/>
      <c r="CA53"/>
      <c r="CB53" s="33"/>
      <c r="CC53" s="36"/>
      <c r="CE53" s="37"/>
      <c r="CN53" s="20"/>
    </row>
    <row r="54" spans="1:92" hidden="1">
      <c r="A54" s="412" t="s">
        <v>2380</v>
      </c>
      <c r="B54" s="412" t="s">
        <v>1254</v>
      </c>
      <c r="C54" s="496" t="s">
        <v>2727</v>
      </c>
      <c r="D54" s="496"/>
      <c r="E54" s="551" t="s">
        <v>2686</v>
      </c>
      <c r="F54" s="496" t="s">
        <v>307</v>
      </c>
      <c r="G54" s="497" t="str">
        <f>VLOOKUP(WWWW[[#This Row],[Village  Name]],SiteDB6[[Site Name]:[Location Type]],8,FALSE)</f>
        <v>Village</v>
      </c>
      <c r="H54" s="496" t="s">
        <v>2720</v>
      </c>
      <c r="I54" s="510">
        <v>673.6</v>
      </c>
      <c r="J54" s="510">
        <v>3368</v>
      </c>
      <c r="K54" s="499"/>
      <c r="L54" s="500"/>
      <c r="M54" s="501"/>
      <c r="N54" s="501"/>
      <c r="O54" s="611"/>
      <c r="P54" s="501"/>
      <c r="Q54" s="501"/>
      <c r="R54" s="501"/>
      <c r="S54" s="501"/>
      <c r="T54" s="645"/>
      <c r="U54" s="501"/>
      <c r="V54" s="611" t="s">
        <v>132</v>
      </c>
      <c r="W54" s="501"/>
      <c r="X54" s="501"/>
      <c r="Y54" s="501"/>
      <c r="Z54" s="501"/>
      <c r="AA54" s="501"/>
      <c r="AB54" s="645"/>
      <c r="AC54" s="501"/>
      <c r="AD54" s="501"/>
      <c r="AE54" s="501"/>
      <c r="AF54" s="501"/>
      <c r="AG54" s="501"/>
      <c r="AH54" s="501"/>
      <c r="AI54" s="501"/>
      <c r="AJ54" s="501"/>
      <c r="AK54" s="501"/>
      <c r="AL54" s="501"/>
      <c r="AM54" s="645"/>
      <c r="AN54" s="501"/>
      <c r="AO54" s="501"/>
      <c r="AP54" s="503">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54" s="498">
        <f>WWWW[[#This Row],[%Equitable and continuous access to sufficient quantity of safe drinking water]]*WWWW[[#This Row],[Total PoP ]]</f>
        <v>0</v>
      </c>
      <c r="AR5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54" s="498">
        <f>WWWW[[#This Row],[% Access to unimproved water points]]*WWWW[[#This Row],[Total PoP ]]</f>
        <v>0</v>
      </c>
      <c r="AT54" s="50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54" s="4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54" s="498">
        <f>WWWW[[#This Row],[HRP1]]/250</f>
        <v>0</v>
      </c>
      <c r="AW54" s="507">
        <f>1-WWWW[[#This Row],[% Equitable and continuous access to sufficient quantity of domestic water]]</f>
        <v>1</v>
      </c>
      <c r="AX54" s="498">
        <f>WWWW[[#This Row],[%equitable and continuous access to sufficient quantity of safe drinking and domestic water''s GAP]]*WWWW[[#This Row],[Total PoP ]]</f>
        <v>3368</v>
      </c>
      <c r="AY54" s="505">
        <f>IF(WWWW[[#This Row],[Total required water points]]-WWWW[[#This Row],['#Water points coverage]]&lt;0,0,WWWW[[#This Row],[Total required water points]]-WWWW[[#This Row],['#Water points coverage]])</f>
        <v>13</v>
      </c>
      <c r="AZ54" s="505">
        <f>ROUND(IF(WWWW[[#This Row],[Total PoP ]]&lt;250,1,WWWW[[#This Row],[Total PoP ]]/250),0)</f>
        <v>13</v>
      </c>
      <c r="BA5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54" s="498">
        <f>WWWW[[#This Row],[% people access to functioning Latrine]]*WWWW[[#This Row],[Total PoP ]]</f>
        <v>0</v>
      </c>
      <c r="BC54" s="421">
        <f>WWWW[[#This Row],['#_of_Functioning_latrines_in_school]]*50</f>
        <v>0</v>
      </c>
      <c r="BD54" s="505">
        <f>ROUND((WWWW[[#This Row],[Total PoP ]]/6),0)</f>
        <v>561</v>
      </c>
      <c r="BE54" s="421">
        <f>IF(WWWW[[#This Row],[Total required Latrines]]-(WWWW[[#This Row],['#_of_sanitary_fly-proof_HH_latrines]])&lt;0,0,WWWW[[#This Row],[Total required Latrines]]-(WWWW[[#This Row],['#_of_sanitary_fly-proof_HH_latrines]]))</f>
        <v>561</v>
      </c>
      <c r="BF54" s="508">
        <f>1-WWWW[[#This Row],[% people access to functioning Latrine]]</f>
        <v>1</v>
      </c>
      <c r="BG54" s="49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54" s="498">
        <f>IF(WWWW[[#This Row],['#_of_functional_handwashing_facilities_at_HH_level]]*6&gt;WWWW[[#This Row],[Total PoP ]],WWWW[[#This Row],[Total PoP ]],WWWW[[#This Row],['#_of_functional_handwashing_facilities_at_HH_level]]*6)</f>
        <v>0</v>
      </c>
      <c r="BI54" s="505">
        <f>IF(WWWW[[#This Row],['# people reached by regular dedicated hygiene promotion]]&gt;WWWW[[#This Row],['# People received regular supply of hygiene items]],WWWW[[#This Row],['# people reached by regular dedicated hygiene promotion]],WWWW[[#This Row],['# People received regular supply of hygiene items]])</f>
        <v>0</v>
      </c>
      <c r="BJ54" s="507">
        <f>IF(WWWW[[#This Row],[HRP3]]/WWWW[[#This Row],[Total PoP ]]&gt;100%,100%,WWWW[[#This Row],[HRP3]]/WWWW[[#This Row],[Total PoP ]])</f>
        <v>0</v>
      </c>
      <c r="BK54" s="506">
        <f>1-WWWW[[#This Row],[Hygiene Coverage%]]</f>
        <v>1</v>
      </c>
      <c r="BL54" s="503">
        <f>WWWW[[#This Row],['# people reached by regular dedicated hygiene promotion]]/WWWW[[#This Row],[Total PoP ]]</f>
        <v>0</v>
      </c>
      <c r="BM54" s="505">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4" s="505">
        <f>WWWW[[#This Row],['#_of_affected_women_and_girls_receiving_a_sufficient_quantity_of_sanitary_pads]]</f>
        <v>0</v>
      </c>
      <c r="BO54" s="501">
        <f>IF(WWWW[[#This Row],['# People with access to soap]]&gt;WWWW[[#This Row],['# People with access to Sanity Pads]],WWWW[[#This Row],['# People with access to soap]],WWWW[[#This Row],['# People with access to Sanity Pads]])</f>
        <v>0</v>
      </c>
      <c r="BP54" s="565" t="str">
        <f>IF(OR(WWWW[[#This Row],['#of students in school]]="",WWWW[[#This Row],['#of students in school]]=0),"No","Yes")</f>
        <v>No</v>
      </c>
      <c r="BQ54" s="504" t="str">
        <f>VLOOKUP(WWWW[[#This Row],[Village  Name]],SiteDB6[[Site Name]:[Location Type 1]],9,FALSE)</f>
        <v>Village</v>
      </c>
      <c r="BR54" s="504" t="str">
        <f>VLOOKUP(WWWW[[#This Row],[Village  Name]],SiteDB6[[Site Name]:[Type of Accommodation]],10,FALSE)</f>
        <v>Village</v>
      </c>
      <c r="BS54" s="504">
        <f>VLOOKUP(WWWW[[#This Row],[Village  Name]],SiteDB6[[Site Name]:[Ethnic or GCA/NGCA]],11,FALSE)</f>
        <v>0</v>
      </c>
      <c r="BT54" s="504">
        <f>VLOOKUP(WWWW[[#This Row],[Village  Name]],SiteDB6[[Site Name]:[Lat]],12,FALSE)</f>
        <v>21.363349914550799</v>
      </c>
      <c r="BU54" s="504">
        <f>VLOOKUP(WWWW[[#This Row],[Village  Name]],SiteDB6[[Site Name]:[Long]],13,FALSE)</f>
        <v>92.280487060546903</v>
      </c>
      <c r="BV54" s="504">
        <f>VLOOKUP(WWWW[[#This Row],[Village  Name]],SiteDB6[[Site Name]:[Pcode]],3,FALSE)</f>
        <v>197800</v>
      </c>
      <c r="BW54" s="502" t="str">
        <f t="shared" si="1"/>
        <v>Covered</v>
      </c>
      <c r="BX54" s="502"/>
      <c r="BY54" s="33"/>
      <c r="CA54"/>
      <c r="CB54" s="33"/>
      <c r="CC54" s="36"/>
      <c r="CE54" s="37"/>
      <c r="CN54" s="20"/>
    </row>
    <row r="55" spans="1:92" hidden="1">
      <c r="A55" s="412" t="s">
        <v>2380</v>
      </c>
      <c r="B55" s="412" t="s">
        <v>1254</v>
      </c>
      <c r="C55" s="496" t="s">
        <v>2727</v>
      </c>
      <c r="D55" s="496"/>
      <c r="E55" s="551" t="s">
        <v>2686</v>
      </c>
      <c r="F55" s="496" t="s">
        <v>307</v>
      </c>
      <c r="G55" s="497" t="str">
        <f>VLOOKUP(WWWW[[#This Row],[Village  Name]],SiteDB6[[Site Name]:[Location Type]],8,FALSE)</f>
        <v>Village</v>
      </c>
      <c r="H55" s="496" t="s">
        <v>2722</v>
      </c>
      <c r="I55" s="510">
        <v>151.19999999999999</v>
      </c>
      <c r="J55" s="510">
        <v>756</v>
      </c>
      <c r="K55" s="499"/>
      <c r="L55" s="500"/>
      <c r="M55" s="501"/>
      <c r="N55" s="501"/>
      <c r="O55" s="611"/>
      <c r="P55" s="501"/>
      <c r="Q55" s="501"/>
      <c r="R55" s="501"/>
      <c r="S55" s="501"/>
      <c r="T55" s="645"/>
      <c r="U55" s="501"/>
      <c r="V55" s="611" t="s">
        <v>132</v>
      </c>
      <c r="W55" s="501"/>
      <c r="X55" s="501"/>
      <c r="Y55" s="501"/>
      <c r="Z55" s="501"/>
      <c r="AA55" s="501"/>
      <c r="AB55" s="645"/>
      <c r="AC55" s="501"/>
      <c r="AD55" s="501"/>
      <c r="AE55" s="501"/>
      <c r="AF55" s="501"/>
      <c r="AG55" s="501"/>
      <c r="AH55" s="501"/>
      <c r="AI55" s="501"/>
      <c r="AJ55" s="501"/>
      <c r="AK55" s="501"/>
      <c r="AL55" s="501"/>
      <c r="AM55" s="645"/>
      <c r="AN55" s="501"/>
      <c r="AO55" s="501"/>
      <c r="AP55" s="503">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55" s="498">
        <f>WWWW[[#This Row],[%Equitable and continuous access to sufficient quantity of safe drinking water]]*WWWW[[#This Row],[Total PoP ]]</f>
        <v>0</v>
      </c>
      <c r="AR5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55" s="498">
        <f>WWWW[[#This Row],[% Access to unimproved water points]]*WWWW[[#This Row],[Total PoP ]]</f>
        <v>0</v>
      </c>
      <c r="AT55" s="50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55" s="4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55" s="498">
        <f>WWWW[[#This Row],[HRP1]]/250</f>
        <v>0</v>
      </c>
      <c r="AW55" s="507">
        <f>1-WWWW[[#This Row],[% Equitable and continuous access to sufficient quantity of domestic water]]</f>
        <v>1</v>
      </c>
      <c r="AX55" s="498">
        <f>WWWW[[#This Row],[%equitable and continuous access to sufficient quantity of safe drinking and domestic water''s GAP]]*WWWW[[#This Row],[Total PoP ]]</f>
        <v>756</v>
      </c>
      <c r="AY55" s="505">
        <f>IF(WWWW[[#This Row],[Total required water points]]-WWWW[[#This Row],['#Water points coverage]]&lt;0,0,WWWW[[#This Row],[Total required water points]]-WWWW[[#This Row],['#Water points coverage]])</f>
        <v>3</v>
      </c>
      <c r="AZ55" s="505">
        <f>ROUND(IF(WWWW[[#This Row],[Total PoP ]]&lt;250,1,WWWW[[#This Row],[Total PoP ]]/250),0)</f>
        <v>3</v>
      </c>
      <c r="BA5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55" s="498">
        <f>WWWW[[#This Row],[% people access to functioning Latrine]]*WWWW[[#This Row],[Total PoP ]]</f>
        <v>0</v>
      </c>
      <c r="BC55" s="421">
        <f>WWWW[[#This Row],['#_of_Functioning_latrines_in_school]]*50</f>
        <v>0</v>
      </c>
      <c r="BD55" s="505">
        <f>ROUND((WWWW[[#This Row],[Total PoP ]]/6),0)</f>
        <v>126</v>
      </c>
      <c r="BE55" s="421">
        <f>IF(WWWW[[#This Row],[Total required Latrines]]-(WWWW[[#This Row],['#_of_sanitary_fly-proof_HH_latrines]])&lt;0,0,WWWW[[#This Row],[Total required Latrines]]-(WWWW[[#This Row],['#_of_sanitary_fly-proof_HH_latrines]]))</f>
        <v>126</v>
      </c>
      <c r="BF55" s="508">
        <f>1-WWWW[[#This Row],[% people access to functioning Latrine]]</f>
        <v>1</v>
      </c>
      <c r="BG55" s="49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55" s="498">
        <f>IF(WWWW[[#This Row],['#_of_functional_handwashing_facilities_at_HH_level]]*6&gt;WWWW[[#This Row],[Total PoP ]],WWWW[[#This Row],[Total PoP ]],WWWW[[#This Row],['#_of_functional_handwashing_facilities_at_HH_level]]*6)</f>
        <v>0</v>
      </c>
      <c r="BI55" s="505">
        <f>IF(WWWW[[#This Row],['# people reached by regular dedicated hygiene promotion]]&gt;WWWW[[#This Row],['# People received regular supply of hygiene items]],WWWW[[#This Row],['# people reached by regular dedicated hygiene promotion]],WWWW[[#This Row],['# People received regular supply of hygiene items]])</f>
        <v>0</v>
      </c>
      <c r="BJ55" s="507">
        <f>IF(WWWW[[#This Row],[HRP3]]/WWWW[[#This Row],[Total PoP ]]&gt;100%,100%,WWWW[[#This Row],[HRP3]]/WWWW[[#This Row],[Total PoP ]])</f>
        <v>0</v>
      </c>
      <c r="BK55" s="506">
        <f>1-WWWW[[#This Row],[Hygiene Coverage%]]</f>
        <v>1</v>
      </c>
      <c r="BL55" s="503">
        <f>WWWW[[#This Row],['# people reached by regular dedicated hygiene promotion]]/WWWW[[#This Row],[Total PoP ]]</f>
        <v>0</v>
      </c>
      <c r="BM55" s="505">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5" s="505">
        <f>WWWW[[#This Row],['#_of_affected_women_and_girls_receiving_a_sufficient_quantity_of_sanitary_pads]]</f>
        <v>0</v>
      </c>
      <c r="BO55" s="501">
        <f>IF(WWWW[[#This Row],['# People with access to soap]]&gt;WWWW[[#This Row],['# People with access to Sanity Pads]],WWWW[[#This Row],['# People with access to soap]],WWWW[[#This Row],['# People with access to Sanity Pads]])</f>
        <v>0</v>
      </c>
      <c r="BP55" s="565" t="str">
        <f>IF(OR(WWWW[[#This Row],['#of students in school]]="",WWWW[[#This Row],['#of students in school]]=0),"No","Yes")</f>
        <v>No</v>
      </c>
      <c r="BQ55" s="504" t="str">
        <f>VLOOKUP(WWWW[[#This Row],[Village  Name]],SiteDB6[[Site Name]:[Location Type 1]],9,FALSE)</f>
        <v>Village</v>
      </c>
      <c r="BR55" s="504" t="str">
        <f>VLOOKUP(WWWW[[#This Row],[Village  Name]],SiteDB6[[Site Name]:[Type of Accommodation]],10,FALSE)</f>
        <v>Village</v>
      </c>
      <c r="BS55" s="504">
        <f>VLOOKUP(WWWW[[#This Row],[Village  Name]],SiteDB6[[Site Name]:[Ethnic or GCA/NGCA]],11,FALSE)</f>
        <v>0</v>
      </c>
      <c r="BT55" s="504">
        <f>VLOOKUP(WWWW[[#This Row],[Village  Name]],SiteDB6[[Site Name]:[Lat]],12,FALSE)</f>
        <v>21.2080974578857</v>
      </c>
      <c r="BU55" s="504">
        <f>VLOOKUP(WWWW[[#This Row],[Village  Name]],SiteDB6[[Site Name]:[Long]],13,FALSE)</f>
        <v>92.308609008789105</v>
      </c>
      <c r="BV55" s="504">
        <f>VLOOKUP(WWWW[[#This Row],[Village  Name]],SiteDB6[[Site Name]:[Pcode]],3,FALSE)</f>
        <v>197841</v>
      </c>
      <c r="BW55" s="502" t="str">
        <f t="shared" si="1"/>
        <v>Covered</v>
      </c>
      <c r="BX55" s="502"/>
      <c r="BY55" s="33"/>
      <c r="CA55"/>
      <c r="CB55" s="33"/>
      <c r="CC55" s="36"/>
      <c r="CE55" s="37"/>
      <c r="CN55" s="20"/>
    </row>
    <row r="56" spans="1:92" hidden="1">
      <c r="A56" s="412" t="s">
        <v>2380</v>
      </c>
      <c r="B56" s="412" t="s">
        <v>1254</v>
      </c>
      <c r="C56" s="496" t="s">
        <v>2727</v>
      </c>
      <c r="D56" s="496"/>
      <c r="E56" s="551" t="s">
        <v>2686</v>
      </c>
      <c r="F56" s="496" t="s">
        <v>307</v>
      </c>
      <c r="G56" s="497" t="str">
        <f>VLOOKUP(WWWW[[#This Row],[Village  Name]],SiteDB6[[Site Name]:[Location Type]],8,FALSE)</f>
        <v>Village</v>
      </c>
      <c r="H56" s="496" t="s">
        <v>565</v>
      </c>
      <c r="I56" s="510">
        <v>104.6</v>
      </c>
      <c r="J56" s="510">
        <v>523</v>
      </c>
      <c r="K56" s="499"/>
      <c r="L56" s="500"/>
      <c r="M56" s="501"/>
      <c r="N56" s="501"/>
      <c r="O56" s="611"/>
      <c r="P56" s="501"/>
      <c r="Q56" s="501"/>
      <c r="R56" s="501"/>
      <c r="S56" s="501"/>
      <c r="T56" s="645"/>
      <c r="U56" s="501"/>
      <c r="V56" s="611" t="s">
        <v>132</v>
      </c>
      <c r="W56" s="501"/>
      <c r="X56" s="501"/>
      <c r="Y56" s="501"/>
      <c r="Z56" s="501"/>
      <c r="AA56" s="501"/>
      <c r="AB56" s="645"/>
      <c r="AC56" s="501"/>
      <c r="AD56" s="501"/>
      <c r="AE56" s="501"/>
      <c r="AF56" s="501"/>
      <c r="AG56" s="501"/>
      <c r="AH56" s="501"/>
      <c r="AI56" s="501"/>
      <c r="AJ56" s="501"/>
      <c r="AK56" s="501"/>
      <c r="AL56" s="501"/>
      <c r="AM56" s="645"/>
      <c r="AN56" s="501"/>
      <c r="AO56" s="501"/>
      <c r="AP56" s="503">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56" s="498">
        <f>WWWW[[#This Row],[%Equitable and continuous access to sufficient quantity of safe drinking water]]*WWWW[[#This Row],[Total PoP ]]</f>
        <v>0</v>
      </c>
      <c r="AR5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56" s="498">
        <f>WWWW[[#This Row],[% Access to unimproved water points]]*WWWW[[#This Row],[Total PoP ]]</f>
        <v>0</v>
      </c>
      <c r="AT56" s="50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56" s="4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56" s="498">
        <f>WWWW[[#This Row],[HRP1]]/250</f>
        <v>0</v>
      </c>
      <c r="AW56" s="507">
        <f>1-WWWW[[#This Row],[% Equitable and continuous access to sufficient quantity of domestic water]]</f>
        <v>1</v>
      </c>
      <c r="AX56" s="498">
        <f>WWWW[[#This Row],[%equitable and continuous access to sufficient quantity of safe drinking and domestic water''s GAP]]*WWWW[[#This Row],[Total PoP ]]</f>
        <v>523</v>
      </c>
      <c r="AY56" s="505">
        <f>IF(WWWW[[#This Row],[Total required water points]]-WWWW[[#This Row],['#Water points coverage]]&lt;0,0,WWWW[[#This Row],[Total required water points]]-WWWW[[#This Row],['#Water points coverage]])</f>
        <v>2</v>
      </c>
      <c r="AZ56" s="505">
        <f>ROUND(IF(WWWW[[#This Row],[Total PoP ]]&lt;250,1,WWWW[[#This Row],[Total PoP ]]/250),0)</f>
        <v>2</v>
      </c>
      <c r="BA5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56" s="498">
        <f>WWWW[[#This Row],[% people access to functioning Latrine]]*WWWW[[#This Row],[Total PoP ]]</f>
        <v>0</v>
      </c>
      <c r="BC56" s="421">
        <f>WWWW[[#This Row],['#_of_Functioning_latrines_in_school]]*50</f>
        <v>0</v>
      </c>
      <c r="BD56" s="505">
        <f>ROUND((WWWW[[#This Row],[Total PoP ]]/6),0)</f>
        <v>87</v>
      </c>
      <c r="BE56" s="421">
        <f>IF(WWWW[[#This Row],[Total required Latrines]]-(WWWW[[#This Row],['#_of_sanitary_fly-proof_HH_latrines]])&lt;0,0,WWWW[[#This Row],[Total required Latrines]]-(WWWW[[#This Row],['#_of_sanitary_fly-proof_HH_latrines]]))</f>
        <v>87</v>
      </c>
      <c r="BF56" s="508">
        <f>1-WWWW[[#This Row],[% people access to functioning Latrine]]</f>
        <v>1</v>
      </c>
      <c r="BG56" s="49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56" s="498">
        <f>IF(WWWW[[#This Row],['#_of_functional_handwashing_facilities_at_HH_level]]*6&gt;WWWW[[#This Row],[Total PoP ]],WWWW[[#This Row],[Total PoP ]],WWWW[[#This Row],['#_of_functional_handwashing_facilities_at_HH_level]]*6)</f>
        <v>0</v>
      </c>
      <c r="BI56" s="505">
        <f>IF(WWWW[[#This Row],['# people reached by regular dedicated hygiene promotion]]&gt;WWWW[[#This Row],['# People received regular supply of hygiene items]],WWWW[[#This Row],['# people reached by regular dedicated hygiene promotion]],WWWW[[#This Row],['# People received regular supply of hygiene items]])</f>
        <v>0</v>
      </c>
      <c r="BJ56" s="507">
        <f>IF(WWWW[[#This Row],[HRP3]]/WWWW[[#This Row],[Total PoP ]]&gt;100%,100%,WWWW[[#This Row],[HRP3]]/WWWW[[#This Row],[Total PoP ]])</f>
        <v>0</v>
      </c>
      <c r="BK56" s="506">
        <f>1-WWWW[[#This Row],[Hygiene Coverage%]]</f>
        <v>1</v>
      </c>
      <c r="BL56" s="503">
        <f>WWWW[[#This Row],['# people reached by regular dedicated hygiene promotion]]/WWWW[[#This Row],[Total PoP ]]</f>
        <v>0</v>
      </c>
      <c r="BM56" s="505">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6" s="505">
        <f>WWWW[[#This Row],['#_of_affected_women_and_girls_receiving_a_sufficient_quantity_of_sanitary_pads]]</f>
        <v>0</v>
      </c>
      <c r="BO56" s="501">
        <f>IF(WWWW[[#This Row],['# People with access to soap]]&gt;WWWW[[#This Row],['# People with access to Sanity Pads]],WWWW[[#This Row],['# People with access to soap]],WWWW[[#This Row],['# People with access to Sanity Pads]])</f>
        <v>0</v>
      </c>
      <c r="BP56" s="565" t="str">
        <f>IF(OR(WWWW[[#This Row],['#of students in school]]="",WWWW[[#This Row],['#of students in school]]=0),"No","Yes")</f>
        <v>No</v>
      </c>
      <c r="BQ56" s="504" t="str">
        <f>VLOOKUP(WWWW[[#This Row],[Village  Name]],SiteDB6[[Site Name]:[Location Type 1]],9,FALSE)</f>
        <v>Village</v>
      </c>
      <c r="BR56" s="504" t="str">
        <f>VLOOKUP(WWWW[[#This Row],[Village  Name]],SiteDB6[[Site Name]:[Type of Accommodation]],10,FALSE)</f>
        <v>Village</v>
      </c>
      <c r="BS56" s="504" t="str">
        <f>VLOOKUP(WWWW[[#This Row],[Village  Name]],SiteDB6[[Site Name]:[Ethnic or GCA/NGCA]],11,FALSE)</f>
        <v>Muslim</v>
      </c>
      <c r="BT56" s="504">
        <f>VLOOKUP(WWWW[[#This Row],[Village  Name]],SiteDB6[[Site Name]:[Lat]],12,FALSE)</f>
        <v>20.71759033</v>
      </c>
      <c r="BU56" s="504">
        <f>VLOOKUP(WWWW[[#This Row],[Village  Name]],SiteDB6[[Site Name]:[Long]],13,FALSE)</f>
        <v>92.426422119999998</v>
      </c>
      <c r="BV56" s="504">
        <f>VLOOKUP(WWWW[[#This Row],[Village  Name]],SiteDB6[[Site Name]:[Pcode]],3,FALSE)</f>
        <v>198045</v>
      </c>
      <c r="BW56" s="502" t="str">
        <f t="shared" si="1"/>
        <v>Covered</v>
      </c>
      <c r="BX56" s="502"/>
      <c r="BY56" s="33"/>
      <c r="CA56"/>
      <c r="CB56" s="33"/>
      <c r="CC56" s="36"/>
      <c r="CE56" s="37"/>
      <c r="CN56" s="20"/>
    </row>
    <row r="57" spans="1:92" hidden="1">
      <c r="A57" s="612" t="s">
        <v>2380</v>
      </c>
      <c r="B57" s="412" t="s">
        <v>2294</v>
      </c>
      <c r="C57" s="418" t="s">
        <v>2294</v>
      </c>
      <c r="D57" s="418" t="s">
        <v>233</v>
      </c>
      <c r="E57" s="551" t="s">
        <v>2687</v>
      </c>
      <c r="F57" s="418" t="s">
        <v>359</v>
      </c>
      <c r="G57" s="551" t="str">
        <f>VLOOKUP(WWWW[[#This Row],[Village  Name]],SiteDB6[[Site Name]:[Location Type]],8,FALSE)</f>
        <v>Village</v>
      </c>
      <c r="H57" s="418" t="s">
        <v>2295</v>
      </c>
      <c r="I57" s="420">
        <v>65</v>
      </c>
      <c r="J57" s="420">
        <v>323</v>
      </c>
      <c r="K57" s="426">
        <v>43540</v>
      </c>
      <c r="L57" s="427">
        <v>43905</v>
      </c>
      <c r="M57" s="420">
        <v>48</v>
      </c>
      <c r="N57" s="420">
        <v>0</v>
      </c>
      <c r="O57" s="611">
        <v>0</v>
      </c>
      <c r="P57" s="611">
        <v>4</v>
      </c>
      <c r="Q57" s="611">
        <v>1</v>
      </c>
      <c r="R57" s="611">
        <v>0</v>
      </c>
      <c r="S57" s="611">
        <v>0</v>
      </c>
      <c r="T57" s="643"/>
      <c r="U57" s="420">
        <v>65</v>
      </c>
      <c r="V57" s="420" t="s">
        <v>128</v>
      </c>
      <c r="W57" s="420">
        <v>0</v>
      </c>
      <c r="X57" s="420">
        <v>0</v>
      </c>
      <c r="Y57" s="420">
        <v>0</v>
      </c>
      <c r="Z57" s="420">
        <v>0</v>
      </c>
      <c r="AA57" s="420">
        <v>0</v>
      </c>
      <c r="AB57" s="642"/>
      <c r="AC57" s="420">
        <v>137</v>
      </c>
      <c r="AD57" s="420">
        <v>32</v>
      </c>
      <c r="AE57" s="420">
        <v>0</v>
      </c>
      <c r="AF57" s="420">
        <v>0</v>
      </c>
      <c r="AG57" s="420">
        <v>0</v>
      </c>
      <c r="AH57" s="420">
        <v>0</v>
      </c>
      <c r="AI57" s="420">
        <v>0</v>
      </c>
      <c r="AJ57" s="420">
        <v>0</v>
      </c>
      <c r="AK57" s="420"/>
      <c r="AL57" s="420"/>
      <c r="AM57" s="642"/>
      <c r="AN57" s="420"/>
      <c r="AO57" s="420"/>
      <c r="AP5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57" s="419">
        <f>WWWW[[#This Row],[%Equitable and continuous access to sufficient quantity of safe drinking water]]*WWWW[[#This Row],[Total PoP ]]</f>
        <v>323</v>
      </c>
      <c r="AR5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57" s="419">
        <f>WWWW[[#This Row],[% Access to unimproved water points]]*WWWW[[#This Row],[Total PoP ]]</f>
        <v>323</v>
      </c>
      <c r="AT5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5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AV57" s="419">
        <f>WWWW[[#This Row],[HRP1]]/250</f>
        <v>1.292</v>
      </c>
      <c r="AW57" s="424">
        <f>1-WWWW[[#This Row],[% Equitable and continuous access to sufficient quantity of domestic water]]</f>
        <v>0</v>
      </c>
      <c r="AX57" s="419">
        <f>WWWW[[#This Row],[%equitable and continuous access to sufficient quantity of safe drinking and domestic water''s GAP]]*WWWW[[#This Row],[Total PoP ]]</f>
        <v>0</v>
      </c>
      <c r="AY57" s="421">
        <f>IF(WWWW[[#This Row],[Total required water points]]-WWWW[[#This Row],['#Water points coverage]]&lt;0,0,WWWW[[#This Row],[Total required water points]]-WWWW[[#This Row],['#Water points coverage]])</f>
        <v>0</v>
      </c>
      <c r="AZ57" s="421">
        <f>ROUND(IF(WWWW[[#This Row],[Total PoP ]]&lt;250,1,WWWW[[#This Row],[Total PoP ]]/250),0)</f>
        <v>1</v>
      </c>
      <c r="BA5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57" s="419">
        <f>WWWW[[#This Row],[% people access to functioning Latrine]]*WWWW[[#This Row],[Total PoP ]]</f>
        <v>323</v>
      </c>
      <c r="BC57" s="421">
        <f>WWWW[[#This Row],['#_of_Functioning_latrines_in_school]]*50</f>
        <v>0</v>
      </c>
      <c r="BD57" s="421">
        <f>ROUND((WWWW[[#This Row],[Total PoP ]]/6),0)</f>
        <v>54</v>
      </c>
      <c r="BE57" s="421">
        <f>IF(WWWW[[#This Row],[Total required Latrines]]-(WWWW[[#This Row],['#_of_sanitary_fly-proof_HH_latrines]])&lt;0,0,WWWW[[#This Row],[Total required Latrines]]-(WWWW[[#This Row],['#_of_sanitary_fly-proof_HH_latrines]]))</f>
        <v>0</v>
      </c>
      <c r="BF57" s="72">
        <f>1-WWWW[[#This Row],[% people access to functioning Latrine]]</f>
        <v>0</v>
      </c>
      <c r="BG5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169</v>
      </c>
      <c r="BH57" s="419">
        <f>IF(WWWW[[#This Row],['#_of_functional_handwashing_facilities_at_HH_level]]*6&gt;WWWW[[#This Row],[Total PoP ]],WWWW[[#This Row],[Total PoP ]],WWWW[[#This Row],['#_of_functional_handwashing_facilities_at_HH_level]]*6)</f>
        <v>0</v>
      </c>
      <c r="BI57" s="421">
        <f>IF(WWWW[[#This Row],['# people reached by regular dedicated hygiene promotion]]&gt;WWWW[[#This Row],['# People received regular supply of hygiene items]],WWWW[[#This Row],['# people reached by regular dedicated hygiene promotion]],WWWW[[#This Row],['# People received regular supply of hygiene items]])</f>
        <v>169</v>
      </c>
      <c r="BJ57" s="424">
        <f>IF(WWWW[[#This Row],[HRP3]]/WWWW[[#This Row],[Total PoP ]]&gt;100%,100%,WWWW[[#This Row],[HRP3]]/WWWW[[#This Row],[Total PoP ]])</f>
        <v>0.52321981424148611</v>
      </c>
      <c r="BK57" s="423">
        <f>1-WWWW[[#This Row],[Hygiene Coverage%]]</f>
        <v>0.47678018575851389</v>
      </c>
      <c r="BL57" s="422">
        <f>WWWW[[#This Row],['# people reached by regular dedicated hygiene promotion]]/WWWW[[#This Row],[Total PoP ]]</f>
        <v>0.52321981424148611</v>
      </c>
      <c r="BM5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7" s="421">
        <f>WWWW[[#This Row],['#_of_affected_women_and_girls_receiving_a_sufficient_quantity_of_sanitary_pads]]</f>
        <v>0</v>
      </c>
      <c r="BO57" s="420">
        <f>IF(WWWW[[#This Row],['# People with access to soap]]&gt;WWWW[[#This Row],['# People with access to Sanity Pads]],WWWW[[#This Row],['# People with access to soap]],WWWW[[#This Row],['# People with access to Sanity Pads]])</f>
        <v>0</v>
      </c>
      <c r="BP57" s="419" t="str">
        <f>IF(OR(WWWW[[#This Row],['#of students in school]]="",WWWW[[#This Row],['#of students in school]]=0),"No","Yes")</f>
        <v>Yes</v>
      </c>
      <c r="BQ57" s="417" t="str">
        <f>VLOOKUP(WWWW[[#This Row],[Village  Name]],SiteDB6[[Site Name]:[Location Type 1]],9,FALSE)</f>
        <v>Village</v>
      </c>
      <c r="BR57" s="417" t="str">
        <f>VLOOKUP(WWWW[[#This Row],[Village  Name]],SiteDB6[[Site Name]:[Type of Accommodation]],10,FALSE)</f>
        <v>Village</v>
      </c>
      <c r="BS57" s="417" t="str">
        <f>VLOOKUP(WWWW[[#This Row],[Village  Name]],SiteDB6[[Site Name]:[Ethnic or GCA/NGCA]],11,FALSE)</f>
        <v>Rakhine</v>
      </c>
      <c r="BT57" s="417">
        <f>VLOOKUP(WWWW[[#This Row],[Village  Name]],SiteDB6[[Site Name]:[Lat]],12,FALSE)</f>
        <v>19.417640689999999</v>
      </c>
      <c r="BU57" s="417">
        <f>VLOOKUP(WWWW[[#This Row],[Village  Name]],SiteDB6[[Site Name]:[Long]],13,FALSE)</f>
        <v>93.565246579999993</v>
      </c>
      <c r="BV57" s="417">
        <f>VLOOKUP(WWWW[[#This Row],[Village  Name]],SiteDB6[[Site Name]:[Pcode]],3,FALSE)</f>
        <v>198464</v>
      </c>
      <c r="BW57" s="425" t="str">
        <f t="shared" si="1"/>
        <v>Covered</v>
      </c>
      <c r="BX57" s="425"/>
      <c r="BY57" s="33"/>
      <c r="CA57"/>
      <c r="CB57" s="33"/>
      <c r="CC57" s="36"/>
      <c r="CE57" s="37"/>
      <c r="CN57" s="20"/>
    </row>
    <row r="58" spans="1:92" hidden="1">
      <c r="A58" s="612" t="s">
        <v>2380</v>
      </c>
      <c r="B58" s="412" t="s">
        <v>2294</v>
      </c>
      <c r="C58" s="418" t="s">
        <v>2294</v>
      </c>
      <c r="D58" s="418" t="s">
        <v>233</v>
      </c>
      <c r="E58" s="551" t="s">
        <v>2687</v>
      </c>
      <c r="F58" s="418" t="s">
        <v>359</v>
      </c>
      <c r="G58" s="551" t="str">
        <f>VLOOKUP(WWWW[[#This Row],[Village  Name]],SiteDB6[[Site Name]:[Location Type]],8,FALSE)</f>
        <v>Village</v>
      </c>
      <c r="H58" s="418" t="s">
        <v>2576</v>
      </c>
      <c r="I58" s="420">
        <v>275</v>
      </c>
      <c r="J58" s="420">
        <v>1018</v>
      </c>
      <c r="K58" s="426">
        <v>43540</v>
      </c>
      <c r="L58" s="427">
        <v>43905</v>
      </c>
      <c r="M58" s="420"/>
      <c r="N58" s="420"/>
      <c r="O58" s="420"/>
      <c r="P58" s="420"/>
      <c r="Q58" s="420"/>
      <c r="R58" s="420"/>
      <c r="S58" s="420"/>
      <c r="T58" s="642"/>
      <c r="U58" s="420"/>
      <c r="V58" s="420" t="s">
        <v>41</v>
      </c>
      <c r="W58" s="420"/>
      <c r="X58" s="420"/>
      <c r="Y58" s="420"/>
      <c r="Z58" s="420"/>
      <c r="AA58" s="420"/>
      <c r="AB58" s="642"/>
      <c r="AC58" s="420">
        <v>0</v>
      </c>
      <c r="AD58" s="420">
        <v>0</v>
      </c>
      <c r="AE58" s="420">
        <v>0</v>
      </c>
      <c r="AF58" s="420">
        <v>0</v>
      </c>
      <c r="AG58" s="420">
        <v>0</v>
      </c>
      <c r="AH58" s="420">
        <v>0</v>
      </c>
      <c r="AI58" s="420">
        <v>0</v>
      </c>
      <c r="AJ58" s="420">
        <v>0</v>
      </c>
      <c r="AK58" s="420"/>
      <c r="AL58" s="420"/>
      <c r="AM58" s="642"/>
      <c r="AN58" s="420"/>
      <c r="AO58" s="420"/>
      <c r="AP5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58" s="419">
        <f>WWWW[[#This Row],[%Equitable and continuous access to sufficient quantity of safe drinking water]]*WWWW[[#This Row],[Total PoP ]]</f>
        <v>0</v>
      </c>
      <c r="AR5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58" s="419">
        <f>WWWW[[#This Row],[% Access to unimproved water points]]*WWWW[[#This Row],[Total PoP ]]</f>
        <v>0</v>
      </c>
      <c r="AT5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5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58" s="419">
        <f>WWWW[[#This Row],[HRP1]]/250</f>
        <v>0</v>
      </c>
      <c r="AW58" s="424">
        <f>1-WWWW[[#This Row],[% Equitable and continuous access to sufficient quantity of domestic water]]</f>
        <v>1</v>
      </c>
      <c r="AX58" s="419">
        <f>WWWW[[#This Row],[%equitable and continuous access to sufficient quantity of safe drinking and domestic water''s GAP]]*WWWW[[#This Row],[Total PoP ]]</f>
        <v>1018</v>
      </c>
      <c r="AY58" s="421">
        <f>IF(WWWW[[#This Row],[Total required water points]]-WWWW[[#This Row],['#Water points coverage]]&lt;0,0,WWWW[[#This Row],[Total required water points]]-WWWW[[#This Row],['#Water points coverage]])</f>
        <v>4</v>
      </c>
      <c r="AZ58" s="421">
        <f>ROUND(IF(WWWW[[#This Row],[Total PoP ]]&lt;250,1,WWWW[[#This Row],[Total PoP ]]/250),0)</f>
        <v>4</v>
      </c>
      <c r="BA5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58" s="419">
        <f>WWWW[[#This Row],[% people access to functioning Latrine]]*WWWW[[#This Row],[Total PoP ]]</f>
        <v>0</v>
      </c>
      <c r="BC58" s="421">
        <f>WWWW[[#This Row],['#_of_Functioning_latrines_in_school]]*50</f>
        <v>0</v>
      </c>
      <c r="BD58" s="421">
        <f>ROUND((WWWW[[#This Row],[Total PoP ]]/6),0)</f>
        <v>170</v>
      </c>
      <c r="BE58" s="421">
        <f>IF(WWWW[[#This Row],[Total required Latrines]]-(WWWW[[#This Row],['#_of_sanitary_fly-proof_HH_latrines]])&lt;0,0,WWWW[[#This Row],[Total required Latrines]]-(WWWW[[#This Row],['#_of_sanitary_fly-proof_HH_latrines]]))</f>
        <v>170</v>
      </c>
      <c r="BF58" s="72">
        <f>1-WWWW[[#This Row],[% people access to functioning Latrine]]</f>
        <v>1</v>
      </c>
      <c r="BG5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58" s="419">
        <f>IF(WWWW[[#This Row],['#_of_functional_handwashing_facilities_at_HH_level]]*6&gt;WWWW[[#This Row],[Total PoP ]],WWWW[[#This Row],[Total PoP ]],WWWW[[#This Row],['#_of_functional_handwashing_facilities_at_HH_level]]*6)</f>
        <v>0</v>
      </c>
      <c r="BI58" s="421">
        <f>IF(WWWW[[#This Row],['# people reached by regular dedicated hygiene promotion]]&gt;WWWW[[#This Row],['# People received regular supply of hygiene items]],WWWW[[#This Row],['# people reached by regular dedicated hygiene promotion]],WWWW[[#This Row],['# People received regular supply of hygiene items]])</f>
        <v>0</v>
      </c>
      <c r="BJ58" s="424">
        <f>IF(WWWW[[#This Row],[HRP3]]/WWWW[[#This Row],[Total PoP ]]&gt;100%,100%,WWWW[[#This Row],[HRP3]]/WWWW[[#This Row],[Total PoP ]])</f>
        <v>0</v>
      </c>
      <c r="BK58" s="423">
        <f>1-WWWW[[#This Row],[Hygiene Coverage%]]</f>
        <v>1</v>
      </c>
      <c r="BL58" s="422">
        <f>WWWW[[#This Row],['# people reached by regular dedicated hygiene promotion]]/WWWW[[#This Row],[Total PoP ]]</f>
        <v>0</v>
      </c>
      <c r="BM5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8" s="421">
        <f>WWWW[[#This Row],['#_of_affected_women_and_girls_receiving_a_sufficient_quantity_of_sanitary_pads]]</f>
        <v>0</v>
      </c>
      <c r="BO58" s="420">
        <f>IF(WWWW[[#This Row],['# People with access to soap]]&gt;WWWW[[#This Row],['# People with access to Sanity Pads]],WWWW[[#This Row],['# People with access to soap]],WWWW[[#This Row],['# People with access to Sanity Pads]])</f>
        <v>0</v>
      </c>
      <c r="BP58" s="419" t="str">
        <f>IF(OR(WWWW[[#This Row],['#of students in school]]="",WWWW[[#This Row],['#of students in school]]=0),"No","Yes")</f>
        <v>No</v>
      </c>
      <c r="BQ58" s="417" t="str">
        <f>VLOOKUP(WWWW[[#This Row],[Village  Name]],SiteDB6[[Site Name]:[Location Type 1]],9,FALSE)</f>
        <v>Village</v>
      </c>
      <c r="BR58" s="417" t="str">
        <f>VLOOKUP(WWWW[[#This Row],[Village  Name]],SiteDB6[[Site Name]:[Type of Accommodation]],10,FALSE)</f>
        <v>Village</v>
      </c>
      <c r="BS58" s="417" t="str">
        <f>VLOOKUP(WWWW[[#This Row],[Village  Name]],SiteDB6[[Site Name]:[Ethnic or GCA/NGCA]],11,FALSE)</f>
        <v>Rakhine</v>
      </c>
      <c r="BT58" s="417">
        <f>VLOOKUP(WWWW[[#This Row],[Village  Name]],SiteDB6[[Site Name]:[Lat]],12,FALSE)</f>
        <v>0</v>
      </c>
      <c r="BU58" s="417">
        <f>VLOOKUP(WWWW[[#This Row],[Village  Name]],SiteDB6[[Site Name]:[Long]],13,FALSE)</f>
        <v>0</v>
      </c>
      <c r="BV58" s="417">
        <f>VLOOKUP(WWWW[[#This Row],[Village  Name]],SiteDB6[[Site Name]:[Pcode]],3,FALSE)</f>
        <v>198475</v>
      </c>
      <c r="BW58" s="425" t="str">
        <f t="shared" si="1"/>
        <v>Covered</v>
      </c>
      <c r="BX58" s="425"/>
      <c r="BY58" s="33"/>
      <c r="CA58"/>
      <c r="CB58" s="33"/>
      <c r="CC58" s="36"/>
      <c r="CE58" s="37"/>
      <c r="CN58" s="20"/>
    </row>
    <row r="59" spans="1:92" hidden="1">
      <c r="A59" s="612" t="s">
        <v>2380</v>
      </c>
      <c r="B59" s="412" t="s">
        <v>2294</v>
      </c>
      <c r="C59" s="418" t="s">
        <v>2294</v>
      </c>
      <c r="D59" s="418" t="s">
        <v>233</v>
      </c>
      <c r="E59" s="551" t="s">
        <v>2687</v>
      </c>
      <c r="F59" s="418" t="s">
        <v>359</v>
      </c>
      <c r="G59" s="551" t="str">
        <f>VLOOKUP(WWWW[[#This Row],[Village  Name]],SiteDB6[[Site Name]:[Location Type]],8,FALSE)</f>
        <v>Village</v>
      </c>
      <c r="H59" s="418" t="s">
        <v>2577</v>
      </c>
      <c r="I59" s="420">
        <v>76</v>
      </c>
      <c r="J59" s="420">
        <v>276</v>
      </c>
      <c r="K59" s="426">
        <v>43540</v>
      </c>
      <c r="L59" s="427">
        <v>43905</v>
      </c>
      <c r="M59" s="420"/>
      <c r="N59" s="420"/>
      <c r="O59" s="420"/>
      <c r="P59" s="420"/>
      <c r="Q59" s="420"/>
      <c r="R59" s="420"/>
      <c r="S59" s="420"/>
      <c r="T59" s="642"/>
      <c r="U59" s="420"/>
      <c r="V59" s="420" t="s">
        <v>41</v>
      </c>
      <c r="W59" s="420"/>
      <c r="X59" s="420"/>
      <c r="Y59" s="420"/>
      <c r="Z59" s="420"/>
      <c r="AA59" s="420"/>
      <c r="AB59" s="642"/>
      <c r="AC59" s="420">
        <v>0</v>
      </c>
      <c r="AD59" s="420">
        <v>0</v>
      </c>
      <c r="AE59" s="420">
        <v>0</v>
      </c>
      <c r="AF59" s="420">
        <v>0</v>
      </c>
      <c r="AG59" s="420">
        <v>0</v>
      </c>
      <c r="AH59" s="420">
        <v>0</v>
      </c>
      <c r="AI59" s="420">
        <v>0</v>
      </c>
      <c r="AJ59" s="420">
        <v>0</v>
      </c>
      <c r="AK59" s="420"/>
      <c r="AL59" s="420"/>
      <c r="AM59" s="642"/>
      <c r="AN59" s="420"/>
      <c r="AO59" s="420"/>
      <c r="AP5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59" s="419">
        <f>WWWW[[#This Row],[%Equitable and continuous access to sufficient quantity of safe drinking water]]*WWWW[[#This Row],[Total PoP ]]</f>
        <v>0</v>
      </c>
      <c r="AR5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59" s="419">
        <f>WWWW[[#This Row],[% Access to unimproved water points]]*WWWW[[#This Row],[Total PoP ]]</f>
        <v>0</v>
      </c>
      <c r="AT5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5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59" s="419">
        <f>WWWW[[#This Row],[HRP1]]/250</f>
        <v>0</v>
      </c>
      <c r="AW59" s="424">
        <f>1-WWWW[[#This Row],[% Equitable and continuous access to sufficient quantity of domestic water]]</f>
        <v>1</v>
      </c>
      <c r="AX59" s="419">
        <f>WWWW[[#This Row],[%equitable and continuous access to sufficient quantity of safe drinking and domestic water''s GAP]]*WWWW[[#This Row],[Total PoP ]]</f>
        <v>276</v>
      </c>
      <c r="AY59" s="421">
        <f>IF(WWWW[[#This Row],[Total required water points]]-WWWW[[#This Row],['#Water points coverage]]&lt;0,0,WWWW[[#This Row],[Total required water points]]-WWWW[[#This Row],['#Water points coverage]])</f>
        <v>1</v>
      </c>
      <c r="AZ59" s="421">
        <f>ROUND(IF(WWWW[[#This Row],[Total PoP ]]&lt;250,1,WWWW[[#This Row],[Total PoP ]]/250),0)</f>
        <v>1</v>
      </c>
      <c r="BA5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59" s="419">
        <f>WWWW[[#This Row],[% people access to functioning Latrine]]*WWWW[[#This Row],[Total PoP ]]</f>
        <v>0</v>
      </c>
      <c r="BC59" s="421">
        <f>WWWW[[#This Row],['#_of_Functioning_latrines_in_school]]*50</f>
        <v>0</v>
      </c>
      <c r="BD59" s="421">
        <f>ROUND((WWWW[[#This Row],[Total PoP ]]/6),0)</f>
        <v>46</v>
      </c>
      <c r="BE59" s="421">
        <f>IF(WWWW[[#This Row],[Total required Latrines]]-(WWWW[[#This Row],['#_of_sanitary_fly-proof_HH_latrines]])&lt;0,0,WWWW[[#This Row],[Total required Latrines]]-(WWWW[[#This Row],['#_of_sanitary_fly-proof_HH_latrines]]))</f>
        <v>46</v>
      </c>
      <c r="BF59" s="72">
        <f>1-WWWW[[#This Row],[% people access to functioning Latrine]]</f>
        <v>1</v>
      </c>
      <c r="BG5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59" s="419">
        <f>IF(WWWW[[#This Row],['#_of_functional_handwashing_facilities_at_HH_level]]*6&gt;WWWW[[#This Row],[Total PoP ]],WWWW[[#This Row],[Total PoP ]],WWWW[[#This Row],['#_of_functional_handwashing_facilities_at_HH_level]]*6)</f>
        <v>0</v>
      </c>
      <c r="BI59" s="421">
        <f>IF(WWWW[[#This Row],['# people reached by regular dedicated hygiene promotion]]&gt;WWWW[[#This Row],['# People received regular supply of hygiene items]],WWWW[[#This Row],['# people reached by regular dedicated hygiene promotion]],WWWW[[#This Row],['# People received regular supply of hygiene items]])</f>
        <v>0</v>
      </c>
      <c r="BJ59" s="424">
        <f>IF(WWWW[[#This Row],[HRP3]]/WWWW[[#This Row],[Total PoP ]]&gt;100%,100%,WWWW[[#This Row],[HRP3]]/WWWW[[#This Row],[Total PoP ]])</f>
        <v>0</v>
      </c>
      <c r="BK59" s="423">
        <f>1-WWWW[[#This Row],[Hygiene Coverage%]]</f>
        <v>1</v>
      </c>
      <c r="BL59" s="422">
        <f>WWWW[[#This Row],['# people reached by regular dedicated hygiene promotion]]/WWWW[[#This Row],[Total PoP ]]</f>
        <v>0</v>
      </c>
      <c r="BM5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59" s="421">
        <f>WWWW[[#This Row],['#_of_affected_women_and_girls_receiving_a_sufficient_quantity_of_sanitary_pads]]</f>
        <v>0</v>
      </c>
      <c r="BO59" s="420">
        <f>IF(WWWW[[#This Row],['# People with access to soap]]&gt;WWWW[[#This Row],['# People with access to Sanity Pads]],WWWW[[#This Row],['# People with access to soap]],WWWW[[#This Row],['# People with access to Sanity Pads]])</f>
        <v>0</v>
      </c>
      <c r="BP59" s="419" t="str">
        <f>IF(OR(WWWW[[#This Row],['#of students in school]]="",WWWW[[#This Row],['#of students in school]]=0),"No","Yes")</f>
        <v>No</v>
      </c>
      <c r="BQ59" s="417" t="str">
        <f>VLOOKUP(WWWW[[#This Row],[Village  Name]],SiteDB6[[Site Name]:[Location Type 1]],9,FALSE)</f>
        <v>Village</v>
      </c>
      <c r="BR59" s="417" t="str">
        <f>VLOOKUP(WWWW[[#This Row],[Village  Name]],SiteDB6[[Site Name]:[Type of Accommodation]],10,FALSE)</f>
        <v>Village</v>
      </c>
      <c r="BS59" s="417" t="str">
        <f>VLOOKUP(WWWW[[#This Row],[Village  Name]],SiteDB6[[Site Name]:[Ethnic or GCA/NGCA]],11,FALSE)</f>
        <v>Rakhine</v>
      </c>
      <c r="BT59" s="417">
        <f>VLOOKUP(WWWW[[#This Row],[Village  Name]],SiteDB6[[Site Name]:[Lat]],12,FALSE)</f>
        <v>0</v>
      </c>
      <c r="BU59" s="417">
        <f>VLOOKUP(WWWW[[#This Row],[Village  Name]],SiteDB6[[Site Name]:[Long]],13,FALSE)</f>
        <v>0</v>
      </c>
      <c r="BV59" s="417">
        <f>VLOOKUP(WWWW[[#This Row],[Village  Name]],SiteDB6[[Site Name]:[Pcode]],3,FALSE)</f>
        <v>198476</v>
      </c>
      <c r="BW59" s="425" t="str">
        <f t="shared" si="1"/>
        <v>Covered</v>
      </c>
      <c r="BX59" s="425"/>
      <c r="BY59" s="33"/>
      <c r="CA59"/>
      <c r="CB59" s="33"/>
      <c r="CC59" s="36"/>
      <c r="CE59" s="37"/>
      <c r="CN59" s="20"/>
    </row>
    <row r="60" spans="1:92" hidden="1">
      <c r="A60" s="612" t="s">
        <v>2380</v>
      </c>
      <c r="B60" s="412" t="s">
        <v>2294</v>
      </c>
      <c r="C60" s="418" t="s">
        <v>2294</v>
      </c>
      <c r="D60" s="418" t="s">
        <v>233</v>
      </c>
      <c r="E60" s="551" t="s">
        <v>2687</v>
      </c>
      <c r="F60" s="418" t="s">
        <v>359</v>
      </c>
      <c r="G60" s="551" t="str">
        <f>VLOOKUP(WWWW[[#This Row],[Village  Name]],SiteDB6[[Site Name]:[Location Type]],8,FALSE)</f>
        <v>Village</v>
      </c>
      <c r="H60" s="418" t="s">
        <v>2578</v>
      </c>
      <c r="I60" s="420">
        <v>251</v>
      </c>
      <c r="J60" s="420">
        <v>970</v>
      </c>
      <c r="K60" s="426">
        <v>43540</v>
      </c>
      <c r="L60" s="427">
        <v>43905</v>
      </c>
      <c r="M60" s="420"/>
      <c r="N60" s="420"/>
      <c r="O60" s="420"/>
      <c r="P60" s="420"/>
      <c r="Q60" s="420"/>
      <c r="R60" s="420"/>
      <c r="S60" s="420"/>
      <c r="T60" s="642"/>
      <c r="U60" s="420"/>
      <c r="V60" s="420" t="s">
        <v>41</v>
      </c>
      <c r="W60" s="420">
        <v>5</v>
      </c>
      <c r="X60" s="420"/>
      <c r="Y60" s="420"/>
      <c r="Z60" s="420"/>
      <c r="AA60" s="420"/>
      <c r="AB60" s="642"/>
      <c r="AC60" s="420">
        <v>0</v>
      </c>
      <c r="AD60" s="420">
        <v>0</v>
      </c>
      <c r="AE60" s="420">
        <v>0</v>
      </c>
      <c r="AF60" s="420">
        <v>0</v>
      </c>
      <c r="AG60" s="420">
        <v>0</v>
      </c>
      <c r="AH60" s="420">
        <v>0</v>
      </c>
      <c r="AI60" s="420">
        <v>0</v>
      </c>
      <c r="AJ60" s="420">
        <v>0</v>
      </c>
      <c r="AK60" s="420"/>
      <c r="AL60" s="420"/>
      <c r="AM60" s="642"/>
      <c r="AN60" s="420"/>
      <c r="AO60" s="420"/>
      <c r="AP6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0" s="419">
        <f>WWWW[[#This Row],[%Equitable and continuous access to sufficient quantity of safe drinking water]]*WWWW[[#This Row],[Total PoP ]]</f>
        <v>0</v>
      </c>
      <c r="AR6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60" s="419">
        <f>WWWW[[#This Row],[% Access to unimproved water points]]*WWWW[[#This Row],[Total PoP ]]</f>
        <v>0</v>
      </c>
      <c r="AT6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6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60" s="419">
        <f>WWWW[[#This Row],[HRP1]]/250</f>
        <v>0</v>
      </c>
      <c r="AW60" s="424">
        <f>1-WWWW[[#This Row],[% Equitable and continuous access to sufficient quantity of domestic water]]</f>
        <v>1</v>
      </c>
      <c r="AX60" s="419">
        <f>WWWW[[#This Row],[%equitable and continuous access to sufficient quantity of safe drinking and domestic water''s GAP]]*WWWW[[#This Row],[Total PoP ]]</f>
        <v>970</v>
      </c>
      <c r="AY60" s="421">
        <f>IF(WWWW[[#This Row],[Total required water points]]-WWWW[[#This Row],['#Water points coverage]]&lt;0,0,WWWW[[#This Row],[Total required water points]]-WWWW[[#This Row],['#Water points coverage]])</f>
        <v>4</v>
      </c>
      <c r="AZ60" s="421">
        <f>ROUND(IF(WWWW[[#This Row],[Total PoP ]]&lt;250,1,WWWW[[#This Row],[Total PoP ]]/250),0)</f>
        <v>4</v>
      </c>
      <c r="BA6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0.25773195876288657</v>
      </c>
      <c r="BB60" s="419">
        <f>WWWW[[#This Row],[% people access to functioning Latrine]]*WWWW[[#This Row],[Total PoP ]]</f>
        <v>249.99999999999997</v>
      </c>
      <c r="BC60" s="421">
        <f>WWWW[[#This Row],['#_of_Functioning_latrines_in_school]]*50</f>
        <v>250</v>
      </c>
      <c r="BD60" s="421">
        <f>ROUND((WWWW[[#This Row],[Total PoP ]]/6),0)</f>
        <v>162</v>
      </c>
      <c r="BE60" s="421">
        <f>IF(WWWW[[#This Row],[Total required Latrines]]-(WWWW[[#This Row],['#_of_sanitary_fly-proof_HH_latrines]])&lt;0,0,WWWW[[#This Row],[Total required Latrines]]-(WWWW[[#This Row],['#_of_sanitary_fly-proof_HH_latrines]]))</f>
        <v>162</v>
      </c>
      <c r="BF60" s="72">
        <f>1-WWWW[[#This Row],[% people access to functioning Latrine]]</f>
        <v>0.74226804123711343</v>
      </c>
      <c r="BG6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60" s="419">
        <f>IF(WWWW[[#This Row],['#_of_functional_handwashing_facilities_at_HH_level]]*6&gt;WWWW[[#This Row],[Total PoP ]],WWWW[[#This Row],[Total PoP ]],WWWW[[#This Row],['#_of_functional_handwashing_facilities_at_HH_level]]*6)</f>
        <v>0</v>
      </c>
      <c r="BI60" s="421">
        <f>IF(WWWW[[#This Row],['# people reached by regular dedicated hygiene promotion]]&gt;WWWW[[#This Row],['# People received regular supply of hygiene items]],WWWW[[#This Row],['# people reached by regular dedicated hygiene promotion]],WWWW[[#This Row],['# People received regular supply of hygiene items]])</f>
        <v>0</v>
      </c>
      <c r="BJ60" s="424">
        <f>IF(WWWW[[#This Row],[HRP3]]/WWWW[[#This Row],[Total PoP ]]&gt;100%,100%,WWWW[[#This Row],[HRP3]]/WWWW[[#This Row],[Total PoP ]])</f>
        <v>0</v>
      </c>
      <c r="BK60" s="423">
        <f>1-WWWW[[#This Row],[Hygiene Coverage%]]</f>
        <v>1</v>
      </c>
      <c r="BL60" s="422">
        <f>WWWW[[#This Row],['# people reached by regular dedicated hygiene promotion]]/WWWW[[#This Row],[Total PoP ]]</f>
        <v>0</v>
      </c>
      <c r="BM6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0" s="421">
        <f>WWWW[[#This Row],['#_of_affected_women_and_girls_receiving_a_sufficient_quantity_of_sanitary_pads]]</f>
        <v>0</v>
      </c>
      <c r="BO60" s="420">
        <f>IF(WWWW[[#This Row],['# People with access to soap]]&gt;WWWW[[#This Row],['# People with access to Sanity Pads]],WWWW[[#This Row],['# People with access to soap]],WWWW[[#This Row],['# People with access to Sanity Pads]])</f>
        <v>0</v>
      </c>
      <c r="BP60" s="419" t="str">
        <f>IF(OR(WWWW[[#This Row],['#of students in school]]="",WWWW[[#This Row],['#of students in school]]=0),"No","Yes")</f>
        <v>No</v>
      </c>
      <c r="BQ60" s="417" t="str">
        <f>VLOOKUP(WWWW[[#This Row],[Village  Name]],SiteDB6[[Site Name]:[Location Type 1]],9,FALSE)</f>
        <v>Village</v>
      </c>
      <c r="BR60" s="417" t="str">
        <f>VLOOKUP(WWWW[[#This Row],[Village  Name]],SiteDB6[[Site Name]:[Type of Accommodation]],10,FALSE)</f>
        <v>Village</v>
      </c>
      <c r="BS60" s="417" t="str">
        <f>VLOOKUP(WWWW[[#This Row],[Village  Name]],SiteDB6[[Site Name]:[Ethnic or GCA/NGCA]],11,FALSE)</f>
        <v>Rakhine</v>
      </c>
      <c r="BT60" s="417">
        <f>VLOOKUP(WWWW[[#This Row],[Village  Name]],SiteDB6[[Site Name]:[Lat]],12,FALSE)</f>
        <v>0</v>
      </c>
      <c r="BU60" s="417">
        <f>VLOOKUP(WWWW[[#This Row],[Village  Name]],SiteDB6[[Site Name]:[Long]],13,FALSE)</f>
        <v>0</v>
      </c>
      <c r="BV60" s="417">
        <f>VLOOKUP(WWWW[[#This Row],[Village  Name]],SiteDB6[[Site Name]:[Pcode]],3,FALSE)</f>
        <v>198508</v>
      </c>
      <c r="BW60" s="425" t="str">
        <f t="shared" si="1"/>
        <v>Covered</v>
      </c>
      <c r="BX60" s="425"/>
      <c r="BY60" s="33"/>
      <c r="CA60"/>
      <c r="CB60" s="33"/>
      <c r="CC60" s="36"/>
      <c r="CE60" s="37"/>
      <c r="CN60" s="20"/>
    </row>
    <row r="61" spans="1:92" hidden="1">
      <c r="A61" s="612" t="s">
        <v>2380</v>
      </c>
      <c r="B61" s="412" t="s">
        <v>2294</v>
      </c>
      <c r="C61" s="418" t="s">
        <v>2294</v>
      </c>
      <c r="D61" s="418" t="s">
        <v>233</v>
      </c>
      <c r="E61" s="551" t="s">
        <v>2687</v>
      </c>
      <c r="F61" s="418" t="s">
        <v>359</v>
      </c>
      <c r="G61" s="551" t="str">
        <f>VLOOKUP(WWWW[[#This Row],[Village  Name]],SiteDB6[[Site Name]:[Location Type]],8,FALSE)</f>
        <v>Village</v>
      </c>
      <c r="H61" s="418" t="s">
        <v>2579</v>
      </c>
      <c r="I61" s="420">
        <v>152</v>
      </c>
      <c r="J61" s="420">
        <v>864</v>
      </c>
      <c r="K61" s="426">
        <v>43540</v>
      </c>
      <c r="L61" s="427">
        <v>43905</v>
      </c>
      <c r="M61" s="420"/>
      <c r="N61" s="420"/>
      <c r="O61" s="420"/>
      <c r="P61" s="420"/>
      <c r="Q61" s="420"/>
      <c r="R61" s="420"/>
      <c r="S61" s="420"/>
      <c r="T61" s="642"/>
      <c r="U61" s="420"/>
      <c r="V61" s="420" t="s">
        <v>41</v>
      </c>
      <c r="W61" s="420"/>
      <c r="X61" s="420"/>
      <c r="Y61" s="420"/>
      <c r="Z61" s="420"/>
      <c r="AA61" s="420"/>
      <c r="AB61" s="642"/>
      <c r="AC61" s="420">
        <v>0</v>
      </c>
      <c r="AD61" s="420">
        <v>0</v>
      </c>
      <c r="AE61" s="420">
        <v>0</v>
      </c>
      <c r="AF61" s="420">
        <v>0</v>
      </c>
      <c r="AG61" s="420">
        <v>0</v>
      </c>
      <c r="AH61" s="420">
        <v>0</v>
      </c>
      <c r="AI61" s="420">
        <v>0</v>
      </c>
      <c r="AJ61" s="420">
        <v>0</v>
      </c>
      <c r="AK61" s="420"/>
      <c r="AL61" s="420"/>
      <c r="AM61" s="642"/>
      <c r="AN61" s="420"/>
      <c r="AO61" s="420"/>
      <c r="AP6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1" s="419">
        <f>WWWW[[#This Row],[%Equitable and continuous access to sufficient quantity of safe drinking water]]*WWWW[[#This Row],[Total PoP ]]</f>
        <v>0</v>
      </c>
      <c r="AR6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61" s="419">
        <f>WWWW[[#This Row],[% Access to unimproved water points]]*WWWW[[#This Row],[Total PoP ]]</f>
        <v>0</v>
      </c>
      <c r="AT6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6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61" s="419">
        <f>WWWW[[#This Row],[HRP1]]/250</f>
        <v>0</v>
      </c>
      <c r="AW61" s="424">
        <f>1-WWWW[[#This Row],[% Equitable and continuous access to sufficient quantity of domestic water]]</f>
        <v>1</v>
      </c>
      <c r="AX61" s="419">
        <f>WWWW[[#This Row],[%equitable and continuous access to sufficient quantity of safe drinking and domestic water''s GAP]]*WWWW[[#This Row],[Total PoP ]]</f>
        <v>864</v>
      </c>
      <c r="AY61" s="421">
        <f>IF(WWWW[[#This Row],[Total required water points]]-WWWW[[#This Row],['#Water points coverage]]&lt;0,0,WWWW[[#This Row],[Total required water points]]-WWWW[[#This Row],['#Water points coverage]])</f>
        <v>3</v>
      </c>
      <c r="AZ61" s="421">
        <f>ROUND(IF(WWWW[[#This Row],[Total PoP ]]&lt;250,1,WWWW[[#This Row],[Total PoP ]]/250),0)</f>
        <v>3</v>
      </c>
      <c r="BA6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61" s="419">
        <f>WWWW[[#This Row],[% people access to functioning Latrine]]*WWWW[[#This Row],[Total PoP ]]</f>
        <v>0</v>
      </c>
      <c r="BC61" s="421">
        <f>WWWW[[#This Row],['#_of_Functioning_latrines_in_school]]*50</f>
        <v>0</v>
      </c>
      <c r="BD61" s="421">
        <f>ROUND((WWWW[[#This Row],[Total PoP ]]/6),0)</f>
        <v>144</v>
      </c>
      <c r="BE61" s="421">
        <f>IF(WWWW[[#This Row],[Total required Latrines]]-(WWWW[[#This Row],['#_of_sanitary_fly-proof_HH_latrines]])&lt;0,0,WWWW[[#This Row],[Total required Latrines]]-(WWWW[[#This Row],['#_of_sanitary_fly-proof_HH_latrines]]))</f>
        <v>144</v>
      </c>
      <c r="BF61" s="72">
        <f>1-WWWW[[#This Row],[% people access to functioning Latrine]]</f>
        <v>1</v>
      </c>
      <c r="BG6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61" s="419">
        <f>IF(WWWW[[#This Row],['#_of_functional_handwashing_facilities_at_HH_level]]*6&gt;WWWW[[#This Row],[Total PoP ]],WWWW[[#This Row],[Total PoP ]],WWWW[[#This Row],['#_of_functional_handwashing_facilities_at_HH_level]]*6)</f>
        <v>0</v>
      </c>
      <c r="BI61" s="421">
        <f>IF(WWWW[[#This Row],['# people reached by regular dedicated hygiene promotion]]&gt;WWWW[[#This Row],['# People received regular supply of hygiene items]],WWWW[[#This Row],['# people reached by regular dedicated hygiene promotion]],WWWW[[#This Row],['# People received regular supply of hygiene items]])</f>
        <v>0</v>
      </c>
      <c r="BJ61" s="424">
        <f>IF(WWWW[[#This Row],[HRP3]]/WWWW[[#This Row],[Total PoP ]]&gt;100%,100%,WWWW[[#This Row],[HRP3]]/WWWW[[#This Row],[Total PoP ]])</f>
        <v>0</v>
      </c>
      <c r="BK61" s="423">
        <f>1-WWWW[[#This Row],[Hygiene Coverage%]]</f>
        <v>1</v>
      </c>
      <c r="BL61" s="422">
        <f>WWWW[[#This Row],['# people reached by regular dedicated hygiene promotion]]/WWWW[[#This Row],[Total PoP ]]</f>
        <v>0</v>
      </c>
      <c r="BM6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1" s="421">
        <f>WWWW[[#This Row],['#_of_affected_women_and_girls_receiving_a_sufficient_quantity_of_sanitary_pads]]</f>
        <v>0</v>
      </c>
      <c r="BO61" s="420">
        <f>IF(WWWW[[#This Row],['# People with access to soap]]&gt;WWWW[[#This Row],['# People with access to Sanity Pads]],WWWW[[#This Row],['# People with access to soap]],WWWW[[#This Row],['# People with access to Sanity Pads]])</f>
        <v>0</v>
      </c>
      <c r="BP61" s="419" t="str">
        <f>IF(OR(WWWW[[#This Row],['#of students in school]]="",WWWW[[#This Row],['#of students in school]]=0),"No","Yes")</f>
        <v>No</v>
      </c>
      <c r="BQ61" s="417" t="str">
        <f>VLOOKUP(WWWW[[#This Row],[Village  Name]],SiteDB6[[Site Name]:[Location Type 1]],9,FALSE)</f>
        <v>Village</v>
      </c>
      <c r="BR61" s="417" t="str">
        <f>VLOOKUP(WWWW[[#This Row],[Village  Name]],SiteDB6[[Site Name]:[Type of Accommodation]],10,FALSE)</f>
        <v>Village</v>
      </c>
      <c r="BS61" s="417" t="str">
        <f>VLOOKUP(WWWW[[#This Row],[Village  Name]],SiteDB6[[Site Name]:[Ethnic or GCA/NGCA]],11,FALSE)</f>
        <v>Rakhine</v>
      </c>
      <c r="BT61" s="417">
        <f>VLOOKUP(WWWW[[#This Row],[Village  Name]],SiteDB6[[Site Name]:[Lat]],12,FALSE)</f>
        <v>0</v>
      </c>
      <c r="BU61" s="417">
        <f>VLOOKUP(WWWW[[#This Row],[Village  Name]],SiteDB6[[Site Name]:[Long]],13,FALSE)</f>
        <v>0</v>
      </c>
      <c r="BV61" s="417">
        <f>VLOOKUP(WWWW[[#This Row],[Village  Name]],SiteDB6[[Site Name]:[Pcode]],3,FALSE)</f>
        <v>198667</v>
      </c>
      <c r="BW61" s="425" t="str">
        <f t="shared" si="1"/>
        <v>Covered</v>
      </c>
      <c r="BX61" s="425"/>
      <c r="BY61" s="33"/>
      <c r="CA61"/>
      <c r="CB61" s="33"/>
      <c r="CC61" s="36"/>
      <c r="CE61" s="37"/>
      <c r="CN61" s="20"/>
    </row>
    <row r="62" spans="1:92" hidden="1">
      <c r="A62" s="412" t="s">
        <v>2380</v>
      </c>
      <c r="B62" s="412" t="s">
        <v>336</v>
      </c>
      <c r="C62" s="418" t="s">
        <v>336</v>
      </c>
      <c r="D62" s="418" t="s">
        <v>329</v>
      </c>
      <c r="E62" s="551" t="s">
        <v>2687</v>
      </c>
      <c r="F62" s="418" t="s">
        <v>404</v>
      </c>
      <c r="G62" s="551" t="str">
        <f>VLOOKUP(WWWW[[#This Row],[Village  Name]],SiteDB6[[Site Name]:[Location Type]],8,FALSE)</f>
        <v>Village</v>
      </c>
      <c r="H62" s="418" t="s">
        <v>2592</v>
      </c>
      <c r="I62" s="420">
        <v>74</v>
      </c>
      <c r="J62" s="420">
        <v>427</v>
      </c>
      <c r="K62" s="426"/>
      <c r="L62" s="427">
        <v>44439</v>
      </c>
      <c r="M62" s="420">
        <v>81</v>
      </c>
      <c r="N62" s="420"/>
      <c r="O62" s="420"/>
      <c r="P62" s="420"/>
      <c r="Q62" s="420">
        <v>1</v>
      </c>
      <c r="R62" s="420"/>
      <c r="S62" s="420"/>
      <c r="T62" s="642"/>
      <c r="U62" s="420"/>
      <c r="V62" s="420" t="s">
        <v>128</v>
      </c>
      <c r="W62" s="420">
        <v>1</v>
      </c>
      <c r="X62" s="420"/>
      <c r="Y62" s="420"/>
      <c r="Z62" s="420"/>
      <c r="AA62" s="420"/>
      <c r="AB62" s="642"/>
      <c r="AC62" s="420"/>
      <c r="AD62" s="420"/>
      <c r="AE62" s="420"/>
      <c r="AF62" s="420"/>
      <c r="AG62" s="420"/>
      <c r="AH62" s="420"/>
      <c r="AI62" s="420"/>
      <c r="AJ62" s="420"/>
      <c r="AK62" s="420"/>
      <c r="AL62" s="420"/>
      <c r="AM62" s="642"/>
      <c r="AN62" s="420"/>
      <c r="AO62" s="420"/>
      <c r="AP6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2" s="419">
        <f>WWWW[[#This Row],[%Equitable and continuous access to sufficient quantity of safe drinking water]]*WWWW[[#This Row],[Total PoP ]]</f>
        <v>0</v>
      </c>
      <c r="AR6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62" s="419">
        <f>WWWW[[#This Row],[% Access to unimproved water points]]*WWWW[[#This Row],[Total PoP ]]</f>
        <v>427</v>
      </c>
      <c r="AT6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6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427</v>
      </c>
      <c r="AV62" s="419">
        <f>WWWW[[#This Row],[HRP1]]/250</f>
        <v>1.708</v>
      </c>
      <c r="AW62" s="424">
        <f>1-WWWW[[#This Row],[% Equitable and continuous access to sufficient quantity of domestic water]]</f>
        <v>0</v>
      </c>
      <c r="AX62" s="419">
        <f>WWWW[[#This Row],[%equitable and continuous access to sufficient quantity of safe drinking and domestic water''s GAP]]*WWWW[[#This Row],[Total PoP ]]</f>
        <v>0</v>
      </c>
      <c r="AY62" s="421">
        <f>IF(WWWW[[#This Row],[Total required water points]]-WWWW[[#This Row],['#Water points coverage]]&lt;0,0,WWWW[[#This Row],[Total required water points]]-WWWW[[#This Row],['#Water points coverage]])</f>
        <v>0.29200000000000004</v>
      </c>
      <c r="AZ62" s="421">
        <f>ROUND(IF(WWWW[[#This Row],[Total PoP ]]&lt;250,1,WWWW[[#This Row],[Total PoP ]]/250),0)</f>
        <v>2</v>
      </c>
      <c r="BA6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0.117096018735363</v>
      </c>
      <c r="BB62" s="419">
        <f>WWWW[[#This Row],[% people access to functioning Latrine]]*WWWW[[#This Row],[Total PoP ]]</f>
        <v>50</v>
      </c>
      <c r="BC62" s="421">
        <f>WWWW[[#This Row],['#_of_Functioning_latrines_in_school]]*50</f>
        <v>50</v>
      </c>
      <c r="BD62" s="421">
        <f>ROUND((WWWW[[#This Row],[Total PoP ]]/6),0)</f>
        <v>71</v>
      </c>
      <c r="BE62" s="421">
        <f>IF(WWWW[[#This Row],[Total required Latrines]]-(WWWW[[#This Row],['#_of_sanitary_fly-proof_HH_latrines]])&lt;0,0,WWWW[[#This Row],[Total required Latrines]]-(WWWW[[#This Row],['#_of_sanitary_fly-proof_HH_latrines]]))</f>
        <v>71</v>
      </c>
      <c r="BF62" s="72">
        <f>1-WWWW[[#This Row],[% people access to functioning Latrine]]</f>
        <v>0.88290398126463698</v>
      </c>
      <c r="BG6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62" s="419">
        <f>IF(WWWW[[#This Row],['#_of_functional_handwashing_facilities_at_HH_level]]*6&gt;WWWW[[#This Row],[Total PoP ]],WWWW[[#This Row],[Total PoP ]],WWWW[[#This Row],['#_of_functional_handwashing_facilities_at_HH_level]]*6)</f>
        <v>0</v>
      </c>
      <c r="BI62" s="421">
        <f>IF(WWWW[[#This Row],['# people reached by regular dedicated hygiene promotion]]&gt;WWWW[[#This Row],['# People received regular supply of hygiene items]],WWWW[[#This Row],['# people reached by regular dedicated hygiene promotion]],WWWW[[#This Row],['# People received regular supply of hygiene items]])</f>
        <v>0</v>
      </c>
      <c r="BJ62" s="424">
        <f>IF(WWWW[[#This Row],[HRP3]]/WWWW[[#This Row],[Total PoP ]]&gt;100%,100%,WWWW[[#This Row],[HRP3]]/WWWW[[#This Row],[Total PoP ]])</f>
        <v>0</v>
      </c>
      <c r="BK62" s="423">
        <f>1-WWWW[[#This Row],[Hygiene Coverage%]]</f>
        <v>1</v>
      </c>
      <c r="BL62" s="422">
        <f>WWWW[[#This Row],['# people reached by regular dedicated hygiene promotion]]/WWWW[[#This Row],[Total PoP ]]</f>
        <v>0</v>
      </c>
      <c r="BM6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2" s="421">
        <f>WWWW[[#This Row],['#_of_affected_women_and_girls_receiving_a_sufficient_quantity_of_sanitary_pads]]</f>
        <v>0</v>
      </c>
      <c r="BO62" s="420">
        <f>IF(WWWW[[#This Row],['# People with access to soap]]&gt;WWWW[[#This Row],['# People with access to Sanity Pads]],WWWW[[#This Row],['# People with access to soap]],WWWW[[#This Row],['# People with access to Sanity Pads]])</f>
        <v>0</v>
      </c>
      <c r="BP62" s="419" t="str">
        <f>IF(OR(WWWW[[#This Row],['#of students in school]]="",WWWW[[#This Row],['#of students in school]]=0),"No","Yes")</f>
        <v>Yes</v>
      </c>
      <c r="BQ62" s="417" t="str">
        <f>VLOOKUP(WWWW[[#This Row],[Village  Name]],SiteDB6[[Site Name]:[Location Type 1]],9,FALSE)</f>
        <v>Village</v>
      </c>
      <c r="BR62" s="417" t="str">
        <f>VLOOKUP(WWWW[[#This Row],[Village  Name]],SiteDB6[[Site Name]:[Type of Accommodation]],10,FALSE)</f>
        <v>Village</v>
      </c>
      <c r="BS62" s="417" t="str">
        <f>VLOOKUP(WWWW[[#This Row],[Village  Name]],SiteDB6[[Site Name]:[Ethnic or GCA/NGCA]],11,FALSE)</f>
        <v>Rakhine</v>
      </c>
      <c r="BT62" s="417">
        <f>VLOOKUP(WWWW[[#This Row],[Village  Name]],SiteDB6[[Site Name]:[Lat]],12,FALSE)</f>
        <v>0</v>
      </c>
      <c r="BU62" s="417">
        <f>VLOOKUP(WWWW[[#This Row],[Village  Name]],SiteDB6[[Site Name]:[Long]],13,FALSE)</f>
        <v>0</v>
      </c>
      <c r="BV62" s="417">
        <f>VLOOKUP(WWWW[[#This Row],[Village  Name]],SiteDB6[[Site Name]:[Pcode]],3,FALSE)</f>
        <v>197461</v>
      </c>
      <c r="BW62" s="425" t="str">
        <f t="shared" ref="BW62:BW76" si="2">IF(C62="none","Notcovered","Covered")</f>
        <v>Covered</v>
      </c>
      <c r="BX62" s="425"/>
      <c r="BY62" s="33"/>
      <c r="CA62"/>
      <c r="CB62" s="33"/>
      <c r="CC62" s="36"/>
      <c r="CE62" s="37"/>
      <c r="CN62" s="20"/>
    </row>
    <row r="63" spans="1:92" hidden="1">
      <c r="A63" s="412" t="s">
        <v>2380</v>
      </c>
      <c r="B63" s="412" t="s">
        <v>336</v>
      </c>
      <c r="C63" s="418" t="s">
        <v>336</v>
      </c>
      <c r="D63" s="418" t="s">
        <v>329</v>
      </c>
      <c r="E63" s="551" t="s">
        <v>2687</v>
      </c>
      <c r="F63" s="418" t="s">
        <v>404</v>
      </c>
      <c r="G63" s="551" t="str">
        <f>VLOOKUP(WWWW[[#This Row],[Village  Name]],SiteDB6[[Site Name]:[Location Type]],8,FALSE)</f>
        <v>Village</v>
      </c>
      <c r="H63" s="418" t="s">
        <v>2584</v>
      </c>
      <c r="I63" s="420">
        <v>211</v>
      </c>
      <c r="J63" s="420">
        <v>1006</v>
      </c>
      <c r="K63" s="426"/>
      <c r="L63" s="427">
        <v>44439</v>
      </c>
      <c r="M63" s="420">
        <v>143</v>
      </c>
      <c r="N63" s="420"/>
      <c r="O63" s="420"/>
      <c r="P63" s="420"/>
      <c r="Q63" s="420">
        <v>1</v>
      </c>
      <c r="R63" s="420"/>
      <c r="S63" s="420"/>
      <c r="T63" s="642"/>
      <c r="U63" s="420"/>
      <c r="V63" s="420" t="s">
        <v>128</v>
      </c>
      <c r="W63" s="420">
        <v>2</v>
      </c>
      <c r="X63" s="420"/>
      <c r="Y63" s="420"/>
      <c r="Z63" s="420"/>
      <c r="AA63" s="420"/>
      <c r="AB63" s="642"/>
      <c r="AC63" s="420"/>
      <c r="AD63" s="420"/>
      <c r="AE63" s="420"/>
      <c r="AF63" s="420"/>
      <c r="AG63" s="420"/>
      <c r="AH63" s="420"/>
      <c r="AI63" s="420"/>
      <c r="AJ63" s="420"/>
      <c r="AK63" s="420"/>
      <c r="AL63" s="420"/>
      <c r="AM63" s="642"/>
      <c r="AN63" s="420"/>
      <c r="AO63" s="420"/>
      <c r="AP6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3" s="419">
        <f>WWWW[[#This Row],[%Equitable and continuous access to sufficient quantity of safe drinking water]]*WWWW[[#This Row],[Total PoP ]]</f>
        <v>0</v>
      </c>
      <c r="AR6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63" s="419">
        <f>WWWW[[#This Row],[% Access to unimproved water points]]*WWWW[[#This Row],[Total PoP ]]</f>
        <v>1006</v>
      </c>
      <c r="AT6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6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1006</v>
      </c>
      <c r="AV63" s="419">
        <f>WWWW[[#This Row],[HRP1]]/250</f>
        <v>4.024</v>
      </c>
      <c r="AW63" s="424">
        <f>1-WWWW[[#This Row],[% Equitable and continuous access to sufficient quantity of domestic water]]</f>
        <v>0</v>
      </c>
      <c r="AX63" s="419">
        <f>WWWW[[#This Row],[%equitable and continuous access to sufficient quantity of safe drinking and domestic water''s GAP]]*WWWW[[#This Row],[Total PoP ]]</f>
        <v>0</v>
      </c>
      <c r="AY63" s="421">
        <f>IF(WWWW[[#This Row],[Total required water points]]-WWWW[[#This Row],['#Water points coverage]]&lt;0,0,WWWW[[#This Row],[Total required water points]]-WWWW[[#This Row],['#Water points coverage]])</f>
        <v>0</v>
      </c>
      <c r="AZ63" s="421">
        <f>ROUND(IF(WWWW[[#This Row],[Total PoP ]]&lt;250,1,WWWW[[#This Row],[Total PoP ]]/250),0)</f>
        <v>4</v>
      </c>
      <c r="BA6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9.9403578528827044E-2</v>
      </c>
      <c r="BB63" s="419">
        <f>WWWW[[#This Row],[% people access to functioning Latrine]]*WWWW[[#This Row],[Total PoP ]]</f>
        <v>100</v>
      </c>
      <c r="BC63" s="421">
        <f>WWWW[[#This Row],['#_of_Functioning_latrines_in_school]]*50</f>
        <v>100</v>
      </c>
      <c r="BD63" s="421">
        <f>ROUND((WWWW[[#This Row],[Total PoP ]]/6),0)</f>
        <v>168</v>
      </c>
      <c r="BE63" s="421">
        <f>IF(WWWW[[#This Row],[Total required Latrines]]-(WWWW[[#This Row],['#_of_sanitary_fly-proof_HH_latrines]])&lt;0,0,WWWW[[#This Row],[Total required Latrines]]-(WWWW[[#This Row],['#_of_sanitary_fly-proof_HH_latrines]]))</f>
        <v>168</v>
      </c>
      <c r="BF63" s="72">
        <f>1-WWWW[[#This Row],[% people access to functioning Latrine]]</f>
        <v>0.90059642147117291</v>
      </c>
      <c r="BG6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63" s="419">
        <f>IF(WWWW[[#This Row],['#_of_functional_handwashing_facilities_at_HH_level]]*6&gt;WWWW[[#This Row],[Total PoP ]],WWWW[[#This Row],[Total PoP ]],WWWW[[#This Row],['#_of_functional_handwashing_facilities_at_HH_level]]*6)</f>
        <v>0</v>
      </c>
      <c r="BI63" s="421">
        <f>IF(WWWW[[#This Row],['# people reached by regular dedicated hygiene promotion]]&gt;WWWW[[#This Row],['# People received regular supply of hygiene items]],WWWW[[#This Row],['# people reached by regular dedicated hygiene promotion]],WWWW[[#This Row],['# People received regular supply of hygiene items]])</f>
        <v>0</v>
      </c>
      <c r="BJ63" s="424">
        <f>IF(WWWW[[#This Row],[HRP3]]/WWWW[[#This Row],[Total PoP ]]&gt;100%,100%,WWWW[[#This Row],[HRP3]]/WWWW[[#This Row],[Total PoP ]])</f>
        <v>0</v>
      </c>
      <c r="BK63" s="423">
        <f>1-WWWW[[#This Row],[Hygiene Coverage%]]</f>
        <v>1</v>
      </c>
      <c r="BL63" s="422">
        <f>WWWW[[#This Row],['# people reached by regular dedicated hygiene promotion]]/WWWW[[#This Row],[Total PoP ]]</f>
        <v>0</v>
      </c>
      <c r="BM6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3" s="421">
        <f>WWWW[[#This Row],['#_of_affected_women_and_girls_receiving_a_sufficient_quantity_of_sanitary_pads]]</f>
        <v>0</v>
      </c>
      <c r="BO63" s="420">
        <f>IF(WWWW[[#This Row],['# People with access to soap]]&gt;WWWW[[#This Row],['# People with access to Sanity Pads]],WWWW[[#This Row],['# People with access to soap]],WWWW[[#This Row],['# People with access to Sanity Pads]])</f>
        <v>0</v>
      </c>
      <c r="BP63" s="419" t="str">
        <f>IF(OR(WWWW[[#This Row],['#of students in school]]="",WWWW[[#This Row],['#of students in school]]=0),"No","Yes")</f>
        <v>Yes</v>
      </c>
      <c r="BQ63" s="417" t="str">
        <f>VLOOKUP(WWWW[[#This Row],[Village  Name]],SiteDB6[[Site Name]:[Location Type 1]],9,FALSE)</f>
        <v>Village</v>
      </c>
      <c r="BR63" s="417" t="str">
        <f>VLOOKUP(WWWW[[#This Row],[Village  Name]],SiteDB6[[Site Name]:[Type of Accommodation]],10,FALSE)</f>
        <v>Village</v>
      </c>
      <c r="BS63" s="417" t="str">
        <f>VLOOKUP(WWWW[[#This Row],[Village  Name]],SiteDB6[[Site Name]:[Ethnic or GCA/NGCA]],11,FALSE)</f>
        <v>Rakhine</v>
      </c>
      <c r="BT63" s="417">
        <f>VLOOKUP(WWWW[[#This Row],[Village  Name]],SiteDB6[[Site Name]:[Lat]],12,FALSE)</f>
        <v>0</v>
      </c>
      <c r="BU63" s="417">
        <f>VLOOKUP(WWWW[[#This Row],[Village  Name]],SiteDB6[[Site Name]:[Long]],13,FALSE)</f>
        <v>0</v>
      </c>
      <c r="BV63" s="417">
        <f>VLOOKUP(WWWW[[#This Row],[Village  Name]],SiteDB6[[Site Name]:[Pcode]],3,FALSE)</f>
        <v>197441</v>
      </c>
      <c r="BW63" s="425" t="str">
        <f t="shared" si="2"/>
        <v>Covered</v>
      </c>
      <c r="BX63" s="425"/>
      <c r="BY63" s="33"/>
      <c r="CA63"/>
      <c r="CB63" s="33"/>
      <c r="CC63" s="36"/>
      <c r="CE63" s="37"/>
      <c r="CN63" s="20"/>
    </row>
    <row r="64" spans="1:92" hidden="1">
      <c r="A64" s="412" t="s">
        <v>2380</v>
      </c>
      <c r="B64" s="412" t="s">
        <v>336</v>
      </c>
      <c r="C64" s="418" t="s">
        <v>336</v>
      </c>
      <c r="D64" s="418" t="s">
        <v>329</v>
      </c>
      <c r="E64" s="551" t="s">
        <v>2687</v>
      </c>
      <c r="F64" s="418" t="s">
        <v>404</v>
      </c>
      <c r="G64" s="551" t="str">
        <f>VLOOKUP(WWWW[[#This Row],[Village  Name]],SiteDB6[[Site Name]:[Location Type]],8,FALSE)</f>
        <v>Village</v>
      </c>
      <c r="H64" s="418" t="s">
        <v>2583</v>
      </c>
      <c r="I64" s="420">
        <v>169</v>
      </c>
      <c r="J64" s="420">
        <v>776</v>
      </c>
      <c r="K64" s="426"/>
      <c r="L64" s="427">
        <v>44439</v>
      </c>
      <c r="M64" s="420">
        <v>114</v>
      </c>
      <c r="N64" s="420"/>
      <c r="O64" s="420"/>
      <c r="P64" s="420"/>
      <c r="Q64" s="420">
        <v>1</v>
      </c>
      <c r="R64" s="420"/>
      <c r="S64" s="420"/>
      <c r="T64" s="642"/>
      <c r="U64" s="420"/>
      <c r="V64" s="420" t="s">
        <v>128</v>
      </c>
      <c r="W64" s="420">
        <v>2</v>
      </c>
      <c r="X64" s="420"/>
      <c r="Y64" s="420"/>
      <c r="Z64" s="420"/>
      <c r="AA64" s="420"/>
      <c r="AB64" s="642"/>
      <c r="AC64" s="420"/>
      <c r="AD64" s="420"/>
      <c r="AE64" s="420"/>
      <c r="AF64" s="420"/>
      <c r="AG64" s="420"/>
      <c r="AH64" s="420"/>
      <c r="AI64" s="420"/>
      <c r="AJ64" s="420"/>
      <c r="AK64" s="420"/>
      <c r="AL64" s="420"/>
      <c r="AM64" s="642"/>
      <c r="AN64" s="420"/>
      <c r="AO64" s="420"/>
      <c r="AP6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4" s="419">
        <f>WWWW[[#This Row],[%Equitable and continuous access to sufficient quantity of safe drinking water]]*WWWW[[#This Row],[Total PoP ]]</f>
        <v>0</v>
      </c>
      <c r="AR6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64" s="419">
        <f>WWWW[[#This Row],[% Access to unimproved water points]]*WWWW[[#This Row],[Total PoP ]]</f>
        <v>776</v>
      </c>
      <c r="AT6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6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776</v>
      </c>
      <c r="AV64" s="419">
        <f>WWWW[[#This Row],[HRP1]]/250</f>
        <v>3.1040000000000001</v>
      </c>
      <c r="AW64" s="424">
        <f>1-WWWW[[#This Row],[% Equitable and continuous access to sufficient quantity of domestic water]]</f>
        <v>0</v>
      </c>
      <c r="AX64" s="419">
        <f>WWWW[[#This Row],[%equitable and continuous access to sufficient quantity of safe drinking and domestic water''s GAP]]*WWWW[[#This Row],[Total PoP ]]</f>
        <v>0</v>
      </c>
      <c r="AY64" s="421">
        <f>IF(WWWW[[#This Row],[Total required water points]]-WWWW[[#This Row],['#Water points coverage]]&lt;0,0,WWWW[[#This Row],[Total required water points]]-WWWW[[#This Row],['#Water points coverage]])</f>
        <v>0</v>
      </c>
      <c r="AZ64" s="421">
        <f>ROUND(IF(WWWW[[#This Row],[Total PoP ]]&lt;250,1,WWWW[[#This Row],[Total PoP ]]/250),0)</f>
        <v>3</v>
      </c>
      <c r="BA6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0.12886597938144329</v>
      </c>
      <c r="BB64" s="419">
        <f>WWWW[[#This Row],[% people access to functioning Latrine]]*WWWW[[#This Row],[Total PoP ]]</f>
        <v>99.999999999999986</v>
      </c>
      <c r="BC64" s="421">
        <f>WWWW[[#This Row],['#_of_Functioning_latrines_in_school]]*50</f>
        <v>100</v>
      </c>
      <c r="BD64" s="421">
        <f>ROUND((WWWW[[#This Row],[Total PoP ]]/6),0)</f>
        <v>129</v>
      </c>
      <c r="BE64" s="421">
        <f>IF(WWWW[[#This Row],[Total required Latrines]]-(WWWW[[#This Row],['#_of_sanitary_fly-proof_HH_latrines]])&lt;0,0,WWWW[[#This Row],[Total required Latrines]]-(WWWW[[#This Row],['#_of_sanitary_fly-proof_HH_latrines]]))</f>
        <v>129</v>
      </c>
      <c r="BF64" s="72">
        <f>1-WWWW[[#This Row],[% people access to functioning Latrine]]</f>
        <v>0.87113402061855671</v>
      </c>
      <c r="BG6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64" s="419">
        <f>IF(WWWW[[#This Row],['#_of_functional_handwashing_facilities_at_HH_level]]*6&gt;WWWW[[#This Row],[Total PoP ]],WWWW[[#This Row],[Total PoP ]],WWWW[[#This Row],['#_of_functional_handwashing_facilities_at_HH_level]]*6)</f>
        <v>0</v>
      </c>
      <c r="BI64" s="421">
        <f>IF(WWWW[[#This Row],['# people reached by regular dedicated hygiene promotion]]&gt;WWWW[[#This Row],['# People received regular supply of hygiene items]],WWWW[[#This Row],['# people reached by regular dedicated hygiene promotion]],WWWW[[#This Row],['# People received regular supply of hygiene items]])</f>
        <v>0</v>
      </c>
      <c r="BJ64" s="424">
        <f>IF(WWWW[[#This Row],[HRP3]]/WWWW[[#This Row],[Total PoP ]]&gt;100%,100%,WWWW[[#This Row],[HRP3]]/WWWW[[#This Row],[Total PoP ]])</f>
        <v>0</v>
      </c>
      <c r="BK64" s="423">
        <f>1-WWWW[[#This Row],[Hygiene Coverage%]]</f>
        <v>1</v>
      </c>
      <c r="BL64" s="422">
        <f>WWWW[[#This Row],['# people reached by regular dedicated hygiene promotion]]/WWWW[[#This Row],[Total PoP ]]</f>
        <v>0</v>
      </c>
      <c r="BM6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4" s="421">
        <f>WWWW[[#This Row],['#_of_affected_women_and_girls_receiving_a_sufficient_quantity_of_sanitary_pads]]</f>
        <v>0</v>
      </c>
      <c r="BO64" s="420">
        <f>IF(WWWW[[#This Row],['# People with access to soap]]&gt;WWWW[[#This Row],['# People with access to Sanity Pads]],WWWW[[#This Row],['# People with access to soap]],WWWW[[#This Row],['# People with access to Sanity Pads]])</f>
        <v>0</v>
      </c>
      <c r="BP64" s="419" t="str">
        <f>IF(OR(WWWW[[#This Row],['#of students in school]]="",WWWW[[#This Row],['#of students in school]]=0),"No","Yes")</f>
        <v>Yes</v>
      </c>
      <c r="BQ64" s="417" t="str">
        <f>VLOOKUP(WWWW[[#This Row],[Village  Name]],SiteDB6[[Site Name]:[Location Type 1]],9,FALSE)</f>
        <v>Village</v>
      </c>
      <c r="BR64" s="417" t="str">
        <f>VLOOKUP(WWWW[[#This Row],[Village  Name]],SiteDB6[[Site Name]:[Type of Accommodation]],10,FALSE)</f>
        <v>Village</v>
      </c>
      <c r="BS64" s="417" t="str">
        <f>VLOOKUP(WWWW[[#This Row],[Village  Name]],SiteDB6[[Site Name]:[Ethnic or GCA/NGCA]],11,FALSE)</f>
        <v>Rakhine</v>
      </c>
      <c r="BT64" s="417">
        <f>VLOOKUP(WWWW[[#This Row],[Village  Name]],SiteDB6[[Site Name]:[Lat]],12,FALSE)</f>
        <v>0</v>
      </c>
      <c r="BU64" s="417">
        <f>VLOOKUP(WWWW[[#This Row],[Village  Name]],SiteDB6[[Site Name]:[Long]],13,FALSE)</f>
        <v>0</v>
      </c>
      <c r="BV64" s="417">
        <f>VLOOKUP(WWWW[[#This Row],[Village  Name]],SiteDB6[[Site Name]:[Pcode]],3,FALSE)</f>
        <v>197450</v>
      </c>
      <c r="BW64" s="425" t="str">
        <f t="shared" si="2"/>
        <v>Covered</v>
      </c>
      <c r="BX64" s="425"/>
      <c r="BY64" s="33"/>
      <c r="CA64"/>
      <c r="CB64" s="33"/>
      <c r="CC64" s="36"/>
      <c r="CE64" s="37"/>
      <c r="CN64" s="20"/>
    </row>
    <row r="65" spans="1:92" hidden="1">
      <c r="A65" s="412" t="s">
        <v>2380</v>
      </c>
      <c r="B65" s="412" t="s">
        <v>336</v>
      </c>
      <c r="C65" s="418" t="s">
        <v>336</v>
      </c>
      <c r="D65" s="418" t="s">
        <v>329</v>
      </c>
      <c r="E65" s="551" t="s">
        <v>2687</v>
      </c>
      <c r="F65" s="418" t="s">
        <v>404</v>
      </c>
      <c r="G65" s="551" t="str">
        <f>VLOOKUP(WWWW[[#This Row],[Village  Name]],SiteDB6[[Site Name]:[Location Type]],8,FALSE)</f>
        <v>Village</v>
      </c>
      <c r="H65" s="418" t="s">
        <v>2593</v>
      </c>
      <c r="I65" s="420">
        <v>50</v>
      </c>
      <c r="J65" s="420">
        <v>265</v>
      </c>
      <c r="K65" s="426"/>
      <c r="L65" s="427">
        <v>44439</v>
      </c>
      <c r="M65" s="420">
        <v>0</v>
      </c>
      <c r="N65" s="420"/>
      <c r="O65" s="420"/>
      <c r="P65" s="420"/>
      <c r="Q65" s="420">
        <v>1</v>
      </c>
      <c r="R65" s="420"/>
      <c r="S65" s="420"/>
      <c r="T65" s="642"/>
      <c r="U65" s="420"/>
      <c r="V65" s="611" t="s">
        <v>132</v>
      </c>
      <c r="W65" s="420"/>
      <c r="X65" s="420"/>
      <c r="Y65" s="420"/>
      <c r="Z65" s="420"/>
      <c r="AA65" s="420"/>
      <c r="AB65" s="642"/>
      <c r="AC65" s="420"/>
      <c r="AD65" s="420"/>
      <c r="AE65" s="420"/>
      <c r="AF65" s="420"/>
      <c r="AG65" s="420"/>
      <c r="AH65" s="420"/>
      <c r="AI65" s="420"/>
      <c r="AJ65" s="420"/>
      <c r="AK65" s="420"/>
      <c r="AL65" s="420"/>
      <c r="AM65" s="642"/>
      <c r="AN65" s="420"/>
      <c r="AO65" s="420"/>
      <c r="AP6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5" s="419">
        <f>WWWW[[#This Row],[%Equitable and continuous access to sufficient quantity of safe drinking water]]*WWWW[[#This Row],[Total PoP ]]</f>
        <v>0</v>
      </c>
      <c r="AR6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65" s="419">
        <f>WWWW[[#This Row],[% Access to unimproved water points]]*WWWW[[#This Row],[Total PoP ]]</f>
        <v>265</v>
      </c>
      <c r="AT6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6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v>
      </c>
      <c r="AV65" s="419">
        <f>WWWW[[#This Row],[HRP1]]/250</f>
        <v>1.06</v>
      </c>
      <c r="AW65" s="424">
        <f>1-WWWW[[#This Row],[% Equitable and continuous access to sufficient quantity of domestic water]]</f>
        <v>0</v>
      </c>
      <c r="AX65" s="419">
        <f>WWWW[[#This Row],[%equitable and continuous access to sufficient quantity of safe drinking and domestic water''s GAP]]*WWWW[[#This Row],[Total PoP ]]</f>
        <v>0</v>
      </c>
      <c r="AY65" s="421">
        <f>IF(WWWW[[#This Row],[Total required water points]]-WWWW[[#This Row],['#Water points coverage]]&lt;0,0,WWWW[[#This Row],[Total required water points]]-WWWW[[#This Row],['#Water points coverage]])</f>
        <v>0</v>
      </c>
      <c r="AZ65" s="421">
        <f>ROUND(IF(WWWW[[#This Row],[Total PoP ]]&lt;250,1,WWWW[[#This Row],[Total PoP ]]/250),0)</f>
        <v>1</v>
      </c>
      <c r="BA6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65" s="419">
        <f>WWWW[[#This Row],[% people access to functioning Latrine]]*WWWW[[#This Row],[Total PoP ]]</f>
        <v>0</v>
      </c>
      <c r="BC65" s="421">
        <f>WWWW[[#This Row],['#_of_Functioning_latrines_in_school]]*50</f>
        <v>0</v>
      </c>
      <c r="BD65" s="421">
        <f>ROUND((WWWW[[#This Row],[Total PoP ]]/6),0)</f>
        <v>44</v>
      </c>
      <c r="BE65" s="421">
        <f>IF(WWWW[[#This Row],[Total required Latrines]]-(WWWW[[#This Row],['#_of_sanitary_fly-proof_HH_latrines]])&lt;0,0,WWWW[[#This Row],[Total required Latrines]]-(WWWW[[#This Row],['#_of_sanitary_fly-proof_HH_latrines]]))</f>
        <v>44</v>
      </c>
      <c r="BF65" s="72">
        <f>1-WWWW[[#This Row],[% people access to functioning Latrine]]</f>
        <v>1</v>
      </c>
      <c r="BG6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65" s="419">
        <f>IF(WWWW[[#This Row],['#_of_functional_handwashing_facilities_at_HH_level]]*6&gt;WWWW[[#This Row],[Total PoP ]],WWWW[[#This Row],[Total PoP ]],WWWW[[#This Row],['#_of_functional_handwashing_facilities_at_HH_level]]*6)</f>
        <v>0</v>
      </c>
      <c r="BI65" s="421">
        <f>IF(WWWW[[#This Row],['# people reached by regular dedicated hygiene promotion]]&gt;WWWW[[#This Row],['# People received regular supply of hygiene items]],WWWW[[#This Row],['# people reached by regular dedicated hygiene promotion]],WWWW[[#This Row],['# People received regular supply of hygiene items]])</f>
        <v>0</v>
      </c>
      <c r="BJ65" s="424">
        <f>IF(WWWW[[#This Row],[HRP3]]/WWWW[[#This Row],[Total PoP ]]&gt;100%,100%,WWWW[[#This Row],[HRP3]]/WWWW[[#This Row],[Total PoP ]])</f>
        <v>0</v>
      </c>
      <c r="BK65" s="423">
        <f>1-WWWW[[#This Row],[Hygiene Coverage%]]</f>
        <v>1</v>
      </c>
      <c r="BL65" s="422">
        <f>WWWW[[#This Row],['# people reached by regular dedicated hygiene promotion]]/WWWW[[#This Row],[Total PoP ]]</f>
        <v>0</v>
      </c>
      <c r="BM6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5" s="421">
        <f>WWWW[[#This Row],['#_of_affected_women_and_girls_receiving_a_sufficient_quantity_of_sanitary_pads]]</f>
        <v>0</v>
      </c>
      <c r="BO65" s="420">
        <f>IF(WWWW[[#This Row],['# People with access to soap]]&gt;WWWW[[#This Row],['# People with access to Sanity Pads]],WWWW[[#This Row],['# People with access to soap]],WWWW[[#This Row],['# People with access to Sanity Pads]])</f>
        <v>0</v>
      </c>
      <c r="BP65" s="419" t="str">
        <f>IF(OR(WWWW[[#This Row],['#of students in school]]="",WWWW[[#This Row],['#of students in school]]=0),"No","Yes")</f>
        <v>No</v>
      </c>
      <c r="BQ65" s="417" t="str">
        <f>VLOOKUP(WWWW[[#This Row],[Village  Name]],SiteDB6[[Site Name]:[Location Type 1]],9,FALSE)</f>
        <v>Village</v>
      </c>
      <c r="BR65" s="417" t="str">
        <f>VLOOKUP(WWWW[[#This Row],[Village  Name]],SiteDB6[[Site Name]:[Type of Accommodation]],10,FALSE)</f>
        <v>Village</v>
      </c>
      <c r="BS65" s="417" t="str">
        <f>VLOOKUP(WWWW[[#This Row],[Village  Name]],SiteDB6[[Site Name]:[Ethnic or GCA/NGCA]],11,FALSE)</f>
        <v>Rakhine</v>
      </c>
      <c r="BT65" s="417">
        <f>VLOOKUP(WWWW[[#This Row],[Village  Name]],SiteDB6[[Site Name]:[Lat]],12,FALSE)</f>
        <v>0</v>
      </c>
      <c r="BU65" s="417">
        <f>VLOOKUP(WWWW[[#This Row],[Village  Name]],SiteDB6[[Site Name]:[Long]],13,FALSE)</f>
        <v>0</v>
      </c>
      <c r="BV65" s="417">
        <f>VLOOKUP(WWWW[[#This Row],[Village  Name]],SiteDB6[[Site Name]:[Pcode]],3,FALSE)</f>
        <v>197463</v>
      </c>
      <c r="BW65" s="425" t="str">
        <f t="shared" si="2"/>
        <v>Covered</v>
      </c>
      <c r="BX65" s="425"/>
      <c r="BY65" s="33"/>
      <c r="CA65"/>
      <c r="CB65" s="33"/>
      <c r="CC65" s="36"/>
      <c r="CE65" s="37"/>
      <c r="CN65" s="20"/>
    </row>
    <row r="66" spans="1:92" hidden="1">
      <c r="A66" s="412" t="s">
        <v>2380</v>
      </c>
      <c r="B66" s="412" t="s">
        <v>336</v>
      </c>
      <c r="C66" s="418" t="s">
        <v>336</v>
      </c>
      <c r="D66" s="418" t="s">
        <v>329</v>
      </c>
      <c r="E66" s="551" t="s">
        <v>2687</v>
      </c>
      <c r="F66" s="418" t="s">
        <v>404</v>
      </c>
      <c r="G66" s="551" t="str">
        <f>VLOOKUP(WWWW[[#This Row],[Village  Name]],SiteDB6[[Site Name]:[Location Type]],8,FALSE)</f>
        <v>Village</v>
      </c>
      <c r="H66" s="418" t="s">
        <v>2587</v>
      </c>
      <c r="I66" s="420">
        <v>168</v>
      </c>
      <c r="J66" s="420">
        <v>1614</v>
      </c>
      <c r="K66" s="426"/>
      <c r="L66" s="427">
        <v>44439</v>
      </c>
      <c r="M66" s="420">
        <v>102</v>
      </c>
      <c r="N66" s="420"/>
      <c r="O66" s="420"/>
      <c r="P66" s="420"/>
      <c r="Q66" s="420">
        <v>0</v>
      </c>
      <c r="R66" s="420"/>
      <c r="S66" s="420"/>
      <c r="T66" s="642"/>
      <c r="U66" s="420"/>
      <c r="V66" s="420" t="s">
        <v>128</v>
      </c>
      <c r="W66" s="420">
        <v>1</v>
      </c>
      <c r="X66" s="420"/>
      <c r="Y66" s="420"/>
      <c r="Z66" s="420"/>
      <c r="AA66" s="420"/>
      <c r="AB66" s="642"/>
      <c r="AC66" s="420"/>
      <c r="AD66" s="420"/>
      <c r="AE66" s="420"/>
      <c r="AF66" s="420"/>
      <c r="AG66" s="420"/>
      <c r="AH66" s="420"/>
      <c r="AI66" s="420"/>
      <c r="AJ66" s="420"/>
      <c r="AK66" s="420"/>
      <c r="AL66" s="420"/>
      <c r="AM66" s="642"/>
      <c r="AN66" s="420"/>
      <c r="AO66" s="420"/>
      <c r="AP6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6" s="419">
        <f>WWWW[[#This Row],[%Equitable and continuous access to sufficient quantity of safe drinking water]]*WWWW[[#This Row],[Total PoP ]]</f>
        <v>0</v>
      </c>
      <c r="AR6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66" s="419">
        <f>WWWW[[#This Row],[% Access to unimproved water points]]*WWWW[[#This Row],[Total PoP ]]</f>
        <v>0</v>
      </c>
      <c r="AT6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6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66" s="419">
        <f>WWWW[[#This Row],[HRP1]]/250</f>
        <v>0</v>
      </c>
      <c r="AW66" s="424">
        <f>1-WWWW[[#This Row],[% Equitable and continuous access to sufficient quantity of domestic water]]</f>
        <v>1</v>
      </c>
      <c r="AX66" s="419">
        <f>WWWW[[#This Row],[%equitable and continuous access to sufficient quantity of safe drinking and domestic water''s GAP]]*WWWW[[#This Row],[Total PoP ]]</f>
        <v>1614</v>
      </c>
      <c r="AY66" s="421">
        <f>IF(WWWW[[#This Row],[Total required water points]]-WWWW[[#This Row],['#Water points coverage]]&lt;0,0,WWWW[[#This Row],[Total required water points]]-WWWW[[#This Row],['#Water points coverage]])</f>
        <v>6</v>
      </c>
      <c r="AZ66" s="421">
        <f>ROUND(IF(WWWW[[#This Row],[Total PoP ]]&lt;250,1,WWWW[[#This Row],[Total PoP ]]/250),0)</f>
        <v>6</v>
      </c>
      <c r="BA6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3.0978934324659233E-2</v>
      </c>
      <c r="BB66" s="419">
        <f>WWWW[[#This Row],[% people access to functioning Latrine]]*WWWW[[#This Row],[Total PoP ]]</f>
        <v>50</v>
      </c>
      <c r="BC66" s="421">
        <f>WWWW[[#This Row],['#_of_Functioning_latrines_in_school]]*50</f>
        <v>50</v>
      </c>
      <c r="BD66" s="421">
        <f>ROUND((WWWW[[#This Row],[Total PoP ]]/6),0)</f>
        <v>269</v>
      </c>
      <c r="BE66" s="421">
        <f>IF(WWWW[[#This Row],[Total required Latrines]]-(WWWW[[#This Row],['#_of_sanitary_fly-proof_HH_latrines]])&lt;0,0,WWWW[[#This Row],[Total required Latrines]]-(WWWW[[#This Row],['#_of_sanitary_fly-proof_HH_latrines]]))</f>
        <v>269</v>
      </c>
      <c r="BF66" s="72">
        <f>1-WWWW[[#This Row],[% people access to functioning Latrine]]</f>
        <v>0.96902106567534074</v>
      </c>
      <c r="BG6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66" s="419">
        <f>IF(WWWW[[#This Row],['#_of_functional_handwashing_facilities_at_HH_level]]*6&gt;WWWW[[#This Row],[Total PoP ]],WWWW[[#This Row],[Total PoP ]],WWWW[[#This Row],['#_of_functional_handwashing_facilities_at_HH_level]]*6)</f>
        <v>0</v>
      </c>
      <c r="BI66" s="421">
        <f>IF(WWWW[[#This Row],['# people reached by regular dedicated hygiene promotion]]&gt;WWWW[[#This Row],['# People received regular supply of hygiene items]],WWWW[[#This Row],['# people reached by regular dedicated hygiene promotion]],WWWW[[#This Row],['# People received regular supply of hygiene items]])</f>
        <v>0</v>
      </c>
      <c r="BJ66" s="424">
        <f>IF(WWWW[[#This Row],[HRP3]]/WWWW[[#This Row],[Total PoP ]]&gt;100%,100%,WWWW[[#This Row],[HRP3]]/WWWW[[#This Row],[Total PoP ]])</f>
        <v>0</v>
      </c>
      <c r="BK66" s="423">
        <f>1-WWWW[[#This Row],[Hygiene Coverage%]]</f>
        <v>1</v>
      </c>
      <c r="BL66" s="422">
        <f>WWWW[[#This Row],['# people reached by regular dedicated hygiene promotion]]/WWWW[[#This Row],[Total PoP ]]</f>
        <v>0</v>
      </c>
      <c r="BM6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6" s="421">
        <f>WWWW[[#This Row],['#_of_affected_women_and_girls_receiving_a_sufficient_quantity_of_sanitary_pads]]</f>
        <v>0</v>
      </c>
      <c r="BO66" s="420">
        <f>IF(WWWW[[#This Row],['# People with access to soap]]&gt;WWWW[[#This Row],['# People with access to Sanity Pads]],WWWW[[#This Row],['# People with access to soap]],WWWW[[#This Row],['# People with access to Sanity Pads]])</f>
        <v>0</v>
      </c>
      <c r="BP66" s="419" t="str">
        <f>IF(OR(WWWW[[#This Row],['#of students in school]]="",WWWW[[#This Row],['#of students in school]]=0),"No","Yes")</f>
        <v>Yes</v>
      </c>
      <c r="BQ66" s="417" t="str">
        <f>VLOOKUP(WWWW[[#This Row],[Village  Name]],SiteDB6[[Site Name]:[Location Type 1]],9,FALSE)</f>
        <v>Village</v>
      </c>
      <c r="BR66" s="417" t="str">
        <f>VLOOKUP(WWWW[[#This Row],[Village  Name]],SiteDB6[[Site Name]:[Type of Accommodation]],10,FALSE)</f>
        <v>Village</v>
      </c>
      <c r="BS66" s="417" t="str">
        <f>VLOOKUP(WWWW[[#This Row],[Village  Name]],SiteDB6[[Site Name]:[Ethnic or GCA/NGCA]],11,FALSE)</f>
        <v>Rakhine</v>
      </c>
      <c r="BT66" s="417">
        <f>VLOOKUP(WWWW[[#This Row],[Village  Name]],SiteDB6[[Site Name]:[Lat]],12,FALSE)</f>
        <v>0</v>
      </c>
      <c r="BU66" s="417">
        <f>VLOOKUP(WWWW[[#This Row],[Village  Name]],SiteDB6[[Site Name]:[Long]],13,FALSE)</f>
        <v>0</v>
      </c>
      <c r="BV66" s="417">
        <f>VLOOKUP(WWWW[[#This Row],[Village  Name]],SiteDB6[[Site Name]:[Pcode]],3,FALSE)</f>
        <v>197404</v>
      </c>
      <c r="BW66" s="425" t="str">
        <f t="shared" si="2"/>
        <v>Covered</v>
      </c>
      <c r="BX66" s="425"/>
      <c r="BY66" s="33"/>
      <c r="CA66"/>
      <c r="CB66" s="33"/>
      <c r="CC66" s="36"/>
      <c r="CE66" s="37"/>
      <c r="CN66" s="20"/>
    </row>
    <row r="67" spans="1:92" hidden="1">
      <c r="A67" s="412" t="s">
        <v>2380</v>
      </c>
      <c r="B67" s="412" t="s">
        <v>336</v>
      </c>
      <c r="C67" s="418" t="s">
        <v>336</v>
      </c>
      <c r="D67" s="418" t="s">
        <v>329</v>
      </c>
      <c r="E67" s="551" t="s">
        <v>2687</v>
      </c>
      <c r="F67" s="418" t="s">
        <v>404</v>
      </c>
      <c r="G67" s="551" t="str">
        <f>VLOOKUP(WWWW[[#This Row],[Village  Name]],SiteDB6[[Site Name]:[Location Type]],8,FALSE)</f>
        <v>Village</v>
      </c>
      <c r="H67" s="418" t="s">
        <v>2591</v>
      </c>
      <c r="I67" s="420">
        <v>370</v>
      </c>
      <c r="J67" s="420">
        <v>1711</v>
      </c>
      <c r="K67" s="426"/>
      <c r="L67" s="427">
        <v>44439</v>
      </c>
      <c r="M67" s="420">
        <v>400</v>
      </c>
      <c r="N67" s="420"/>
      <c r="O67" s="420"/>
      <c r="P67" s="420"/>
      <c r="Q67" s="420">
        <v>0</v>
      </c>
      <c r="R67" s="420"/>
      <c r="S67" s="420"/>
      <c r="T67" s="642"/>
      <c r="U67" s="420"/>
      <c r="V67" s="420" t="s">
        <v>128</v>
      </c>
      <c r="W67" s="420">
        <v>2</v>
      </c>
      <c r="X67" s="420"/>
      <c r="Y67" s="420"/>
      <c r="Z67" s="420"/>
      <c r="AA67" s="420"/>
      <c r="AB67" s="642"/>
      <c r="AC67" s="420"/>
      <c r="AD67" s="420"/>
      <c r="AE67" s="420"/>
      <c r="AF67" s="420"/>
      <c r="AG67" s="420"/>
      <c r="AH67" s="420"/>
      <c r="AI67" s="420"/>
      <c r="AJ67" s="420"/>
      <c r="AK67" s="420"/>
      <c r="AL67" s="420"/>
      <c r="AM67" s="642"/>
      <c r="AN67" s="420"/>
      <c r="AO67" s="420"/>
      <c r="AP6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7" s="419">
        <f>WWWW[[#This Row],[%Equitable and continuous access to sufficient quantity of safe drinking water]]*WWWW[[#This Row],[Total PoP ]]</f>
        <v>0</v>
      </c>
      <c r="AR6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67" s="419">
        <f>WWWW[[#This Row],[% Access to unimproved water points]]*WWWW[[#This Row],[Total PoP ]]</f>
        <v>0</v>
      </c>
      <c r="AT6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6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67" s="419">
        <f>WWWW[[#This Row],[HRP1]]/250</f>
        <v>0</v>
      </c>
      <c r="AW67" s="424">
        <f>1-WWWW[[#This Row],[% Equitable and continuous access to sufficient quantity of domestic water]]</f>
        <v>1</v>
      </c>
      <c r="AX67" s="419">
        <f>WWWW[[#This Row],[%equitable and continuous access to sufficient quantity of safe drinking and domestic water''s GAP]]*WWWW[[#This Row],[Total PoP ]]</f>
        <v>1711</v>
      </c>
      <c r="AY67" s="421">
        <f>IF(WWWW[[#This Row],[Total required water points]]-WWWW[[#This Row],['#Water points coverage]]&lt;0,0,WWWW[[#This Row],[Total required water points]]-WWWW[[#This Row],['#Water points coverage]])</f>
        <v>7</v>
      </c>
      <c r="AZ67" s="421">
        <f>ROUND(IF(WWWW[[#This Row],[Total PoP ]]&lt;250,1,WWWW[[#This Row],[Total PoP ]]/250),0)</f>
        <v>7</v>
      </c>
      <c r="BA6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5.8445353594389245E-2</v>
      </c>
      <c r="BB67" s="419">
        <f>WWWW[[#This Row],[% people access to functioning Latrine]]*WWWW[[#This Row],[Total PoP ]]</f>
        <v>100</v>
      </c>
      <c r="BC67" s="421">
        <f>WWWW[[#This Row],['#_of_Functioning_latrines_in_school]]*50</f>
        <v>100</v>
      </c>
      <c r="BD67" s="421">
        <f>ROUND((WWWW[[#This Row],[Total PoP ]]/6),0)</f>
        <v>285</v>
      </c>
      <c r="BE67" s="421">
        <f>IF(WWWW[[#This Row],[Total required Latrines]]-(WWWW[[#This Row],['#_of_sanitary_fly-proof_HH_latrines]])&lt;0,0,WWWW[[#This Row],[Total required Latrines]]-(WWWW[[#This Row],['#_of_sanitary_fly-proof_HH_latrines]]))</f>
        <v>285</v>
      </c>
      <c r="BF67" s="72">
        <f>1-WWWW[[#This Row],[% people access to functioning Latrine]]</f>
        <v>0.94155464640561071</v>
      </c>
      <c r="BG6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67" s="419">
        <f>IF(WWWW[[#This Row],['#_of_functional_handwashing_facilities_at_HH_level]]*6&gt;WWWW[[#This Row],[Total PoP ]],WWWW[[#This Row],[Total PoP ]],WWWW[[#This Row],['#_of_functional_handwashing_facilities_at_HH_level]]*6)</f>
        <v>0</v>
      </c>
      <c r="BI67" s="421">
        <f>IF(WWWW[[#This Row],['# people reached by regular dedicated hygiene promotion]]&gt;WWWW[[#This Row],['# People received regular supply of hygiene items]],WWWW[[#This Row],['# people reached by regular dedicated hygiene promotion]],WWWW[[#This Row],['# People received regular supply of hygiene items]])</f>
        <v>0</v>
      </c>
      <c r="BJ67" s="424">
        <f>IF(WWWW[[#This Row],[HRP3]]/WWWW[[#This Row],[Total PoP ]]&gt;100%,100%,WWWW[[#This Row],[HRP3]]/WWWW[[#This Row],[Total PoP ]])</f>
        <v>0</v>
      </c>
      <c r="BK67" s="423">
        <f>1-WWWW[[#This Row],[Hygiene Coverage%]]</f>
        <v>1</v>
      </c>
      <c r="BL67" s="422">
        <f>WWWW[[#This Row],['# people reached by regular dedicated hygiene promotion]]/WWWW[[#This Row],[Total PoP ]]</f>
        <v>0</v>
      </c>
      <c r="BM6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7" s="421">
        <f>WWWW[[#This Row],['#_of_affected_women_and_girls_receiving_a_sufficient_quantity_of_sanitary_pads]]</f>
        <v>0</v>
      </c>
      <c r="BO67" s="420">
        <f>IF(WWWW[[#This Row],['# People with access to soap]]&gt;WWWW[[#This Row],['# People with access to Sanity Pads]],WWWW[[#This Row],['# People with access to soap]],WWWW[[#This Row],['# People with access to Sanity Pads]])</f>
        <v>0</v>
      </c>
      <c r="BP67" s="419" t="str">
        <f>IF(OR(WWWW[[#This Row],['#of students in school]]="",WWWW[[#This Row],['#of students in school]]=0),"No","Yes")</f>
        <v>Yes</v>
      </c>
      <c r="BQ67" s="417" t="str">
        <f>VLOOKUP(WWWW[[#This Row],[Village  Name]],SiteDB6[[Site Name]:[Location Type 1]],9,FALSE)</f>
        <v>Village</v>
      </c>
      <c r="BR67" s="417" t="str">
        <f>VLOOKUP(WWWW[[#This Row],[Village  Name]],SiteDB6[[Site Name]:[Type of Accommodation]],10,FALSE)</f>
        <v>Village</v>
      </c>
      <c r="BS67" s="417" t="str">
        <f>VLOOKUP(WWWW[[#This Row],[Village  Name]],SiteDB6[[Site Name]:[Ethnic or GCA/NGCA]],11,FALSE)</f>
        <v>Rakhine</v>
      </c>
      <c r="BT67" s="417">
        <f>VLOOKUP(WWWW[[#This Row],[Village  Name]],SiteDB6[[Site Name]:[Lat]],12,FALSE)</f>
        <v>0</v>
      </c>
      <c r="BU67" s="417">
        <f>VLOOKUP(WWWW[[#This Row],[Village  Name]],SiteDB6[[Site Name]:[Long]],13,FALSE)</f>
        <v>0</v>
      </c>
      <c r="BV67" s="417">
        <f>VLOOKUP(WWWW[[#This Row],[Village  Name]],SiteDB6[[Site Name]:[Pcode]],3,FALSE)</f>
        <v>197464</v>
      </c>
      <c r="BW67" s="425" t="str">
        <f t="shared" si="2"/>
        <v>Covered</v>
      </c>
      <c r="BX67" s="425"/>
      <c r="BY67" s="33"/>
      <c r="CA67"/>
      <c r="CB67" s="33"/>
      <c r="CC67" s="36"/>
      <c r="CE67" s="37"/>
      <c r="CN67" s="20"/>
    </row>
    <row r="68" spans="1:92" hidden="1">
      <c r="A68" s="412" t="s">
        <v>2380</v>
      </c>
      <c r="B68" s="412" t="s">
        <v>336</v>
      </c>
      <c r="C68" s="418" t="s">
        <v>336</v>
      </c>
      <c r="D68" s="418" t="s">
        <v>329</v>
      </c>
      <c r="E68" s="551" t="s">
        <v>2687</v>
      </c>
      <c r="F68" s="418" t="s">
        <v>404</v>
      </c>
      <c r="G68" s="551" t="str">
        <f>VLOOKUP(WWWW[[#This Row],[Village  Name]],SiteDB6[[Site Name]:[Location Type]],8,FALSE)</f>
        <v>Village</v>
      </c>
      <c r="H68" s="418" t="s">
        <v>2590</v>
      </c>
      <c r="I68" s="420">
        <v>436</v>
      </c>
      <c r="J68" s="420">
        <v>2287</v>
      </c>
      <c r="K68" s="426"/>
      <c r="L68" s="427">
        <v>44439</v>
      </c>
      <c r="M68" s="420">
        <v>495</v>
      </c>
      <c r="N68" s="420"/>
      <c r="O68" s="420"/>
      <c r="P68" s="420"/>
      <c r="Q68" s="420">
        <v>1</v>
      </c>
      <c r="R68" s="420"/>
      <c r="S68" s="420"/>
      <c r="T68" s="642"/>
      <c r="U68" s="420"/>
      <c r="V68" s="420" t="s">
        <v>128</v>
      </c>
      <c r="W68" s="420">
        <v>4</v>
      </c>
      <c r="X68" s="420"/>
      <c r="Y68" s="420"/>
      <c r="Z68" s="420"/>
      <c r="AA68" s="420"/>
      <c r="AB68" s="642"/>
      <c r="AC68" s="420"/>
      <c r="AD68" s="420"/>
      <c r="AE68" s="420"/>
      <c r="AF68" s="420"/>
      <c r="AG68" s="420"/>
      <c r="AH68" s="420"/>
      <c r="AI68" s="420"/>
      <c r="AJ68" s="420"/>
      <c r="AK68" s="420"/>
      <c r="AL68" s="420"/>
      <c r="AM68" s="642"/>
      <c r="AN68" s="420"/>
      <c r="AO68" s="420"/>
      <c r="AP6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8" s="419">
        <f>WWWW[[#This Row],[%Equitable and continuous access to sufficient quantity of safe drinking water]]*WWWW[[#This Row],[Total PoP ]]</f>
        <v>0</v>
      </c>
      <c r="AR6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68" s="419">
        <f>WWWW[[#This Row],[% Access to unimproved water points]]*WWWW[[#This Row],[Total PoP ]]</f>
        <v>2287</v>
      </c>
      <c r="AT6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6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2287</v>
      </c>
      <c r="AV68" s="419">
        <f>WWWW[[#This Row],[HRP1]]/250</f>
        <v>9.1479999999999997</v>
      </c>
      <c r="AW68" s="424">
        <f>1-WWWW[[#This Row],[% Equitable and continuous access to sufficient quantity of domestic water]]</f>
        <v>0</v>
      </c>
      <c r="AX68" s="419">
        <f>WWWW[[#This Row],[%equitable and continuous access to sufficient quantity of safe drinking and domestic water''s GAP]]*WWWW[[#This Row],[Total PoP ]]</f>
        <v>0</v>
      </c>
      <c r="AY68" s="421">
        <f>IF(WWWW[[#This Row],[Total required water points]]-WWWW[[#This Row],['#Water points coverage]]&lt;0,0,WWWW[[#This Row],[Total required water points]]-WWWW[[#This Row],['#Water points coverage]])</f>
        <v>0</v>
      </c>
      <c r="AZ68" s="421">
        <f>ROUND(IF(WWWW[[#This Row],[Total PoP ]]&lt;250,1,WWWW[[#This Row],[Total PoP ]]/250),0)</f>
        <v>9</v>
      </c>
      <c r="BA6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8.7450808919982512E-2</v>
      </c>
      <c r="BB68" s="419">
        <f>WWWW[[#This Row],[% people access to functioning Latrine]]*WWWW[[#This Row],[Total PoP ]]</f>
        <v>200</v>
      </c>
      <c r="BC68" s="421">
        <f>WWWW[[#This Row],['#_of_Functioning_latrines_in_school]]*50</f>
        <v>200</v>
      </c>
      <c r="BD68" s="421">
        <f>ROUND((WWWW[[#This Row],[Total PoP ]]/6),0)</f>
        <v>381</v>
      </c>
      <c r="BE68" s="421">
        <f>IF(WWWW[[#This Row],[Total required Latrines]]-(WWWW[[#This Row],['#_of_sanitary_fly-proof_HH_latrines]])&lt;0,0,WWWW[[#This Row],[Total required Latrines]]-(WWWW[[#This Row],['#_of_sanitary_fly-proof_HH_latrines]]))</f>
        <v>381</v>
      </c>
      <c r="BF68" s="72">
        <f>1-WWWW[[#This Row],[% people access to functioning Latrine]]</f>
        <v>0.91254919108001753</v>
      </c>
      <c r="BG6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68" s="419">
        <f>IF(WWWW[[#This Row],['#_of_functional_handwashing_facilities_at_HH_level]]*6&gt;WWWW[[#This Row],[Total PoP ]],WWWW[[#This Row],[Total PoP ]],WWWW[[#This Row],['#_of_functional_handwashing_facilities_at_HH_level]]*6)</f>
        <v>0</v>
      </c>
      <c r="BI68" s="421">
        <f>IF(WWWW[[#This Row],['# people reached by regular dedicated hygiene promotion]]&gt;WWWW[[#This Row],['# People received regular supply of hygiene items]],WWWW[[#This Row],['# people reached by regular dedicated hygiene promotion]],WWWW[[#This Row],['# People received regular supply of hygiene items]])</f>
        <v>0</v>
      </c>
      <c r="BJ68" s="424">
        <f>IF(WWWW[[#This Row],[HRP3]]/WWWW[[#This Row],[Total PoP ]]&gt;100%,100%,WWWW[[#This Row],[HRP3]]/WWWW[[#This Row],[Total PoP ]])</f>
        <v>0</v>
      </c>
      <c r="BK68" s="423">
        <f>1-WWWW[[#This Row],[Hygiene Coverage%]]</f>
        <v>1</v>
      </c>
      <c r="BL68" s="422">
        <f>WWWW[[#This Row],['# people reached by regular dedicated hygiene promotion]]/WWWW[[#This Row],[Total PoP ]]</f>
        <v>0</v>
      </c>
      <c r="BM6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8" s="421">
        <f>WWWW[[#This Row],['#_of_affected_women_and_girls_receiving_a_sufficient_quantity_of_sanitary_pads]]</f>
        <v>0</v>
      </c>
      <c r="BO68" s="420">
        <f>IF(WWWW[[#This Row],['# People with access to soap]]&gt;WWWW[[#This Row],['# People with access to Sanity Pads]],WWWW[[#This Row],['# People with access to soap]],WWWW[[#This Row],['# People with access to Sanity Pads]])</f>
        <v>0</v>
      </c>
      <c r="BP68" s="419" t="str">
        <f>IF(OR(WWWW[[#This Row],['#of students in school]]="",WWWW[[#This Row],['#of students in school]]=0),"No","Yes")</f>
        <v>Yes</v>
      </c>
      <c r="BQ68" s="417" t="str">
        <f>VLOOKUP(WWWW[[#This Row],[Village  Name]],SiteDB6[[Site Name]:[Location Type 1]],9,FALSE)</f>
        <v>Village</v>
      </c>
      <c r="BR68" s="417" t="str">
        <f>VLOOKUP(WWWW[[#This Row],[Village  Name]],SiteDB6[[Site Name]:[Type of Accommodation]],10,FALSE)</f>
        <v>Village</v>
      </c>
      <c r="BS68" s="417" t="str">
        <f>VLOOKUP(WWWW[[#This Row],[Village  Name]],SiteDB6[[Site Name]:[Ethnic or GCA/NGCA]],11,FALSE)</f>
        <v>Rakhine</v>
      </c>
      <c r="BT68" s="417">
        <f>VLOOKUP(WWWW[[#This Row],[Village  Name]],SiteDB6[[Site Name]:[Lat]],12,FALSE)</f>
        <v>0</v>
      </c>
      <c r="BU68" s="417">
        <f>VLOOKUP(WWWW[[#This Row],[Village  Name]],SiteDB6[[Site Name]:[Long]],13,FALSE)</f>
        <v>0</v>
      </c>
      <c r="BV68" s="417">
        <f>VLOOKUP(WWWW[[#This Row],[Village  Name]],SiteDB6[[Site Name]:[Pcode]],3,FALSE)</f>
        <v>197460</v>
      </c>
      <c r="BW68" s="425" t="str">
        <f t="shared" si="2"/>
        <v>Covered</v>
      </c>
      <c r="BX68" s="425"/>
      <c r="BY68" s="33"/>
      <c r="CA68"/>
      <c r="CB68" s="33"/>
      <c r="CC68" s="36"/>
      <c r="CE68" s="37"/>
      <c r="CN68" s="20"/>
    </row>
    <row r="69" spans="1:92" hidden="1">
      <c r="A69" s="412" t="s">
        <v>2380</v>
      </c>
      <c r="B69" s="412" t="s">
        <v>336</v>
      </c>
      <c r="C69" s="418" t="s">
        <v>336</v>
      </c>
      <c r="D69" s="418" t="s">
        <v>329</v>
      </c>
      <c r="E69" s="551" t="s">
        <v>2687</v>
      </c>
      <c r="F69" s="418" t="s">
        <v>404</v>
      </c>
      <c r="G69" s="551" t="str">
        <f>VLOOKUP(WWWW[[#This Row],[Village  Name]],SiteDB6[[Site Name]:[Location Type]],8,FALSE)</f>
        <v>Village</v>
      </c>
      <c r="H69" s="418" t="s">
        <v>2581</v>
      </c>
      <c r="I69" s="420">
        <v>215</v>
      </c>
      <c r="J69" s="420">
        <v>959</v>
      </c>
      <c r="K69" s="426"/>
      <c r="L69" s="427">
        <v>44439</v>
      </c>
      <c r="M69" s="420">
        <v>123</v>
      </c>
      <c r="N69" s="420"/>
      <c r="O69" s="420"/>
      <c r="P69" s="420"/>
      <c r="Q69" s="420">
        <v>1</v>
      </c>
      <c r="R69" s="420"/>
      <c r="S69" s="420"/>
      <c r="T69" s="642"/>
      <c r="U69" s="420"/>
      <c r="V69" s="420" t="s">
        <v>128</v>
      </c>
      <c r="W69" s="420">
        <v>1</v>
      </c>
      <c r="X69" s="420"/>
      <c r="Y69" s="420"/>
      <c r="Z69" s="420"/>
      <c r="AA69" s="420"/>
      <c r="AB69" s="642"/>
      <c r="AC69" s="420">
        <v>2</v>
      </c>
      <c r="AD69" s="420">
        <v>22</v>
      </c>
      <c r="AE69" s="420"/>
      <c r="AF69" s="420"/>
      <c r="AG69" s="420"/>
      <c r="AH69" s="420"/>
      <c r="AI69" s="420"/>
      <c r="AJ69" s="420"/>
      <c r="AK69" s="420"/>
      <c r="AL69" s="420"/>
      <c r="AM69" s="642"/>
      <c r="AN69" s="420"/>
      <c r="AO69" s="420"/>
      <c r="AP6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69" s="419">
        <f>WWWW[[#This Row],[%Equitable and continuous access to sufficient quantity of safe drinking water]]*WWWW[[#This Row],[Total PoP ]]</f>
        <v>0</v>
      </c>
      <c r="AR6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69" s="419">
        <f>WWWW[[#This Row],[% Access to unimproved water points]]*WWWW[[#This Row],[Total PoP ]]</f>
        <v>959</v>
      </c>
      <c r="AT6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6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AV69" s="419">
        <f>WWWW[[#This Row],[HRP1]]/250</f>
        <v>3.8359999999999999</v>
      </c>
      <c r="AW69" s="424">
        <f>1-WWWW[[#This Row],[% Equitable and continuous access to sufficient quantity of domestic water]]</f>
        <v>0</v>
      </c>
      <c r="AX69" s="419">
        <f>WWWW[[#This Row],[%equitable and continuous access to sufficient quantity of safe drinking and domestic water''s GAP]]*WWWW[[#This Row],[Total PoP ]]</f>
        <v>0</v>
      </c>
      <c r="AY69" s="421">
        <f>IF(WWWW[[#This Row],[Total required water points]]-WWWW[[#This Row],['#Water points coverage]]&lt;0,0,WWWW[[#This Row],[Total required water points]]-WWWW[[#This Row],['#Water points coverage]])</f>
        <v>0.16400000000000015</v>
      </c>
      <c r="AZ69" s="421">
        <f>ROUND(IF(WWWW[[#This Row],[Total PoP ]]&lt;250,1,WWWW[[#This Row],[Total PoP ]]/250),0)</f>
        <v>4</v>
      </c>
      <c r="BA6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5.213764337851929E-2</v>
      </c>
      <c r="BB69" s="419">
        <f>WWWW[[#This Row],[% people access to functioning Latrine]]*WWWW[[#This Row],[Total PoP ]]</f>
        <v>50</v>
      </c>
      <c r="BC69" s="421">
        <f>WWWW[[#This Row],['#_of_Functioning_latrines_in_school]]*50</f>
        <v>50</v>
      </c>
      <c r="BD69" s="421">
        <f>ROUND((WWWW[[#This Row],[Total PoP ]]/6),0)</f>
        <v>160</v>
      </c>
      <c r="BE69" s="421">
        <f>IF(WWWW[[#This Row],[Total required Latrines]]-(WWWW[[#This Row],['#_of_sanitary_fly-proof_HH_latrines]])&lt;0,0,WWWW[[#This Row],[Total required Latrines]]-(WWWW[[#This Row],['#_of_sanitary_fly-proof_HH_latrines]]))</f>
        <v>160</v>
      </c>
      <c r="BF69" s="72">
        <f>1-WWWW[[#This Row],[% people access to functioning Latrine]]</f>
        <v>0.94786235662148066</v>
      </c>
      <c r="BG6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24</v>
      </c>
      <c r="BH69" s="419">
        <f>IF(WWWW[[#This Row],['#_of_functional_handwashing_facilities_at_HH_level]]*6&gt;WWWW[[#This Row],[Total PoP ]],WWWW[[#This Row],[Total PoP ]],WWWW[[#This Row],['#_of_functional_handwashing_facilities_at_HH_level]]*6)</f>
        <v>0</v>
      </c>
      <c r="BI69" s="421">
        <f>IF(WWWW[[#This Row],['# people reached by regular dedicated hygiene promotion]]&gt;WWWW[[#This Row],['# People received regular supply of hygiene items]],WWWW[[#This Row],['# people reached by regular dedicated hygiene promotion]],WWWW[[#This Row],['# People received regular supply of hygiene items]])</f>
        <v>24</v>
      </c>
      <c r="BJ69" s="424">
        <f>IF(WWWW[[#This Row],[HRP3]]/WWWW[[#This Row],[Total PoP ]]&gt;100%,100%,WWWW[[#This Row],[HRP3]]/WWWW[[#This Row],[Total PoP ]])</f>
        <v>2.502606882168926E-2</v>
      </c>
      <c r="BK69" s="423">
        <f>1-WWWW[[#This Row],[Hygiene Coverage%]]</f>
        <v>0.97497393117831077</v>
      </c>
      <c r="BL69" s="422">
        <f>WWWW[[#This Row],['# people reached by regular dedicated hygiene promotion]]/WWWW[[#This Row],[Total PoP ]]</f>
        <v>2.502606882168926E-2</v>
      </c>
      <c r="BM6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69" s="421">
        <f>WWWW[[#This Row],['#_of_affected_women_and_girls_receiving_a_sufficient_quantity_of_sanitary_pads]]</f>
        <v>0</v>
      </c>
      <c r="BO69" s="420">
        <f>IF(WWWW[[#This Row],['# People with access to soap]]&gt;WWWW[[#This Row],['# People with access to Sanity Pads]],WWWW[[#This Row],['# People with access to soap]],WWWW[[#This Row],['# People with access to Sanity Pads]])</f>
        <v>0</v>
      </c>
      <c r="BP69" s="419" t="str">
        <f>IF(OR(WWWW[[#This Row],['#of students in school]]="",WWWW[[#This Row],['#of students in school]]=0),"No","Yes")</f>
        <v>Yes</v>
      </c>
      <c r="BQ69" s="417" t="str">
        <f>VLOOKUP(WWWW[[#This Row],[Village  Name]],SiteDB6[[Site Name]:[Location Type 1]],9,FALSE)</f>
        <v>Village</v>
      </c>
      <c r="BR69" s="417" t="str">
        <f>VLOOKUP(WWWW[[#This Row],[Village  Name]],SiteDB6[[Site Name]:[Type of Accommodation]],10,FALSE)</f>
        <v>Village</v>
      </c>
      <c r="BS69" s="417" t="str">
        <f>VLOOKUP(WWWW[[#This Row],[Village  Name]],SiteDB6[[Site Name]:[Ethnic or GCA/NGCA]],11,FALSE)</f>
        <v>Rakhine</v>
      </c>
      <c r="BT69" s="417">
        <f>VLOOKUP(WWWW[[#This Row],[Village  Name]],SiteDB6[[Site Name]:[Lat]],12,FALSE)</f>
        <v>0</v>
      </c>
      <c r="BU69" s="417">
        <f>VLOOKUP(WWWW[[#This Row],[Village  Name]],SiteDB6[[Site Name]:[Long]],13,FALSE)</f>
        <v>0</v>
      </c>
      <c r="BV69" s="417">
        <f>VLOOKUP(WWWW[[#This Row],[Village  Name]],SiteDB6[[Site Name]:[Pcode]],3,FALSE)</f>
        <v>197449</v>
      </c>
      <c r="BW69" s="425" t="str">
        <f t="shared" si="2"/>
        <v>Covered</v>
      </c>
      <c r="BX69" s="425"/>
      <c r="BY69" s="33"/>
      <c r="CA69"/>
      <c r="CB69" s="33"/>
      <c r="CC69" s="36"/>
      <c r="CE69" s="37"/>
      <c r="CN69" s="20"/>
    </row>
    <row r="70" spans="1:92" hidden="1">
      <c r="A70" s="412" t="s">
        <v>2380</v>
      </c>
      <c r="B70" s="412" t="s">
        <v>336</v>
      </c>
      <c r="C70" s="418" t="s">
        <v>336</v>
      </c>
      <c r="D70" s="418" t="s">
        <v>329</v>
      </c>
      <c r="E70" s="551" t="s">
        <v>2687</v>
      </c>
      <c r="F70" s="418" t="s">
        <v>404</v>
      </c>
      <c r="G70" s="551" t="str">
        <f>VLOOKUP(WWWW[[#This Row],[Village  Name]],SiteDB6[[Site Name]:[Location Type]],8,FALSE)</f>
        <v>Village</v>
      </c>
      <c r="H70" s="418" t="s">
        <v>2594</v>
      </c>
      <c r="I70" s="420">
        <v>19</v>
      </c>
      <c r="J70" s="420">
        <v>92</v>
      </c>
      <c r="K70" s="426"/>
      <c r="L70" s="427">
        <v>44439</v>
      </c>
      <c r="M70" s="420">
        <v>0</v>
      </c>
      <c r="N70" s="420"/>
      <c r="O70" s="420"/>
      <c r="P70" s="420"/>
      <c r="Q70" s="420">
        <v>0</v>
      </c>
      <c r="R70" s="420"/>
      <c r="S70" s="420"/>
      <c r="T70" s="642"/>
      <c r="U70" s="420"/>
      <c r="V70" s="611" t="s">
        <v>132</v>
      </c>
      <c r="W70" s="420"/>
      <c r="X70" s="420"/>
      <c r="Y70" s="420"/>
      <c r="Z70" s="420"/>
      <c r="AA70" s="420"/>
      <c r="AB70" s="642"/>
      <c r="AC70" s="420"/>
      <c r="AD70" s="420"/>
      <c r="AE70" s="420"/>
      <c r="AF70" s="420"/>
      <c r="AG70" s="420"/>
      <c r="AH70" s="420"/>
      <c r="AI70" s="420"/>
      <c r="AJ70" s="420"/>
      <c r="AK70" s="420"/>
      <c r="AL70" s="420"/>
      <c r="AM70" s="642"/>
      <c r="AN70" s="420"/>
      <c r="AO70" s="420"/>
      <c r="AP7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0" s="419">
        <f>WWWW[[#This Row],[%Equitable and continuous access to sufficient quantity of safe drinking water]]*WWWW[[#This Row],[Total PoP ]]</f>
        <v>0</v>
      </c>
      <c r="AR7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70" s="419">
        <f>WWWW[[#This Row],[% Access to unimproved water points]]*WWWW[[#This Row],[Total PoP ]]</f>
        <v>0</v>
      </c>
      <c r="AT7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7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70" s="419">
        <f>WWWW[[#This Row],[HRP1]]/250</f>
        <v>0</v>
      </c>
      <c r="AW70" s="424">
        <f>1-WWWW[[#This Row],[% Equitable and continuous access to sufficient quantity of domestic water]]</f>
        <v>1</v>
      </c>
      <c r="AX70" s="419">
        <f>WWWW[[#This Row],[%equitable and continuous access to sufficient quantity of safe drinking and domestic water''s GAP]]*WWWW[[#This Row],[Total PoP ]]</f>
        <v>92</v>
      </c>
      <c r="AY70" s="421">
        <f>IF(WWWW[[#This Row],[Total required water points]]-WWWW[[#This Row],['#Water points coverage]]&lt;0,0,WWWW[[#This Row],[Total required water points]]-WWWW[[#This Row],['#Water points coverage]])</f>
        <v>1</v>
      </c>
      <c r="AZ70" s="421">
        <f>ROUND(IF(WWWW[[#This Row],[Total PoP ]]&lt;250,1,WWWW[[#This Row],[Total PoP ]]/250),0)</f>
        <v>1</v>
      </c>
      <c r="BA7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70" s="419">
        <f>WWWW[[#This Row],[% people access to functioning Latrine]]*WWWW[[#This Row],[Total PoP ]]</f>
        <v>0</v>
      </c>
      <c r="BC70" s="421">
        <f>WWWW[[#This Row],['#_of_Functioning_latrines_in_school]]*50</f>
        <v>0</v>
      </c>
      <c r="BD70" s="421">
        <f>ROUND((WWWW[[#This Row],[Total PoP ]]/6),0)</f>
        <v>15</v>
      </c>
      <c r="BE70" s="421">
        <f>IF(WWWW[[#This Row],[Total required Latrines]]-(WWWW[[#This Row],['#_of_sanitary_fly-proof_HH_latrines]])&lt;0,0,WWWW[[#This Row],[Total required Latrines]]-(WWWW[[#This Row],['#_of_sanitary_fly-proof_HH_latrines]]))</f>
        <v>15</v>
      </c>
      <c r="BF70" s="72">
        <f>1-WWWW[[#This Row],[% people access to functioning Latrine]]</f>
        <v>1</v>
      </c>
      <c r="BG7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70" s="419">
        <f>IF(WWWW[[#This Row],['#_of_functional_handwashing_facilities_at_HH_level]]*6&gt;WWWW[[#This Row],[Total PoP ]],WWWW[[#This Row],[Total PoP ]],WWWW[[#This Row],['#_of_functional_handwashing_facilities_at_HH_level]]*6)</f>
        <v>0</v>
      </c>
      <c r="BI70" s="421">
        <f>IF(WWWW[[#This Row],['# people reached by regular dedicated hygiene promotion]]&gt;WWWW[[#This Row],['# People received regular supply of hygiene items]],WWWW[[#This Row],['# people reached by regular dedicated hygiene promotion]],WWWW[[#This Row],['# People received regular supply of hygiene items]])</f>
        <v>0</v>
      </c>
      <c r="BJ70" s="424">
        <f>IF(WWWW[[#This Row],[HRP3]]/WWWW[[#This Row],[Total PoP ]]&gt;100%,100%,WWWW[[#This Row],[HRP3]]/WWWW[[#This Row],[Total PoP ]])</f>
        <v>0</v>
      </c>
      <c r="BK70" s="423">
        <f>1-WWWW[[#This Row],[Hygiene Coverage%]]</f>
        <v>1</v>
      </c>
      <c r="BL70" s="422">
        <f>WWWW[[#This Row],['# people reached by regular dedicated hygiene promotion]]/WWWW[[#This Row],[Total PoP ]]</f>
        <v>0</v>
      </c>
      <c r="BM7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0" s="421">
        <f>WWWW[[#This Row],['#_of_affected_women_and_girls_receiving_a_sufficient_quantity_of_sanitary_pads]]</f>
        <v>0</v>
      </c>
      <c r="BO70" s="420">
        <f>IF(WWWW[[#This Row],['# People with access to soap]]&gt;WWWW[[#This Row],['# People with access to Sanity Pads]],WWWW[[#This Row],['# People with access to soap]],WWWW[[#This Row],['# People with access to Sanity Pads]])</f>
        <v>0</v>
      </c>
      <c r="BP70" s="419" t="str">
        <f>IF(OR(WWWW[[#This Row],['#of students in school]]="",WWWW[[#This Row],['#of students in school]]=0),"No","Yes")</f>
        <v>No</v>
      </c>
      <c r="BQ70" s="417" t="str">
        <f>VLOOKUP(WWWW[[#This Row],[Village  Name]],SiteDB6[[Site Name]:[Location Type 1]],9,FALSE)</f>
        <v>Village</v>
      </c>
      <c r="BR70" s="417" t="str">
        <f>VLOOKUP(WWWW[[#This Row],[Village  Name]],SiteDB6[[Site Name]:[Type of Accommodation]],10,FALSE)</f>
        <v>Village</v>
      </c>
      <c r="BS70" s="417" t="str">
        <f>VLOOKUP(WWWW[[#This Row],[Village  Name]],SiteDB6[[Site Name]:[Ethnic or GCA/NGCA]],11,FALSE)</f>
        <v>Rakhine</v>
      </c>
      <c r="BT70" s="417">
        <f>VLOOKUP(WWWW[[#This Row],[Village  Name]],SiteDB6[[Site Name]:[Lat]],12,FALSE)</f>
        <v>0</v>
      </c>
      <c r="BU70" s="417">
        <f>VLOOKUP(WWWW[[#This Row],[Village  Name]],SiteDB6[[Site Name]:[Long]],13,FALSE)</f>
        <v>0</v>
      </c>
      <c r="BV70" s="417">
        <f>VLOOKUP(WWWW[[#This Row],[Village  Name]],SiteDB6[[Site Name]:[Pcode]],3,FALSE)</f>
        <v>197462</v>
      </c>
      <c r="BW70" s="425" t="str">
        <f t="shared" si="2"/>
        <v>Covered</v>
      </c>
      <c r="BX70" s="425"/>
      <c r="BY70" s="33"/>
      <c r="CA70"/>
      <c r="CB70" s="33"/>
      <c r="CC70" s="36"/>
      <c r="CE70" s="37"/>
      <c r="CN70" s="20"/>
    </row>
    <row r="71" spans="1:92" hidden="1">
      <c r="A71" s="412" t="s">
        <v>2380</v>
      </c>
      <c r="B71" s="412" t="s">
        <v>336</v>
      </c>
      <c r="C71" s="418" t="s">
        <v>336</v>
      </c>
      <c r="D71" s="418" t="s">
        <v>329</v>
      </c>
      <c r="E71" s="551" t="s">
        <v>2687</v>
      </c>
      <c r="F71" s="418" t="s">
        <v>404</v>
      </c>
      <c r="G71" s="551" t="str">
        <f>VLOOKUP(WWWW[[#This Row],[Village  Name]],SiteDB6[[Site Name]:[Location Type]],8,FALSE)</f>
        <v>Village</v>
      </c>
      <c r="H71" s="418" t="s">
        <v>2585</v>
      </c>
      <c r="I71" s="420">
        <v>147</v>
      </c>
      <c r="J71" s="420">
        <v>601</v>
      </c>
      <c r="K71" s="426"/>
      <c r="L71" s="427">
        <v>44439</v>
      </c>
      <c r="M71" s="420">
        <v>112</v>
      </c>
      <c r="N71" s="420"/>
      <c r="O71" s="420"/>
      <c r="P71" s="420"/>
      <c r="Q71" s="420">
        <v>1</v>
      </c>
      <c r="R71" s="420"/>
      <c r="S71" s="420"/>
      <c r="T71" s="642"/>
      <c r="U71" s="420">
        <v>147</v>
      </c>
      <c r="V71" s="420" t="s">
        <v>128</v>
      </c>
      <c r="W71" s="420">
        <v>1</v>
      </c>
      <c r="X71" s="420"/>
      <c r="Y71" s="420"/>
      <c r="Z71" s="420"/>
      <c r="AA71" s="420"/>
      <c r="AB71" s="642"/>
      <c r="AC71" s="420"/>
      <c r="AD71" s="420">
        <v>30</v>
      </c>
      <c r="AE71" s="420"/>
      <c r="AF71" s="420"/>
      <c r="AG71" s="420"/>
      <c r="AH71" s="420"/>
      <c r="AI71" s="420"/>
      <c r="AJ71" s="420"/>
      <c r="AK71" s="420"/>
      <c r="AL71" s="420"/>
      <c r="AM71" s="642"/>
      <c r="AN71" s="420"/>
      <c r="AO71" s="420"/>
      <c r="AP7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1" s="419">
        <f>WWWW[[#This Row],[%Equitable and continuous access to sufficient quantity of safe drinking water]]*WWWW[[#This Row],[Total PoP ]]</f>
        <v>0</v>
      </c>
      <c r="AR7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71" s="419">
        <f>WWWW[[#This Row],[% Access to unimproved water points]]*WWWW[[#This Row],[Total PoP ]]</f>
        <v>601</v>
      </c>
      <c r="AT7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7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v>
      </c>
      <c r="AV71" s="419">
        <f>WWWW[[#This Row],[HRP1]]/250</f>
        <v>2.4039999999999999</v>
      </c>
      <c r="AW71" s="424">
        <f>1-WWWW[[#This Row],[% Equitable and continuous access to sufficient quantity of domestic water]]</f>
        <v>0</v>
      </c>
      <c r="AX71" s="419">
        <f>WWWW[[#This Row],[%equitable and continuous access to sufficient quantity of safe drinking and domestic water''s GAP]]*WWWW[[#This Row],[Total PoP ]]</f>
        <v>0</v>
      </c>
      <c r="AY71" s="421">
        <f>IF(WWWW[[#This Row],[Total required water points]]-WWWW[[#This Row],['#Water points coverage]]&lt;0,0,WWWW[[#This Row],[Total required water points]]-WWWW[[#This Row],['#Water points coverage]])</f>
        <v>0</v>
      </c>
      <c r="AZ71" s="421">
        <f>ROUND(IF(WWWW[[#This Row],[Total PoP ]]&lt;250,1,WWWW[[#This Row],[Total PoP ]]/250),0)</f>
        <v>2</v>
      </c>
      <c r="BA7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71" s="419">
        <f>WWWW[[#This Row],[% people access to functioning Latrine]]*WWWW[[#This Row],[Total PoP ]]</f>
        <v>601</v>
      </c>
      <c r="BC71" s="421">
        <f>WWWW[[#This Row],['#_of_Functioning_latrines_in_school]]*50</f>
        <v>50</v>
      </c>
      <c r="BD71" s="421">
        <f>ROUND((WWWW[[#This Row],[Total PoP ]]/6),0)</f>
        <v>100</v>
      </c>
      <c r="BE71" s="421">
        <f>IF(WWWW[[#This Row],[Total required Latrines]]-(WWWW[[#This Row],['#_of_sanitary_fly-proof_HH_latrines]])&lt;0,0,WWWW[[#This Row],[Total required Latrines]]-(WWWW[[#This Row],['#_of_sanitary_fly-proof_HH_latrines]]))</f>
        <v>0</v>
      </c>
      <c r="BF71" s="72">
        <f>1-WWWW[[#This Row],[% people access to functioning Latrine]]</f>
        <v>0</v>
      </c>
      <c r="BG7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30</v>
      </c>
      <c r="BH71" s="419">
        <f>IF(WWWW[[#This Row],['#_of_functional_handwashing_facilities_at_HH_level]]*6&gt;WWWW[[#This Row],[Total PoP ]],WWWW[[#This Row],[Total PoP ]],WWWW[[#This Row],['#_of_functional_handwashing_facilities_at_HH_level]]*6)</f>
        <v>0</v>
      </c>
      <c r="BI71" s="421">
        <f>IF(WWWW[[#This Row],['# people reached by regular dedicated hygiene promotion]]&gt;WWWW[[#This Row],['# People received regular supply of hygiene items]],WWWW[[#This Row],['# people reached by regular dedicated hygiene promotion]],WWWW[[#This Row],['# People received regular supply of hygiene items]])</f>
        <v>30</v>
      </c>
      <c r="BJ71" s="424">
        <f>IF(WWWW[[#This Row],[HRP3]]/WWWW[[#This Row],[Total PoP ]]&gt;100%,100%,WWWW[[#This Row],[HRP3]]/WWWW[[#This Row],[Total PoP ]])</f>
        <v>4.9916805324459232E-2</v>
      </c>
      <c r="BK71" s="423">
        <f>1-WWWW[[#This Row],[Hygiene Coverage%]]</f>
        <v>0.95008319467554081</v>
      </c>
      <c r="BL71" s="422">
        <f>WWWW[[#This Row],['# people reached by regular dedicated hygiene promotion]]/WWWW[[#This Row],[Total PoP ]]</f>
        <v>4.9916805324459232E-2</v>
      </c>
      <c r="BM7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1" s="421">
        <f>WWWW[[#This Row],['#_of_affected_women_and_girls_receiving_a_sufficient_quantity_of_sanitary_pads]]</f>
        <v>0</v>
      </c>
      <c r="BO71" s="420">
        <f>IF(WWWW[[#This Row],['# People with access to soap]]&gt;WWWW[[#This Row],['# People with access to Sanity Pads]],WWWW[[#This Row],['# People with access to soap]],WWWW[[#This Row],['# People with access to Sanity Pads]])</f>
        <v>0</v>
      </c>
      <c r="BP71" s="419" t="str">
        <f>IF(OR(WWWW[[#This Row],['#of students in school]]="",WWWW[[#This Row],['#of students in school]]=0),"No","Yes")</f>
        <v>Yes</v>
      </c>
      <c r="BQ71" s="417" t="str">
        <f>VLOOKUP(WWWW[[#This Row],[Village  Name]],SiteDB6[[Site Name]:[Location Type 1]],9,FALSE)</f>
        <v>Village</v>
      </c>
      <c r="BR71" s="417" t="str">
        <f>VLOOKUP(WWWW[[#This Row],[Village  Name]],SiteDB6[[Site Name]:[Type of Accommodation]],10,FALSE)</f>
        <v>Village</v>
      </c>
      <c r="BS71" s="417" t="str">
        <f>VLOOKUP(WWWW[[#This Row],[Village  Name]],SiteDB6[[Site Name]:[Ethnic or GCA/NGCA]],11,FALSE)</f>
        <v>KhaMi</v>
      </c>
      <c r="BT71" s="417">
        <f>VLOOKUP(WWWW[[#This Row],[Village  Name]],SiteDB6[[Site Name]:[Lat]],12,FALSE)</f>
        <v>0</v>
      </c>
      <c r="BU71" s="417">
        <f>VLOOKUP(WWWW[[#This Row],[Village  Name]],SiteDB6[[Site Name]:[Long]],13,FALSE)</f>
        <v>0</v>
      </c>
      <c r="BV71" s="417">
        <f>VLOOKUP(WWWW[[#This Row],[Village  Name]],SiteDB6[[Site Name]:[Pcode]],3,FALSE)</f>
        <v>197442</v>
      </c>
      <c r="BW71" s="425" t="str">
        <f t="shared" si="2"/>
        <v>Covered</v>
      </c>
      <c r="BX71" s="425"/>
      <c r="BY71" s="33"/>
      <c r="CA71"/>
      <c r="CB71" s="33"/>
      <c r="CC71" s="36"/>
      <c r="CE71" s="37"/>
      <c r="CN71" s="20"/>
    </row>
    <row r="72" spans="1:92" hidden="1">
      <c r="A72" s="412" t="s">
        <v>2380</v>
      </c>
      <c r="B72" s="412" t="s">
        <v>336</v>
      </c>
      <c r="C72" s="418" t="s">
        <v>336</v>
      </c>
      <c r="D72" s="418" t="s">
        <v>329</v>
      </c>
      <c r="E72" s="551" t="s">
        <v>2687</v>
      </c>
      <c r="F72" s="418" t="s">
        <v>404</v>
      </c>
      <c r="G72" s="551" t="str">
        <f>VLOOKUP(WWWW[[#This Row],[Village  Name]],SiteDB6[[Site Name]:[Location Type]],8,FALSE)</f>
        <v>Village</v>
      </c>
      <c r="H72" s="418" t="s">
        <v>2586</v>
      </c>
      <c r="I72" s="420">
        <v>284</v>
      </c>
      <c r="J72" s="420">
        <v>1292</v>
      </c>
      <c r="K72" s="426"/>
      <c r="L72" s="427">
        <v>44439</v>
      </c>
      <c r="M72" s="420">
        <v>425</v>
      </c>
      <c r="N72" s="420"/>
      <c r="O72" s="420"/>
      <c r="P72" s="420"/>
      <c r="Q72" s="420">
        <v>2</v>
      </c>
      <c r="R72" s="420"/>
      <c r="S72" s="420"/>
      <c r="T72" s="642"/>
      <c r="U72" s="420"/>
      <c r="V72" s="420" t="s">
        <v>128</v>
      </c>
      <c r="W72" s="420">
        <v>10</v>
      </c>
      <c r="X72" s="420"/>
      <c r="Y72" s="420"/>
      <c r="Z72" s="420"/>
      <c r="AA72" s="420"/>
      <c r="AB72" s="642"/>
      <c r="AC72" s="420"/>
      <c r="AD72" s="420"/>
      <c r="AE72" s="420"/>
      <c r="AF72" s="420"/>
      <c r="AG72" s="420"/>
      <c r="AH72" s="420"/>
      <c r="AI72" s="420"/>
      <c r="AJ72" s="420"/>
      <c r="AK72" s="420"/>
      <c r="AL72" s="420"/>
      <c r="AM72" s="642"/>
      <c r="AN72" s="420"/>
      <c r="AO72" s="420"/>
      <c r="AP7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2" s="419">
        <f>WWWW[[#This Row],[%Equitable and continuous access to sufficient quantity of safe drinking water]]*WWWW[[#This Row],[Total PoP ]]</f>
        <v>0</v>
      </c>
      <c r="AR7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72" s="419">
        <f>WWWW[[#This Row],[% Access to unimproved water points]]*WWWW[[#This Row],[Total PoP ]]</f>
        <v>1292</v>
      </c>
      <c r="AT7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7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1292</v>
      </c>
      <c r="AV72" s="419">
        <f>WWWW[[#This Row],[HRP1]]/250</f>
        <v>5.1680000000000001</v>
      </c>
      <c r="AW72" s="424">
        <f>1-WWWW[[#This Row],[% Equitable and continuous access to sufficient quantity of domestic water]]</f>
        <v>0</v>
      </c>
      <c r="AX72" s="419">
        <f>WWWW[[#This Row],[%equitable and continuous access to sufficient quantity of safe drinking and domestic water''s GAP]]*WWWW[[#This Row],[Total PoP ]]</f>
        <v>0</v>
      </c>
      <c r="AY72" s="421">
        <f>IF(WWWW[[#This Row],[Total required water points]]-WWWW[[#This Row],['#Water points coverage]]&lt;0,0,WWWW[[#This Row],[Total required water points]]-WWWW[[#This Row],['#Water points coverage]])</f>
        <v>0</v>
      </c>
      <c r="AZ72" s="421">
        <f>ROUND(IF(WWWW[[#This Row],[Total PoP ]]&lt;250,1,WWWW[[#This Row],[Total PoP ]]/250),0)</f>
        <v>5</v>
      </c>
      <c r="BA7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0.38699690402476783</v>
      </c>
      <c r="BB72" s="419">
        <f>WWWW[[#This Row],[% people access to functioning Latrine]]*WWWW[[#This Row],[Total PoP ]]</f>
        <v>500.00000000000006</v>
      </c>
      <c r="BC72" s="421">
        <f>WWWW[[#This Row],['#_of_Functioning_latrines_in_school]]*50</f>
        <v>500</v>
      </c>
      <c r="BD72" s="421">
        <f>ROUND((WWWW[[#This Row],[Total PoP ]]/6),0)</f>
        <v>215</v>
      </c>
      <c r="BE72" s="421">
        <f>IF(WWWW[[#This Row],[Total required Latrines]]-(WWWW[[#This Row],['#_of_sanitary_fly-proof_HH_latrines]])&lt;0,0,WWWW[[#This Row],[Total required Latrines]]-(WWWW[[#This Row],['#_of_sanitary_fly-proof_HH_latrines]]))</f>
        <v>215</v>
      </c>
      <c r="BF72" s="72">
        <f>1-WWWW[[#This Row],[% people access to functioning Latrine]]</f>
        <v>0.61300309597523217</v>
      </c>
      <c r="BG7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72" s="419">
        <f>IF(WWWW[[#This Row],['#_of_functional_handwashing_facilities_at_HH_level]]*6&gt;WWWW[[#This Row],[Total PoP ]],WWWW[[#This Row],[Total PoP ]],WWWW[[#This Row],['#_of_functional_handwashing_facilities_at_HH_level]]*6)</f>
        <v>0</v>
      </c>
      <c r="BI72" s="421">
        <f>IF(WWWW[[#This Row],['# people reached by regular dedicated hygiene promotion]]&gt;WWWW[[#This Row],['# People received regular supply of hygiene items]],WWWW[[#This Row],['# people reached by regular dedicated hygiene promotion]],WWWW[[#This Row],['# People received regular supply of hygiene items]])</f>
        <v>0</v>
      </c>
      <c r="BJ72" s="424">
        <f>IF(WWWW[[#This Row],[HRP3]]/WWWW[[#This Row],[Total PoP ]]&gt;100%,100%,WWWW[[#This Row],[HRP3]]/WWWW[[#This Row],[Total PoP ]])</f>
        <v>0</v>
      </c>
      <c r="BK72" s="423">
        <f>1-WWWW[[#This Row],[Hygiene Coverage%]]</f>
        <v>1</v>
      </c>
      <c r="BL72" s="422">
        <f>WWWW[[#This Row],['# people reached by regular dedicated hygiene promotion]]/WWWW[[#This Row],[Total PoP ]]</f>
        <v>0</v>
      </c>
      <c r="BM7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2" s="421">
        <f>WWWW[[#This Row],['#_of_affected_women_and_girls_receiving_a_sufficient_quantity_of_sanitary_pads]]</f>
        <v>0</v>
      </c>
      <c r="BO72" s="420">
        <f>IF(WWWW[[#This Row],['# People with access to soap]]&gt;WWWW[[#This Row],['# People with access to Sanity Pads]],WWWW[[#This Row],['# People with access to soap]],WWWW[[#This Row],['# People with access to Sanity Pads]])</f>
        <v>0</v>
      </c>
      <c r="BP72" s="419" t="str">
        <f>IF(OR(WWWW[[#This Row],['#of students in school]]="",WWWW[[#This Row],['#of students in school]]=0),"No","Yes")</f>
        <v>Yes</v>
      </c>
      <c r="BQ72" s="417" t="str">
        <f>VLOOKUP(WWWW[[#This Row],[Village  Name]],SiteDB6[[Site Name]:[Location Type 1]],9,FALSE)</f>
        <v>Village</v>
      </c>
      <c r="BR72" s="417" t="str">
        <f>VLOOKUP(WWWW[[#This Row],[Village  Name]],SiteDB6[[Site Name]:[Type of Accommodation]],10,FALSE)</f>
        <v>Village</v>
      </c>
      <c r="BS72" s="417" t="str">
        <f>VLOOKUP(WWWW[[#This Row],[Village  Name]],SiteDB6[[Site Name]:[Ethnic or GCA/NGCA]],11,FALSE)</f>
        <v>Rakhine</v>
      </c>
      <c r="BT72" s="417">
        <f>VLOOKUP(WWWW[[#This Row],[Village  Name]],SiteDB6[[Site Name]:[Lat]],12,FALSE)</f>
        <v>0</v>
      </c>
      <c r="BU72" s="417">
        <f>VLOOKUP(WWWW[[#This Row],[Village  Name]],SiteDB6[[Site Name]:[Long]],13,FALSE)</f>
        <v>0</v>
      </c>
      <c r="BV72" s="417">
        <f>VLOOKUP(WWWW[[#This Row],[Village  Name]],SiteDB6[[Site Name]:[Pcode]],3,FALSE)</f>
        <v>197405</v>
      </c>
      <c r="BW72" s="425" t="str">
        <f t="shared" si="2"/>
        <v>Covered</v>
      </c>
      <c r="BX72" s="425"/>
      <c r="BY72" s="33"/>
      <c r="CA72"/>
      <c r="CB72" s="33"/>
      <c r="CC72" s="36"/>
      <c r="CE72" s="37"/>
      <c r="CN72" s="20"/>
    </row>
    <row r="73" spans="1:92" hidden="1">
      <c r="A73" s="412" t="s">
        <v>2380</v>
      </c>
      <c r="B73" s="412" t="s">
        <v>336</v>
      </c>
      <c r="C73" s="418" t="s">
        <v>336</v>
      </c>
      <c r="D73" s="418" t="s">
        <v>329</v>
      </c>
      <c r="E73" s="551" t="s">
        <v>2687</v>
      </c>
      <c r="F73" s="418" t="s">
        <v>404</v>
      </c>
      <c r="G73" s="551" t="str">
        <f>VLOOKUP(WWWW[[#This Row],[Village  Name]],SiteDB6[[Site Name]:[Location Type]],8,FALSE)</f>
        <v>Village</v>
      </c>
      <c r="H73" s="418" t="s">
        <v>2589</v>
      </c>
      <c r="I73" s="420">
        <v>173</v>
      </c>
      <c r="J73" s="420">
        <v>354</v>
      </c>
      <c r="K73" s="426"/>
      <c r="L73" s="427">
        <v>44439</v>
      </c>
      <c r="M73" s="420">
        <v>132</v>
      </c>
      <c r="N73" s="420"/>
      <c r="O73" s="420"/>
      <c r="P73" s="420"/>
      <c r="Q73" s="420">
        <v>1</v>
      </c>
      <c r="R73" s="420"/>
      <c r="S73" s="420"/>
      <c r="T73" s="642"/>
      <c r="U73" s="420"/>
      <c r="V73" s="420" t="s">
        <v>128</v>
      </c>
      <c r="W73" s="420">
        <v>0</v>
      </c>
      <c r="X73" s="420"/>
      <c r="Y73" s="420"/>
      <c r="Z73" s="420"/>
      <c r="AA73" s="420"/>
      <c r="AB73" s="642"/>
      <c r="AC73" s="420"/>
      <c r="AD73" s="420"/>
      <c r="AE73" s="420"/>
      <c r="AF73" s="420"/>
      <c r="AG73" s="420"/>
      <c r="AH73" s="420"/>
      <c r="AI73" s="420"/>
      <c r="AJ73" s="420"/>
      <c r="AK73" s="420"/>
      <c r="AL73" s="420"/>
      <c r="AM73" s="642"/>
      <c r="AN73" s="420"/>
      <c r="AO73" s="420"/>
      <c r="AP7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3" s="419">
        <f>WWWW[[#This Row],[%Equitable and continuous access to sufficient quantity of safe drinking water]]*WWWW[[#This Row],[Total PoP ]]</f>
        <v>0</v>
      </c>
      <c r="AR7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73" s="419">
        <f>WWWW[[#This Row],[% Access to unimproved water points]]*WWWW[[#This Row],[Total PoP ]]</f>
        <v>354</v>
      </c>
      <c r="AT7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7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354</v>
      </c>
      <c r="AV73" s="419">
        <f>WWWW[[#This Row],[HRP1]]/250</f>
        <v>1.4159999999999999</v>
      </c>
      <c r="AW73" s="424">
        <f>1-WWWW[[#This Row],[% Equitable and continuous access to sufficient quantity of domestic water]]</f>
        <v>0</v>
      </c>
      <c r="AX73" s="419">
        <f>WWWW[[#This Row],[%equitable and continuous access to sufficient quantity of safe drinking and domestic water''s GAP]]*WWWW[[#This Row],[Total PoP ]]</f>
        <v>0</v>
      </c>
      <c r="AY73" s="421">
        <f>IF(WWWW[[#This Row],[Total required water points]]-WWWW[[#This Row],['#Water points coverage]]&lt;0,0,WWWW[[#This Row],[Total required water points]]-WWWW[[#This Row],['#Water points coverage]])</f>
        <v>0</v>
      </c>
      <c r="AZ73" s="421">
        <f>ROUND(IF(WWWW[[#This Row],[Total PoP ]]&lt;250,1,WWWW[[#This Row],[Total PoP ]]/250),0)</f>
        <v>1</v>
      </c>
      <c r="BA7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73" s="419">
        <f>WWWW[[#This Row],[% people access to functioning Latrine]]*WWWW[[#This Row],[Total PoP ]]</f>
        <v>0</v>
      </c>
      <c r="BC73" s="421">
        <f>WWWW[[#This Row],['#_of_Functioning_latrines_in_school]]*50</f>
        <v>0</v>
      </c>
      <c r="BD73" s="421">
        <f>ROUND((WWWW[[#This Row],[Total PoP ]]/6),0)</f>
        <v>59</v>
      </c>
      <c r="BE73" s="421">
        <f>IF(WWWW[[#This Row],[Total required Latrines]]-(WWWW[[#This Row],['#_of_sanitary_fly-proof_HH_latrines]])&lt;0,0,WWWW[[#This Row],[Total required Latrines]]-(WWWW[[#This Row],['#_of_sanitary_fly-proof_HH_latrines]]))</f>
        <v>59</v>
      </c>
      <c r="BF73" s="72">
        <f>1-WWWW[[#This Row],[% people access to functioning Latrine]]</f>
        <v>1</v>
      </c>
      <c r="BG7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73" s="419">
        <f>IF(WWWW[[#This Row],['#_of_functional_handwashing_facilities_at_HH_level]]*6&gt;WWWW[[#This Row],[Total PoP ]],WWWW[[#This Row],[Total PoP ]],WWWW[[#This Row],['#_of_functional_handwashing_facilities_at_HH_level]]*6)</f>
        <v>0</v>
      </c>
      <c r="BI73" s="421">
        <f>IF(WWWW[[#This Row],['# people reached by regular dedicated hygiene promotion]]&gt;WWWW[[#This Row],['# People received regular supply of hygiene items]],WWWW[[#This Row],['# people reached by regular dedicated hygiene promotion]],WWWW[[#This Row],['# People received regular supply of hygiene items]])</f>
        <v>0</v>
      </c>
      <c r="BJ73" s="424">
        <f>IF(WWWW[[#This Row],[HRP3]]/WWWW[[#This Row],[Total PoP ]]&gt;100%,100%,WWWW[[#This Row],[HRP3]]/WWWW[[#This Row],[Total PoP ]])</f>
        <v>0</v>
      </c>
      <c r="BK73" s="423">
        <f>1-WWWW[[#This Row],[Hygiene Coverage%]]</f>
        <v>1</v>
      </c>
      <c r="BL73" s="422">
        <f>WWWW[[#This Row],['# people reached by regular dedicated hygiene promotion]]/WWWW[[#This Row],[Total PoP ]]</f>
        <v>0</v>
      </c>
      <c r="BM7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3" s="421">
        <f>WWWW[[#This Row],['#_of_affected_women_and_girls_receiving_a_sufficient_quantity_of_sanitary_pads]]</f>
        <v>0</v>
      </c>
      <c r="BO73" s="420">
        <f>IF(WWWW[[#This Row],['# People with access to soap]]&gt;WWWW[[#This Row],['# People with access to Sanity Pads]],WWWW[[#This Row],['# People with access to soap]],WWWW[[#This Row],['# People with access to Sanity Pads]])</f>
        <v>0</v>
      </c>
      <c r="BP73" s="419" t="str">
        <f>IF(OR(WWWW[[#This Row],['#of students in school]]="",WWWW[[#This Row],['#of students in school]]=0),"No","Yes")</f>
        <v>Yes</v>
      </c>
      <c r="BQ73" s="417" t="str">
        <f>VLOOKUP(WWWW[[#This Row],[Village  Name]],SiteDB6[[Site Name]:[Location Type 1]],9,FALSE)</f>
        <v>Village</v>
      </c>
      <c r="BR73" s="417" t="str">
        <f>VLOOKUP(WWWW[[#This Row],[Village  Name]],SiteDB6[[Site Name]:[Type of Accommodation]],10,FALSE)</f>
        <v>Village</v>
      </c>
      <c r="BS73" s="417" t="str">
        <f>VLOOKUP(WWWW[[#This Row],[Village  Name]],SiteDB6[[Site Name]:[Ethnic or GCA/NGCA]],11,FALSE)</f>
        <v>Rakhine</v>
      </c>
      <c r="BT73" s="417">
        <f>VLOOKUP(WWWW[[#This Row],[Village  Name]],SiteDB6[[Site Name]:[Lat]],12,FALSE)</f>
        <v>0</v>
      </c>
      <c r="BU73" s="417">
        <f>VLOOKUP(WWWW[[#This Row],[Village  Name]],SiteDB6[[Site Name]:[Long]],13,FALSE)</f>
        <v>0</v>
      </c>
      <c r="BV73" s="417">
        <f>VLOOKUP(WWWW[[#This Row],[Village  Name]],SiteDB6[[Site Name]:[Pcode]],3,FALSE)</f>
        <v>197403</v>
      </c>
      <c r="BW73" s="425" t="str">
        <f t="shared" si="2"/>
        <v>Covered</v>
      </c>
      <c r="BX73" s="425"/>
      <c r="BY73" s="33"/>
      <c r="CA73"/>
      <c r="CB73" s="33"/>
      <c r="CC73" s="36"/>
      <c r="CE73" s="37"/>
      <c r="CN73" s="20"/>
    </row>
    <row r="74" spans="1:92" hidden="1">
      <c r="A74" s="412" t="s">
        <v>2380</v>
      </c>
      <c r="B74" s="412" t="s">
        <v>336</v>
      </c>
      <c r="C74" s="418" t="s">
        <v>336</v>
      </c>
      <c r="D74" s="418" t="s">
        <v>329</v>
      </c>
      <c r="E74" s="551" t="s">
        <v>2687</v>
      </c>
      <c r="F74" s="418" t="s">
        <v>404</v>
      </c>
      <c r="G74" s="551" t="str">
        <f>VLOOKUP(WWWW[[#This Row],[Village  Name]],SiteDB6[[Site Name]:[Location Type]],8,FALSE)</f>
        <v>Village</v>
      </c>
      <c r="H74" s="418" t="s">
        <v>2588</v>
      </c>
      <c r="I74" s="420">
        <v>66</v>
      </c>
      <c r="J74" s="420">
        <v>1018</v>
      </c>
      <c r="K74" s="426"/>
      <c r="L74" s="427">
        <v>44439</v>
      </c>
      <c r="M74" s="420">
        <v>34</v>
      </c>
      <c r="N74" s="420"/>
      <c r="O74" s="420"/>
      <c r="P74" s="420"/>
      <c r="Q74" s="420">
        <v>2</v>
      </c>
      <c r="R74" s="420"/>
      <c r="S74" s="420"/>
      <c r="T74" s="642"/>
      <c r="U74" s="420"/>
      <c r="V74" s="420" t="s">
        <v>128</v>
      </c>
      <c r="W74" s="420">
        <v>3</v>
      </c>
      <c r="X74" s="420"/>
      <c r="Y74" s="420"/>
      <c r="Z74" s="420"/>
      <c r="AA74" s="420"/>
      <c r="AB74" s="642"/>
      <c r="AC74" s="420"/>
      <c r="AD74" s="420"/>
      <c r="AE74" s="420"/>
      <c r="AF74" s="420"/>
      <c r="AG74" s="420"/>
      <c r="AH74" s="420"/>
      <c r="AI74" s="420"/>
      <c r="AJ74" s="420"/>
      <c r="AK74" s="420"/>
      <c r="AL74" s="420"/>
      <c r="AM74" s="642"/>
      <c r="AN74" s="420"/>
      <c r="AO74" s="420"/>
      <c r="AP7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4" s="419">
        <f>WWWW[[#This Row],[%Equitable and continuous access to sufficient quantity of safe drinking water]]*WWWW[[#This Row],[Total PoP ]]</f>
        <v>0</v>
      </c>
      <c r="AR7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74" s="419">
        <f>WWWW[[#This Row],[% Access to unimproved water points]]*WWWW[[#This Row],[Total PoP ]]</f>
        <v>1018</v>
      </c>
      <c r="AT7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7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1018</v>
      </c>
      <c r="AV74" s="419">
        <f>WWWW[[#This Row],[HRP1]]/250</f>
        <v>4.0720000000000001</v>
      </c>
      <c r="AW74" s="424">
        <f>1-WWWW[[#This Row],[% Equitable and continuous access to sufficient quantity of domestic water]]</f>
        <v>0</v>
      </c>
      <c r="AX74" s="419">
        <f>WWWW[[#This Row],[%equitable and continuous access to sufficient quantity of safe drinking and domestic water''s GAP]]*WWWW[[#This Row],[Total PoP ]]</f>
        <v>0</v>
      </c>
      <c r="AY74" s="421">
        <f>IF(WWWW[[#This Row],[Total required water points]]-WWWW[[#This Row],['#Water points coverage]]&lt;0,0,WWWW[[#This Row],[Total required water points]]-WWWW[[#This Row],['#Water points coverage]])</f>
        <v>0</v>
      </c>
      <c r="AZ74" s="421">
        <f>ROUND(IF(WWWW[[#This Row],[Total PoP ]]&lt;250,1,WWWW[[#This Row],[Total PoP ]]/250),0)</f>
        <v>4</v>
      </c>
      <c r="BA7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0.14734774066797643</v>
      </c>
      <c r="BB74" s="419">
        <f>WWWW[[#This Row],[% people access to functioning Latrine]]*WWWW[[#This Row],[Total PoP ]]</f>
        <v>150</v>
      </c>
      <c r="BC74" s="421">
        <f>WWWW[[#This Row],['#_of_Functioning_latrines_in_school]]*50</f>
        <v>150</v>
      </c>
      <c r="BD74" s="421">
        <f>ROUND((WWWW[[#This Row],[Total PoP ]]/6),0)</f>
        <v>170</v>
      </c>
      <c r="BE74" s="421">
        <f>IF(WWWW[[#This Row],[Total required Latrines]]-(WWWW[[#This Row],['#_of_sanitary_fly-proof_HH_latrines]])&lt;0,0,WWWW[[#This Row],[Total required Latrines]]-(WWWW[[#This Row],['#_of_sanitary_fly-proof_HH_latrines]]))</f>
        <v>170</v>
      </c>
      <c r="BF74" s="72">
        <f>1-WWWW[[#This Row],[% people access to functioning Latrine]]</f>
        <v>0.8526522593320236</v>
      </c>
      <c r="BG7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74" s="419">
        <f>IF(WWWW[[#This Row],['#_of_functional_handwashing_facilities_at_HH_level]]*6&gt;WWWW[[#This Row],[Total PoP ]],WWWW[[#This Row],[Total PoP ]],WWWW[[#This Row],['#_of_functional_handwashing_facilities_at_HH_level]]*6)</f>
        <v>0</v>
      </c>
      <c r="BI74" s="421">
        <f>IF(WWWW[[#This Row],['# people reached by regular dedicated hygiene promotion]]&gt;WWWW[[#This Row],['# People received regular supply of hygiene items]],WWWW[[#This Row],['# people reached by regular dedicated hygiene promotion]],WWWW[[#This Row],['# People received regular supply of hygiene items]])</f>
        <v>0</v>
      </c>
      <c r="BJ74" s="424">
        <f>IF(WWWW[[#This Row],[HRP3]]/WWWW[[#This Row],[Total PoP ]]&gt;100%,100%,WWWW[[#This Row],[HRP3]]/WWWW[[#This Row],[Total PoP ]])</f>
        <v>0</v>
      </c>
      <c r="BK74" s="423">
        <f>1-WWWW[[#This Row],[Hygiene Coverage%]]</f>
        <v>1</v>
      </c>
      <c r="BL74" s="422">
        <f>WWWW[[#This Row],['# people reached by regular dedicated hygiene promotion]]/WWWW[[#This Row],[Total PoP ]]</f>
        <v>0</v>
      </c>
      <c r="BM7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4" s="421">
        <f>WWWW[[#This Row],['#_of_affected_women_and_girls_receiving_a_sufficient_quantity_of_sanitary_pads]]</f>
        <v>0</v>
      </c>
      <c r="BO74" s="420">
        <f>IF(WWWW[[#This Row],['# People with access to soap]]&gt;WWWW[[#This Row],['# People with access to Sanity Pads]],WWWW[[#This Row],['# People with access to soap]],WWWW[[#This Row],['# People with access to Sanity Pads]])</f>
        <v>0</v>
      </c>
      <c r="BP74" s="419" t="str">
        <f>IF(OR(WWWW[[#This Row],['#of students in school]]="",WWWW[[#This Row],['#of students in school]]=0),"No","Yes")</f>
        <v>Yes</v>
      </c>
      <c r="BQ74" s="417" t="str">
        <f>VLOOKUP(WWWW[[#This Row],[Village  Name]],SiteDB6[[Site Name]:[Location Type 1]],9,FALSE)</f>
        <v>Village</v>
      </c>
      <c r="BR74" s="417" t="str">
        <f>VLOOKUP(WWWW[[#This Row],[Village  Name]],SiteDB6[[Site Name]:[Type of Accommodation]],10,FALSE)</f>
        <v>Village</v>
      </c>
      <c r="BS74" s="417" t="str">
        <f>VLOOKUP(WWWW[[#This Row],[Village  Name]],SiteDB6[[Site Name]:[Ethnic or GCA/NGCA]],11,FALSE)</f>
        <v>Rakhine</v>
      </c>
      <c r="BT74" s="417">
        <f>VLOOKUP(WWWW[[#This Row],[Village  Name]],SiteDB6[[Site Name]:[Lat]],12,FALSE)</f>
        <v>20.260679244995099</v>
      </c>
      <c r="BU74" s="417">
        <f>VLOOKUP(WWWW[[#This Row],[Village  Name]],SiteDB6[[Site Name]:[Long]],13,FALSE)</f>
        <v>93.051597595214801</v>
      </c>
      <c r="BV74" s="417">
        <f>VLOOKUP(WWWW[[#This Row],[Village  Name]],SiteDB6[[Site Name]:[Pcode]],3,FALSE)</f>
        <v>197401</v>
      </c>
      <c r="BW74" s="425" t="str">
        <f t="shared" si="2"/>
        <v>Covered</v>
      </c>
      <c r="BX74" s="425"/>
      <c r="BY74" s="33"/>
      <c r="CA74"/>
      <c r="CB74" s="33"/>
      <c r="CC74" s="36"/>
      <c r="CE74" s="37"/>
      <c r="CN74" s="20"/>
    </row>
    <row r="75" spans="1:92" hidden="1">
      <c r="A75" s="412" t="s">
        <v>2380</v>
      </c>
      <c r="B75" s="412" t="s">
        <v>336</v>
      </c>
      <c r="C75" s="418" t="s">
        <v>336</v>
      </c>
      <c r="D75" s="418" t="s">
        <v>329</v>
      </c>
      <c r="E75" s="551" t="s">
        <v>2687</v>
      </c>
      <c r="F75" s="418" t="s">
        <v>404</v>
      </c>
      <c r="G75" s="551" t="str">
        <f>VLOOKUP(WWWW[[#This Row],[Village  Name]],SiteDB6[[Site Name]:[Location Type]],8,FALSE)</f>
        <v>Village</v>
      </c>
      <c r="H75" s="418" t="s">
        <v>2582</v>
      </c>
      <c r="I75" s="420">
        <v>207</v>
      </c>
      <c r="J75" s="420">
        <v>957</v>
      </c>
      <c r="K75" s="426"/>
      <c r="L75" s="427">
        <v>44439</v>
      </c>
      <c r="M75" s="420">
        <v>153</v>
      </c>
      <c r="N75" s="420"/>
      <c r="O75" s="420"/>
      <c r="P75" s="420"/>
      <c r="Q75" s="420">
        <v>1</v>
      </c>
      <c r="R75" s="420"/>
      <c r="S75" s="420"/>
      <c r="T75" s="642"/>
      <c r="U75" s="420"/>
      <c r="V75" s="420" t="s">
        <v>128</v>
      </c>
      <c r="W75" s="420">
        <v>2</v>
      </c>
      <c r="X75" s="420"/>
      <c r="Y75" s="420"/>
      <c r="Z75" s="420"/>
      <c r="AA75" s="420"/>
      <c r="AB75" s="642"/>
      <c r="AC75" s="420"/>
      <c r="AD75" s="420">
        <v>27</v>
      </c>
      <c r="AE75" s="420"/>
      <c r="AF75" s="420"/>
      <c r="AG75" s="420"/>
      <c r="AH75" s="420"/>
      <c r="AI75" s="420"/>
      <c r="AJ75" s="420"/>
      <c r="AK75" s="420"/>
      <c r="AL75" s="420"/>
      <c r="AM75" s="642"/>
      <c r="AN75" s="420"/>
      <c r="AO75" s="420"/>
      <c r="AP7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5" s="419">
        <f>WWWW[[#This Row],[%Equitable and continuous access to sufficient quantity of safe drinking water]]*WWWW[[#This Row],[Total PoP ]]</f>
        <v>0</v>
      </c>
      <c r="AR7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75" s="419">
        <f>WWWW[[#This Row],[% Access to unimproved water points]]*WWWW[[#This Row],[Total PoP ]]</f>
        <v>957</v>
      </c>
      <c r="AT7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7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957</v>
      </c>
      <c r="AV75" s="419">
        <f>WWWW[[#This Row],[HRP1]]/250</f>
        <v>3.8279999999999998</v>
      </c>
      <c r="AW75" s="424">
        <f>1-WWWW[[#This Row],[% Equitable and continuous access to sufficient quantity of domestic water]]</f>
        <v>0</v>
      </c>
      <c r="AX75" s="419">
        <f>WWWW[[#This Row],[%equitable and continuous access to sufficient quantity of safe drinking and domestic water''s GAP]]*WWWW[[#This Row],[Total PoP ]]</f>
        <v>0</v>
      </c>
      <c r="AY75" s="421">
        <f>IF(WWWW[[#This Row],[Total required water points]]-WWWW[[#This Row],['#Water points coverage]]&lt;0,0,WWWW[[#This Row],[Total required water points]]-WWWW[[#This Row],['#Water points coverage]])</f>
        <v>0.17200000000000015</v>
      </c>
      <c r="AZ75" s="421">
        <f>ROUND(IF(WWWW[[#This Row],[Total PoP ]]&lt;250,1,WWWW[[#This Row],[Total PoP ]]/250),0)</f>
        <v>4</v>
      </c>
      <c r="BA7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0.1044932079414838</v>
      </c>
      <c r="BB75" s="419">
        <f>WWWW[[#This Row],[% people access to functioning Latrine]]*WWWW[[#This Row],[Total PoP ]]</f>
        <v>100</v>
      </c>
      <c r="BC75" s="421">
        <f>WWWW[[#This Row],['#_of_Functioning_latrines_in_school]]*50</f>
        <v>100</v>
      </c>
      <c r="BD75" s="421">
        <f>ROUND((WWWW[[#This Row],[Total PoP ]]/6),0)</f>
        <v>160</v>
      </c>
      <c r="BE75" s="421">
        <f>IF(WWWW[[#This Row],[Total required Latrines]]-(WWWW[[#This Row],['#_of_sanitary_fly-proof_HH_latrines]])&lt;0,0,WWWW[[#This Row],[Total required Latrines]]-(WWWW[[#This Row],['#_of_sanitary_fly-proof_HH_latrines]]))</f>
        <v>160</v>
      </c>
      <c r="BF75" s="72">
        <f>1-WWWW[[#This Row],[% people access to functioning Latrine]]</f>
        <v>0.89550679205851624</v>
      </c>
      <c r="BG7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v>
      </c>
      <c r="BH75" s="419">
        <f>IF(WWWW[[#This Row],['#_of_functional_handwashing_facilities_at_HH_level]]*6&gt;WWWW[[#This Row],[Total PoP ]],WWWW[[#This Row],[Total PoP ]],WWWW[[#This Row],['#_of_functional_handwashing_facilities_at_HH_level]]*6)</f>
        <v>0</v>
      </c>
      <c r="BI75" s="421">
        <f>IF(WWWW[[#This Row],['# people reached by regular dedicated hygiene promotion]]&gt;WWWW[[#This Row],['# People received regular supply of hygiene items]],WWWW[[#This Row],['# people reached by regular dedicated hygiene promotion]],WWWW[[#This Row],['# People received regular supply of hygiene items]])</f>
        <v>27</v>
      </c>
      <c r="BJ75" s="424">
        <f>IF(WWWW[[#This Row],[HRP3]]/WWWW[[#This Row],[Total PoP ]]&gt;100%,100%,WWWW[[#This Row],[HRP3]]/WWWW[[#This Row],[Total PoP ]])</f>
        <v>2.8213166144200628E-2</v>
      </c>
      <c r="BK75" s="423">
        <f>1-WWWW[[#This Row],[Hygiene Coverage%]]</f>
        <v>0.97178683385579934</v>
      </c>
      <c r="BL75" s="422">
        <f>WWWW[[#This Row],['# people reached by regular dedicated hygiene promotion]]/WWWW[[#This Row],[Total PoP ]]</f>
        <v>2.8213166144200628E-2</v>
      </c>
      <c r="BM7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5" s="421">
        <f>WWWW[[#This Row],['#_of_affected_women_and_girls_receiving_a_sufficient_quantity_of_sanitary_pads]]</f>
        <v>0</v>
      </c>
      <c r="BO75" s="420">
        <f>IF(WWWW[[#This Row],['# People with access to soap]]&gt;WWWW[[#This Row],['# People with access to Sanity Pads]],WWWW[[#This Row],['# People with access to soap]],WWWW[[#This Row],['# People with access to Sanity Pads]])</f>
        <v>0</v>
      </c>
      <c r="BP75" s="419" t="str">
        <f>IF(OR(WWWW[[#This Row],['#of students in school]]="",WWWW[[#This Row],['#of students in school]]=0),"No","Yes")</f>
        <v>Yes</v>
      </c>
      <c r="BQ75" s="417" t="str">
        <f>VLOOKUP(WWWW[[#This Row],[Village  Name]],SiteDB6[[Site Name]:[Location Type 1]],9,FALSE)</f>
        <v>Village</v>
      </c>
      <c r="BR75" s="417" t="str">
        <f>VLOOKUP(WWWW[[#This Row],[Village  Name]],SiteDB6[[Site Name]:[Type of Accommodation]],10,FALSE)</f>
        <v>Village</v>
      </c>
      <c r="BS75" s="417" t="str">
        <f>VLOOKUP(WWWW[[#This Row],[Village  Name]],SiteDB6[[Site Name]:[Ethnic or GCA/NGCA]],11,FALSE)</f>
        <v>Rakhine</v>
      </c>
      <c r="BT75" s="417">
        <f>VLOOKUP(WWWW[[#This Row],[Village  Name]],SiteDB6[[Site Name]:[Lat]],12,FALSE)</f>
        <v>0</v>
      </c>
      <c r="BU75" s="417">
        <f>VLOOKUP(WWWW[[#This Row],[Village  Name]],SiteDB6[[Site Name]:[Long]],13,FALSE)</f>
        <v>0</v>
      </c>
      <c r="BV75" s="417">
        <f>VLOOKUP(WWWW[[#This Row],[Village  Name]],SiteDB6[[Site Name]:[Pcode]],3,FALSE)</f>
        <v>197451</v>
      </c>
      <c r="BW75" s="425" t="str">
        <f t="shared" si="2"/>
        <v>Covered</v>
      </c>
      <c r="BX75" s="425"/>
      <c r="BY75" s="33"/>
      <c r="CA75"/>
      <c r="CB75" s="33"/>
      <c r="CC75" s="36"/>
      <c r="CE75" s="37"/>
      <c r="CN75" s="20"/>
    </row>
    <row r="76" spans="1:92" hidden="1">
      <c r="A76" s="412" t="s">
        <v>2380</v>
      </c>
      <c r="B76" s="412" t="s">
        <v>336</v>
      </c>
      <c r="C76" s="418" t="s">
        <v>336</v>
      </c>
      <c r="D76" s="418" t="s">
        <v>329</v>
      </c>
      <c r="E76" s="551" t="s">
        <v>2687</v>
      </c>
      <c r="F76" s="418" t="s">
        <v>404</v>
      </c>
      <c r="G76" s="551" t="str">
        <f>VLOOKUP(WWWW[[#This Row],[Village  Name]],SiteDB6[[Site Name]:[Location Type]],8,FALSE)</f>
        <v>Village</v>
      </c>
      <c r="H76" s="418" t="s">
        <v>2580</v>
      </c>
      <c r="I76" s="420">
        <v>279</v>
      </c>
      <c r="J76" s="420">
        <v>1246</v>
      </c>
      <c r="K76" s="426"/>
      <c r="L76" s="427">
        <v>44439</v>
      </c>
      <c r="M76" s="420">
        <v>217</v>
      </c>
      <c r="N76" s="420"/>
      <c r="O76" s="420"/>
      <c r="P76" s="420"/>
      <c r="Q76" s="420">
        <v>1</v>
      </c>
      <c r="R76" s="420"/>
      <c r="S76" s="420"/>
      <c r="T76" s="642"/>
      <c r="U76" s="420"/>
      <c r="V76" s="420" t="s">
        <v>128</v>
      </c>
      <c r="W76" s="420">
        <v>1</v>
      </c>
      <c r="X76" s="420"/>
      <c r="Y76" s="420"/>
      <c r="Z76" s="420"/>
      <c r="AA76" s="420"/>
      <c r="AB76" s="642"/>
      <c r="AC76" s="420">
        <v>3</v>
      </c>
      <c r="AD76" s="420">
        <v>19</v>
      </c>
      <c r="AE76" s="420"/>
      <c r="AF76" s="420"/>
      <c r="AG76" s="420"/>
      <c r="AH76" s="420"/>
      <c r="AI76" s="420"/>
      <c r="AJ76" s="420"/>
      <c r="AK76" s="420"/>
      <c r="AL76" s="420"/>
      <c r="AM76" s="642"/>
      <c r="AN76" s="420"/>
      <c r="AO76" s="420"/>
      <c r="AP7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6" s="419">
        <f>WWWW[[#This Row],[%Equitable and continuous access to sufficient quantity of safe drinking water]]*WWWW[[#This Row],[Total PoP ]]</f>
        <v>0</v>
      </c>
      <c r="AR7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76" s="419">
        <f>WWWW[[#This Row],[% Access to unimproved water points]]*WWWW[[#This Row],[Total PoP ]]</f>
        <v>1246</v>
      </c>
      <c r="AT7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7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1246</v>
      </c>
      <c r="AV76" s="419">
        <f>WWWW[[#This Row],[HRP1]]/250</f>
        <v>4.984</v>
      </c>
      <c r="AW76" s="424">
        <f>1-WWWW[[#This Row],[% Equitable and continuous access to sufficient quantity of domestic water]]</f>
        <v>0</v>
      </c>
      <c r="AX76" s="419">
        <f>WWWW[[#This Row],[%equitable and continuous access to sufficient quantity of safe drinking and domestic water''s GAP]]*WWWW[[#This Row],[Total PoP ]]</f>
        <v>0</v>
      </c>
      <c r="AY76" s="421">
        <f>IF(WWWW[[#This Row],[Total required water points]]-WWWW[[#This Row],['#Water points coverage]]&lt;0,0,WWWW[[#This Row],[Total required water points]]-WWWW[[#This Row],['#Water points coverage]])</f>
        <v>1.6000000000000014E-2</v>
      </c>
      <c r="AZ76" s="421">
        <f>ROUND(IF(WWWW[[#This Row],[Total PoP ]]&lt;250,1,WWWW[[#This Row],[Total PoP ]]/250),0)</f>
        <v>5</v>
      </c>
      <c r="BA7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4.0128410914927769E-2</v>
      </c>
      <c r="BB76" s="419">
        <f>WWWW[[#This Row],[% people access to functioning Latrine]]*WWWW[[#This Row],[Total PoP ]]</f>
        <v>50</v>
      </c>
      <c r="BC76" s="421">
        <f>WWWW[[#This Row],['#_of_Functioning_latrines_in_school]]*50</f>
        <v>50</v>
      </c>
      <c r="BD76" s="421">
        <f>ROUND((WWWW[[#This Row],[Total PoP ]]/6),0)</f>
        <v>208</v>
      </c>
      <c r="BE76" s="421">
        <f>IF(WWWW[[#This Row],[Total required Latrines]]-(WWWW[[#This Row],['#_of_sanitary_fly-proof_HH_latrines]])&lt;0,0,WWWW[[#This Row],[Total required Latrines]]-(WWWW[[#This Row],['#_of_sanitary_fly-proof_HH_latrines]]))</f>
        <v>208</v>
      </c>
      <c r="BF76" s="72">
        <f>1-WWWW[[#This Row],[% people access to functioning Latrine]]</f>
        <v>0.9598715890850722</v>
      </c>
      <c r="BG7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v>
      </c>
      <c r="BH76" s="419">
        <f>IF(WWWW[[#This Row],['#_of_functional_handwashing_facilities_at_HH_level]]*6&gt;WWWW[[#This Row],[Total PoP ]],WWWW[[#This Row],[Total PoP ]],WWWW[[#This Row],['#_of_functional_handwashing_facilities_at_HH_level]]*6)</f>
        <v>0</v>
      </c>
      <c r="BI76" s="421">
        <f>IF(WWWW[[#This Row],['# people reached by regular dedicated hygiene promotion]]&gt;WWWW[[#This Row],['# People received regular supply of hygiene items]],WWWW[[#This Row],['# people reached by regular dedicated hygiene promotion]],WWWW[[#This Row],['# People received regular supply of hygiene items]])</f>
        <v>22</v>
      </c>
      <c r="BJ76" s="424">
        <f>IF(WWWW[[#This Row],[HRP3]]/WWWW[[#This Row],[Total PoP ]]&gt;100%,100%,WWWW[[#This Row],[HRP3]]/WWWW[[#This Row],[Total PoP ]])</f>
        <v>1.7656500802568219E-2</v>
      </c>
      <c r="BK76" s="423">
        <f>1-WWWW[[#This Row],[Hygiene Coverage%]]</f>
        <v>0.9823434991974318</v>
      </c>
      <c r="BL76" s="422">
        <f>WWWW[[#This Row],['# people reached by regular dedicated hygiene promotion]]/WWWW[[#This Row],[Total PoP ]]</f>
        <v>1.7656500802568219E-2</v>
      </c>
      <c r="BM7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6" s="421">
        <f>WWWW[[#This Row],['#_of_affected_women_and_girls_receiving_a_sufficient_quantity_of_sanitary_pads]]</f>
        <v>0</v>
      </c>
      <c r="BO76" s="420">
        <f>IF(WWWW[[#This Row],['# People with access to soap]]&gt;WWWW[[#This Row],['# People with access to Sanity Pads]],WWWW[[#This Row],['# People with access to soap]],WWWW[[#This Row],['# People with access to Sanity Pads]])</f>
        <v>0</v>
      </c>
      <c r="BP76" s="419" t="str">
        <f>IF(OR(WWWW[[#This Row],['#of students in school]]="",WWWW[[#This Row],['#of students in school]]=0),"No","Yes")</f>
        <v>Yes</v>
      </c>
      <c r="BQ76" s="417" t="str">
        <f>VLOOKUP(WWWW[[#This Row],[Village  Name]],SiteDB6[[Site Name]:[Location Type 1]],9,FALSE)</f>
        <v>Village</v>
      </c>
      <c r="BR76" s="417" t="str">
        <f>VLOOKUP(WWWW[[#This Row],[Village  Name]],SiteDB6[[Site Name]:[Type of Accommodation]],10,FALSE)</f>
        <v>Village</v>
      </c>
      <c r="BS76" s="417" t="str">
        <f>VLOOKUP(WWWW[[#This Row],[Village  Name]],SiteDB6[[Site Name]:[Ethnic or GCA/NGCA]],11,FALSE)</f>
        <v>Rakhine</v>
      </c>
      <c r="BT76" s="417">
        <f>VLOOKUP(WWWW[[#This Row],[Village  Name]],SiteDB6[[Site Name]:[Lat]],12,FALSE)</f>
        <v>0</v>
      </c>
      <c r="BU76" s="417">
        <f>VLOOKUP(WWWW[[#This Row],[Village  Name]],SiteDB6[[Site Name]:[Long]],13,FALSE)</f>
        <v>0</v>
      </c>
      <c r="BV76" s="417">
        <f>VLOOKUP(WWWW[[#This Row],[Village  Name]],SiteDB6[[Site Name]:[Pcode]],3,FALSE)</f>
        <v>197447</v>
      </c>
      <c r="BW76" s="425" t="str">
        <f t="shared" si="2"/>
        <v>Covered</v>
      </c>
      <c r="BX76" s="425"/>
      <c r="BY76" s="33"/>
      <c r="CA76"/>
      <c r="CB76" s="33"/>
      <c r="CC76" s="36"/>
      <c r="CE76" s="37"/>
      <c r="CN76" s="20"/>
    </row>
    <row r="77" spans="1:92" hidden="1">
      <c r="A77" s="412" t="s">
        <v>2380</v>
      </c>
      <c r="B77" s="412" t="s">
        <v>316</v>
      </c>
      <c r="C77" s="418" t="s">
        <v>316</v>
      </c>
      <c r="D77" s="418" t="s">
        <v>329</v>
      </c>
      <c r="E77" s="551" t="s">
        <v>2687</v>
      </c>
      <c r="F77" s="418" t="s">
        <v>297</v>
      </c>
      <c r="G77" s="551" t="str">
        <f>VLOOKUP(WWWW[[#This Row],[Village  Name]],SiteDB6[[Site Name]:[Location Type]],8,FALSE)</f>
        <v>Village</v>
      </c>
      <c r="H77" s="418" t="s">
        <v>2610</v>
      </c>
      <c r="I77" s="420">
        <v>192</v>
      </c>
      <c r="J77" s="420">
        <v>1083</v>
      </c>
      <c r="K77" s="426">
        <v>42736</v>
      </c>
      <c r="L77" s="427">
        <v>44551</v>
      </c>
      <c r="M77" s="420"/>
      <c r="N77" s="420"/>
      <c r="O77" s="420"/>
      <c r="P77" s="420"/>
      <c r="Q77" s="420"/>
      <c r="R77" s="420"/>
      <c r="S77" s="420"/>
      <c r="T77" s="642"/>
      <c r="U77" s="420"/>
      <c r="V77" s="611" t="s">
        <v>132</v>
      </c>
      <c r="W77" s="420"/>
      <c r="X77" s="420"/>
      <c r="Y77" s="420"/>
      <c r="Z77" s="420"/>
      <c r="AA77" s="420"/>
      <c r="AB77" s="642"/>
      <c r="AC77" s="420"/>
      <c r="AD77" s="420"/>
      <c r="AE77" s="420"/>
      <c r="AF77" s="420"/>
      <c r="AG77" s="420"/>
      <c r="AH77" s="420"/>
      <c r="AI77" s="420"/>
      <c r="AJ77" s="420"/>
      <c r="AK77" s="420"/>
      <c r="AL77" s="420"/>
      <c r="AM77" s="642"/>
      <c r="AN77" s="420"/>
      <c r="AO77" s="420"/>
      <c r="AP7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7" s="419">
        <f>WWWW[[#This Row],[%Equitable and continuous access to sufficient quantity of safe drinking water]]*WWWW[[#This Row],[Total PoP ]]</f>
        <v>0</v>
      </c>
      <c r="AR7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77" s="419">
        <f>WWWW[[#This Row],[% Access to unimproved water points]]*WWWW[[#This Row],[Total PoP ]]</f>
        <v>0</v>
      </c>
      <c r="AT7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7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77" s="419">
        <f>WWWW[[#This Row],[HRP1]]/250</f>
        <v>0</v>
      </c>
      <c r="AW77" s="424">
        <f>1-WWWW[[#This Row],[% Equitable and continuous access to sufficient quantity of domestic water]]</f>
        <v>1</v>
      </c>
      <c r="AX77" s="419">
        <f>WWWW[[#This Row],[%equitable and continuous access to sufficient quantity of safe drinking and domestic water''s GAP]]*WWWW[[#This Row],[Total PoP ]]</f>
        <v>1083</v>
      </c>
      <c r="AY77" s="421">
        <f>IF(WWWW[[#This Row],[Total required water points]]-WWWW[[#This Row],['#Water points coverage]]&lt;0,0,WWWW[[#This Row],[Total required water points]]-WWWW[[#This Row],['#Water points coverage]])</f>
        <v>4</v>
      </c>
      <c r="AZ77" s="421">
        <f>ROUND(IF(WWWW[[#This Row],[Total PoP ]]&lt;250,1,WWWW[[#This Row],[Total PoP ]]/250),0)</f>
        <v>4</v>
      </c>
      <c r="BA7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77" s="419">
        <f>WWWW[[#This Row],[% people access to functioning Latrine]]*WWWW[[#This Row],[Total PoP ]]</f>
        <v>0</v>
      </c>
      <c r="BC77" s="421">
        <f>WWWW[[#This Row],['#_of_Functioning_latrines_in_school]]*50</f>
        <v>0</v>
      </c>
      <c r="BD77" s="421">
        <f>ROUND((WWWW[[#This Row],[Total PoP ]]/6),0)</f>
        <v>181</v>
      </c>
      <c r="BE77" s="421">
        <f>IF(WWWW[[#This Row],[Total required Latrines]]-(WWWW[[#This Row],['#_of_sanitary_fly-proof_HH_latrines]])&lt;0,0,WWWW[[#This Row],[Total required Latrines]]-(WWWW[[#This Row],['#_of_sanitary_fly-proof_HH_latrines]]))</f>
        <v>181</v>
      </c>
      <c r="BF77" s="72">
        <f>1-WWWW[[#This Row],[% people access to functioning Latrine]]</f>
        <v>1</v>
      </c>
      <c r="BG7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77" s="419">
        <f>IF(WWWW[[#This Row],['#_of_functional_handwashing_facilities_at_HH_level]]*6&gt;WWWW[[#This Row],[Total PoP ]],WWWW[[#This Row],[Total PoP ]],WWWW[[#This Row],['#_of_functional_handwashing_facilities_at_HH_level]]*6)</f>
        <v>0</v>
      </c>
      <c r="BI77" s="421">
        <f>IF(WWWW[[#This Row],['# people reached by regular dedicated hygiene promotion]]&gt;WWWW[[#This Row],['# People received regular supply of hygiene items]],WWWW[[#This Row],['# people reached by regular dedicated hygiene promotion]],WWWW[[#This Row],['# People received regular supply of hygiene items]])</f>
        <v>0</v>
      </c>
      <c r="BJ77" s="424">
        <f>IF(WWWW[[#This Row],[HRP3]]/WWWW[[#This Row],[Total PoP ]]&gt;100%,100%,WWWW[[#This Row],[HRP3]]/WWWW[[#This Row],[Total PoP ]])</f>
        <v>0</v>
      </c>
      <c r="BK77" s="423">
        <f>1-WWWW[[#This Row],[Hygiene Coverage%]]</f>
        <v>1</v>
      </c>
      <c r="BL77" s="422">
        <f>WWWW[[#This Row],['# people reached by regular dedicated hygiene promotion]]/WWWW[[#This Row],[Total PoP ]]</f>
        <v>0</v>
      </c>
      <c r="BM7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7" s="421">
        <f>WWWW[[#This Row],['#_of_affected_women_and_girls_receiving_a_sufficient_quantity_of_sanitary_pads]]</f>
        <v>0</v>
      </c>
      <c r="BO77" s="420">
        <f>IF(WWWW[[#This Row],['# People with access to soap]]&gt;WWWW[[#This Row],['# People with access to Sanity Pads]],WWWW[[#This Row],['# People with access to soap]],WWWW[[#This Row],['# People with access to Sanity Pads]])</f>
        <v>0</v>
      </c>
      <c r="BP77" s="419" t="str">
        <f>IF(OR(WWWW[[#This Row],['#of students in school]]="",WWWW[[#This Row],['#of students in school]]=0),"No","Yes")</f>
        <v>No</v>
      </c>
      <c r="BQ77" s="417" t="str">
        <f>VLOOKUP(WWWW[[#This Row],[Village  Name]],SiteDB6[[Site Name]:[Location Type 1]],9,FALSE)</f>
        <v>Village</v>
      </c>
      <c r="BR77" s="417" t="str">
        <f>VLOOKUP(WWWW[[#This Row],[Village  Name]],SiteDB6[[Site Name]:[Type of Accommodation]],10,FALSE)</f>
        <v>Village</v>
      </c>
      <c r="BS77" s="417">
        <f>VLOOKUP(WWWW[[#This Row],[Village  Name]],SiteDB6[[Site Name]:[Ethnic or GCA/NGCA]],11,FALSE)</f>
        <v>0</v>
      </c>
      <c r="BT77" s="417">
        <f>VLOOKUP(WWWW[[#This Row],[Village  Name]],SiteDB6[[Site Name]:[Lat]],12,FALSE)</f>
        <v>0</v>
      </c>
      <c r="BU77" s="417">
        <f>VLOOKUP(WWWW[[#This Row],[Village  Name]],SiteDB6[[Site Name]:[Long]],13,FALSE)</f>
        <v>0</v>
      </c>
      <c r="BV77" s="417">
        <f>VLOOKUP(WWWW[[#This Row],[Village  Name]],SiteDB6[[Site Name]:[Pcode]],3,FALSE)</f>
        <v>196132</v>
      </c>
      <c r="BW77" s="425" t="str">
        <f t="shared" ref="BW77:BW99" si="3">IF(C77="none","Notcovered","Covered")</f>
        <v>Covered</v>
      </c>
      <c r="BX77" s="425"/>
      <c r="BY77" s="33"/>
      <c r="CA77"/>
      <c r="CB77" s="33"/>
      <c r="CC77" s="36"/>
      <c r="CE77" s="37"/>
      <c r="CN77" s="20"/>
    </row>
    <row r="78" spans="1:92" hidden="1">
      <c r="A78" s="412" t="s">
        <v>2380</v>
      </c>
      <c r="B78" s="412" t="s">
        <v>316</v>
      </c>
      <c r="C78" s="418" t="s">
        <v>316</v>
      </c>
      <c r="D78" s="418" t="s">
        <v>329</v>
      </c>
      <c r="E78" s="551" t="s">
        <v>2687</v>
      </c>
      <c r="F78" s="418" t="s">
        <v>297</v>
      </c>
      <c r="G78" s="551" t="str">
        <f>VLOOKUP(WWWW[[#This Row],[Village  Name]],SiteDB6[[Site Name]:[Location Type]],8,FALSE)</f>
        <v>Village</v>
      </c>
      <c r="H78" s="418" t="s">
        <v>2611</v>
      </c>
      <c r="I78" s="420">
        <v>65</v>
      </c>
      <c r="J78" s="420">
        <v>373</v>
      </c>
      <c r="K78" s="426">
        <v>42736</v>
      </c>
      <c r="L78" s="427">
        <v>44551</v>
      </c>
      <c r="M78" s="420"/>
      <c r="N78" s="420"/>
      <c r="O78" s="420"/>
      <c r="P78" s="420"/>
      <c r="Q78" s="420"/>
      <c r="R78" s="420"/>
      <c r="S78" s="420"/>
      <c r="T78" s="642"/>
      <c r="U78" s="420"/>
      <c r="V78" s="611" t="s">
        <v>132</v>
      </c>
      <c r="W78" s="420"/>
      <c r="X78" s="420"/>
      <c r="Y78" s="420"/>
      <c r="Z78" s="420"/>
      <c r="AA78" s="420"/>
      <c r="AB78" s="642"/>
      <c r="AC78" s="420"/>
      <c r="AD78" s="420"/>
      <c r="AE78" s="420"/>
      <c r="AF78" s="420"/>
      <c r="AG78" s="420"/>
      <c r="AH78" s="420"/>
      <c r="AI78" s="420"/>
      <c r="AJ78" s="420"/>
      <c r="AK78" s="420"/>
      <c r="AL78" s="420"/>
      <c r="AM78" s="642"/>
      <c r="AN78" s="420"/>
      <c r="AO78" s="420"/>
      <c r="AP7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8" s="419">
        <f>WWWW[[#This Row],[%Equitable and continuous access to sufficient quantity of safe drinking water]]*WWWW[[#This Row],[Total PoP ]]</f>
        <v>0</v>
      </c>
      <c r="AR7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78" s="419">
        <f>WWWW[[#This Row],[% Access to unimproved water points]]*WWWW[[#This Row],[Total PoP ]]</f>
        <v>0</v>
      </c>
      <c r="AT7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7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78" s="419">
        <f>WWWW[[#This Row],[HRP1]]/250</f>
        <v>0</v>
      </c>
      <c r="AW78" s="424">
        <f>1-WWWW[[#This Row],[% Equitable and continuous access to sufficient quantity of domestic water]]</f>
        <v>1</v>
      </c>
      <c r="AX78" s="419">
        <f>WWWW[[#This Row],[%equitable and continuous access to sufficient quantity of safe drinking and domestic water''s GAP]]*WWWW[[#This Row],[Total PoP ]]</f>
        <v>373</v>
      </c>
      <c r="AY78" s="421">
        <f>IF(WWWW[[#This Row],[Total required water points]]-WWWW[[#This Row],['#Water points coverage]]&lt;0,0,WWWW[[#This Row],[Total required water points]]-WWWW[[#This Row],['#Water points coverage]])</f>
        <v>1</v>
      </c>
      <c r="AZ78" s="421">
        <f>ROUND(IF(WWWW[[#This Row],[Total PoP ]]&lt;250,1,WWWW[[#This Row],[Total PoP ]]/250),0)</f>
        <v>1</v>
      </c>
      <c r="BA7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78" s="419">
        <f>WWWW[[#This Row],[% people access to functioning Latrine]]*WWWW[[#This Row],[Total PoP ]]</f>
        <v>0</v>
      </c>
      <c r="BC78" s="421">
        <f>WWWW[[#This Row],['#_of_Functioning_latrines_in_school]]*50</f>
        <v>0</v>
      </c>
      <c r="BD78" s="421">
        <f>ROUND((WWWW[[#This Row],[Total PoP ]]/6),0)</f>
        <v>62</v>
      </c>
      <c r="BE78" s="421">
        <f>IF(WWWW[[#This Row],[Total required Latrines]]-(WWWW[[#This Row],['#_of_sanitary_fly-proof_HH_latrines]])&lt;0,0,WWWW[[#This Row],[Total required Latrines]]-(WWWW[[#This Row],['#_of_sanitary_fly-proof_HH_latrines]]))</f>
        <v>62</v>
      </c>
      <c r="BF78" s="72">
        <f>1-WWWW[[#This Row],[% people access to functioning Latrine]]</f>
        <v>1</v>
      </c>
      <c r="BG7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78" s="419">
        <f>IF(WWWW[[#This Row],['#_of_functional_handwashing_facilities_at_HH_level]]*6&gt;WWWW[[#This Row],[Total PoP ]],WWWW[[#This Row],[Total PoP ]],WWWW[[#This Row],['#_of_functional_handwashing_facilities_at_HH_level]]*6)</f>
        <v>0</v>
      </c>
      <c r="BI78" s="421">
        <f>IF(WWWW[[#This Row],['# people reached by regular dedicated hygiene promotion]]&gt;WWWW[[#This Row],['# People received regular supply of hygiene items]],WWWW[[#This Row],['# people reached by regular dedicated hygiene promotion]],WWWW[[#This Row],['# People received regular supply of hygiene items]])</f>
        <v>0</v>
      </c>
      <c r="BJ78" s="424">
        <f>IF(WWWW[[#This Row],[HRP3]]/WWWW[[#This Row],[Total PoP ]]&gt;100%,100%,WWWW[[#This Row],[HRP3]]/WWWW[[#This Row],[Total PoP ]])</f>
        <v>0</v>
      </c>
      <c r="BK78" s="423">
        <f>1-WWWW[[#This Row],[Hygiene Coverage%]]</f>
        <v>1</v>
      </c>
      <c r="BL78" s="422">
        <f>WWWW[[#This Row],['# people reached by regular dedicated hygiene promotion]]/WWWW[[#This Row],[Total PoP ]]</f>
        <v>0</v>
      </c>
      <c r="BM7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8" s="421">
        <f>WWWW[[#This Row],['#_of_affected_women_and_girls_receiving_a_sufficient_quantity_of_sanitary_pads]]</f>
        <v>0</v>
      </c>
      <c r="BO78" s="420">
        <f>IF(WWWW[[#This Row],['# People with access to soap]]&gt;WWWW[[#This Row],['# People with access to Sanity Pads]],WWWW[[#This Row],['# People with access to soap]],WWWW[[#This Row],['# People with access to Sanity Pads]])</f>
        <v>0</v>
      </c>
      <c r="BP78" s="419" t="str">
        <f>IF(OR(WWWW[[#This Row],['#of students in school]]="",WWWW[[#This Row],['#of students in school]]=0),"No","Yes")</f>
        <v>No</v>
      </c>
      <c r="BQ78" s="417" t="str">
        <f>VLOOKUP(WWWW[[#This Row],[Village  Name]],SiteDB6[[Site Name]:[Location Type 1]],9,FALSE)</f>
        <v>Village</v>
      </c>
      <c r="BR78" s="417" t="str">
        <f>VLOOKUP(WWWW[[#This Row],[Village  Name]],SiteDB6[[Site Name]:[Type of Accommodation]],10,FALSE)</f>
        <v>Village</v>
      </c>
      <c r="BS78" s="417">
        <f>VLOOKUP(WWWW[[#This Row],[Village  Name]],SiteDB6[[Site Name]:[Ethnic or GCA/NGCA]],11,FALSE)</f>
        <v>0</v>
      </c>
      <c r="BT78" s="417">
        <f>VLOOKUP(WWWW[[#This Row],[Village  Name]],SiteDB6[[Site Name]:[Lat]],12,FALSE)</f>
        <v>0</v>
      </c>
      <c r="BU78" s="417">
        <f>VLOOKUP(WWWW[[#This Row],[Village  Name]],SiteDB6[[Site Name]:[Long]],13,FALSE)</f>
        <v>0</v>
      </c>
      <c r="BV78" s="417">
        <f>VLOOKUP(WWWW[[#This Row],[Village  Name]],SiteDB6[[Site Name]:[Pcode]],3,FALSE)</f>
        <v>196135</v>
      </c>
      <c r="BW78" s="425" t="str">
        <f t="shared" si="3"/>
        <v>Covered</v>
      </c>
      <c r="BX78" s="425"/>
      <c r="BY78" s="33"/>
      <c r="CA78"/>
      <c r="CB78" s="33"/>
      <c r="CC78" s="36"/>
      <c r="CE78" s="37"/>
      <c r="CN78" s="20"/>
    </row>
    <row r="79" spans="1:92" hidden="1">
      <c r="A79" s="412" t="s">
        <v>2380</v>
      </c>
      <c r="B79" s="412" t="s">
        <v>316</v>
      </c>
      <c r="C79" s="418" t="s">
        <v>316</v>
      </c>
      <c r="D79" s="418" t="s">
        <v>329</v>
      </c>
      <c r="E79" s="551" t="s">
        <v>2687</v>
      </c>
      <c r="F79" s="418" t="s">
        <v>297</v>
      </c>
      <c r="G79" s="551" t="str">
        <f>VLOOKUP(WWWW[[#This Row],[Village  Name]],SiteDB6[[Site Name]:[Location Type]],8,FALSE)</f>
        <v>Village</v>
      </c>
      <c r="H79" s="418" t="s">
        <v>2612</v>
      </c>
      <c r="I79" s="420">
        <v>86</v>
      </c>
      <c r="J79" s="420">
        <v>481</v>
      </c>
      <c r="K79" s="426">
        <v>42736</v>
      </c>
      <c r="L79" s="427">
        <v>44551</v>
      </c>
      <c r="M79" s="420"/>
      <c r="N79" s="420"/>
      <c r="O79" s="420"/>
      <c r="P79" s="420"/>
      <c r="Q79" s="420"/>
      <c r="R79" s="420"/>
      <c r="S79" s="420"/>
      <c r="T79" s="642"/>
      <c r="U79" s="420"/>
      <c r="V79" s="611" t="s">
        <v>132</v>
      </c>
      <c r="W79" s="420"/>
      <c r="X79" s="420"/>
      <c r="Y79" s="420"/>
      <c r="Z79" s="420"/>
      <c r="AA79" s="420"/>
      <c r="AB79" s="642"/>
      <c r="AC79" s="420"/>
      <c r="AD79" s="420"/>
      <c r="AE79" s="420"/>
      <c r="AF79" s="420"/>
      <c r="AG79" s="420"/>
      <c r="AH79" s="420"/>
      <c r="AI79" s="420"/>
      <c r="AJ79" s="420"/>
      <c r="AK79" s="420"/>
      <c r="AL79" s="420"/>
      <c r="AM79" s="642"/>
      <c r="AN79" s="420"/>
      <c r="AO79" s="420"/>
      <c r="AP7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79" s="419">
        <f>WWWW[[#This Row],[%Equitable and continuous access to sufficient quantity of safe drinking water]]*WWWW[[#This Row],[Total PoP ]]</f>
        <v>0</v>
      </c>
      <c r="AR7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79" s="419">
        <f>WWWW[[#This Row],[% Access to unimproved water points]]*WWWW[[#This Row],[Total PoP ]]</f>
        <v>0</v>
      </c>
      <c r="AT7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7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79" s="419">
        <f>WWWW[[#This Row],[HRP1]]/250</f>
        <v>0</v>
      </c>
      <c r="AW79" s="424">
        <f>1-WWWW[[#This Row],[% Equitable and continuous access to sufficient quantity of domestic water]]</f>
        <v>1</v>
      </c>
      <c r="AX79" s="419">
        <f>WWWW[[#This Row],[%equitable and continuous access to sufficient quantity of safe drinking and domestic water''s GAP]]*WWWW[[#This Row],[Total PoP ]]</f>
        <v>481</v>
      </c>
      <c r="AY79" s="421">
        <f>IF(WWWW[[#This Row],[Total required water points]]-WWWW[[#This Row],['#Water points coverage]]&lt;0,0,WWWW[[#This Row],[Total required water points]]-WWWW[[#This Row],['#Water points coverage]])</f>
        <v>2</v>
      </c>
      <c r="AZ79" s="421">
        <f>ROUND(IF(WWWW[[#This Row],[Total PoP ]]&lt;250,1,WWWW[[#This Row],[Total PoP ]]/250),0)</f>
        <v>2</v>
      </c>
      <c r="BA7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79" s="419">
        <f>WWWW[[#This Row],[% people access to functioning Latrine]]*WWWW[[#This Row],[Total PoP ]]</f>
        <v>0</v>
      </c>
      <c r="BC79" s="421">
        <f>WWWW[[#This Row],['#_of_Functioning_latrines_in_school]]*50</f>
        <v>0</v>
      </c>
      <c r="BD79" s="421">
        <f>ROUND((WWWW[[#This Row],[Total PoP ]]/6),0)</f>
        <v>80</v>
      </c>
      <c r="BE79" s="421">
        <f>IF(WWWW[[#This Row],[Total required Latrines]]-(WWWW[[#This Row],['#_of_sanitary_fly-proof_HH_latrines]])&lt;0,0,WWWW[[#This Row],[Total required Latrines]]-(WWWW[[#This Row],['#_of_sanitary_fly-proof_HH_latrines]]))</f>
        <v>80</v>
      </c>
      <c r="BF79" s="72">
        <f>1-WWWW[[#This Row],[% people access to functioning Latrine]]</f>
        <v>1</v>
      </c>
      <c r="BG7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79" s="419">
        <f>IF(WWWW[[#This Row],['#_of_functional_handwashing_facilities_at_HH_level]]*6&gt;WWWW[[#This Row],[Total PoP ]],WWWW[[#This Row],[Total PoP ]],WWWW[[#This Row],['#_of_functional_handwashing_facilities_at_HH_level]]*6)</f>
        <v>0</v>
      </c>
      <c r="BI79" s="421">
        <f>IF(WWWW[[#This Row],['# people reached by regular dedicated hygiene promotion]]&gt;WWWW[[#This Row],['# People received regular supply of hygiene items]],WWWW[[#This Row],['# people reached by regular dedicated hygiene promotion]],WWWW[[#This Row],['# People received regular supply of hygiene items]])</f>
        <v>0</v>
      </c>
      <c r="BJ79" s="424">
        <f>IF(WWWW[[#This Row],[HRP3]]/WWWW[[#This Row],[Total PoP ]]&gt;100%,100%,WWWW[[#This Row],[HRP3]]/WWWW[[#This Row],[Total PoP ]])</f>
        <v>0</v>
      </c>
      <c r="BK79" s="423">
        <f>1-WWWW[[#This Row],[Hygiene Coverage%]]</f>
        <v>1</v>
      </c>
      <c r="BL79" s="422">
        <f>WWWW[[#This Row],['# people reached by regular dedicated hygiene promotion]]/WWWW[[#This Row],[Total PoP ]]</f>
        <v>0</v>
      </c>
      <c r="BM7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79" s="421">
        <f>WWWW[[#This Row],['#_of_affected_women_and_girls_receiving_a_sufficient_quantity_of_sanitary_pads]]</f>
        <v>0</v>
      </c>
      <c r="BO79" s="420">
        <f>IF(WWWW[[#This Row],['# People with access to soap]]&gt;WWWW[[#This Row],['# People with access to Sanity Pads]],WWWW[[#This Row],['# People with access to soap]],WWWW[[#This Row],['# People with access to Sanity Pads]])</f>
        <v>0</v>
      </c>
      <c r="BP79" s="419" t="str">
        <f>IF(OR(WWWW[[#This Row],['#of students in school]]="",WWWW[[#This Row],['#of students in school]]=0),"No","Yes")</f>
        <v>No</v>
      </c>
      <c r="BQ79" s="417" t="str">
        <f>VLOOKUP(WWWW[[#This Row],[Village  Name]],SiteDB6[[Site Name]:[Location Type 1]],9,FALSE)</f>
        <v>Village</v>
      </c>
      <c r="BR79" s="417" t="str">
        <f>VLOOKUP(WWWW[[#This Row],[Village  Name]],SiteDB6[[Site Name]:[Type of Accommodation]],10,FALSE)</f>
        <v>Village</v>
      </c>
      <c r="BS79" s="417">
        <f>VLOOKUP(WWWW[[#This Row],[Village  Name]],SiteDB6[[Site Name]:[Ethnic or GCA/NGCA]],11,FALSE)</f>
        <v>0</v>
      </c>
      <c r="BT79" s="417">
        <f>VLOOKUP(WWWW[[#This Row],[Village  Name]],SiteDB6[[Site Name]:[Lat]],12,FALSE)</f>
        <v>20.187860488891602</v>
      </c>
      <c r="BU79" s="417">
        <f>VLOOKUP(WWWW[[#This Row],[Village  Name]],SiteDB6[[Site Name]:[Long]],13,FALSE)</f>
        <v>92.903419494628906</v>
      </c>
      <c r="BV79" s="417">
        <f>VLOOKUP(WWWW[[#This Row],[Village  Name]],SiteDB6[[Site Name]:[Pcode]],3,FALSE)</f>
        <v>196134</v>
      </c>
      <c r="BW79" s="425" t="str">
        <f t="shared" si="3"/>
        <v>Covered</v>
      </c>
      <c r="BX79" s="425"/>
      <c r="BY79" s="33"/>
      <c r="CA79"/>
      <c r="CB79" s="33"/>
      <c r="CC79" s="36"/>
      <c r="CE79" s="37"/>
      <c r="CN79" s="20"/>
    </row>
    <row r="80" spans="1:92" hidden="1">
      <c r="A80" s="412" t="s">
        <v>2380</v>
      </c>
      <c r="B80" s="412" t="s">
        <v>316</v>
      </c>
      <c r="C80" s="418" t="s">
        <v>316</v>
      </c>
      <c r="D80" s="418" t="s">
        <v>329</v>
      </c>
      <c r="E80" s="551" t="s">
        <v>2687</v>
      </c>
      <c r="F80" s="418" t="s">
        <v>297</v>
      </c>
      <c r="G80" s="551" t="str">
        <f>VLOOKUP(WWWW[[#This Row],[Village  Name]],SiteDB6[[Site Name]:[Location Type]],8,FALSE)</f>
        <v>Village</v>
      </c>
      <c r="H80" s="418" t="s">
        <v>2613</v>
      </c>
      <c r="I80" s="420">
        <v>88</v>
      </c>
      <c r="J80" s="420">
        <v>454</v>
      </c>
      <c r="K80" s="426">
        <v>42736</v>
      </c>
      <c r="L80" s="427">
        <v>44551</v>
      </c>
      <c r="M80" s="420"/>
      <c r="N80" s="420"/>
      <c r="O80" s="420"/>
      <c r="P80" s="420"/>
      <c r="Q80" s="420"/>
      <c r="R80" s="420"/>
      <c r="S80" s="420"/>
      <c r="T80" s="642"/>
      <c r="U80" s="420"/>
      <c r="V80" s="611" t="s">
        <v>132</v>
      </c>
      <c r="W80" s="420"/>
      <c r="X80" s="420"/>
      <c r="Y80" s="420"/>
      <c r="Z80" s="420"/>
      <c r="AA80" s="420"/>
      <c r="AB80" s="642"/>
      <c r="AC80" s="420"/>
      <c r="AD80" s="420"/>
      <c r="AE80" s="420"/>
      <c r="AF80" s="420"/>
      <c r="AG80" s="420"/>
      <c r="AH80" s="420"/>
      <c r="AI80" s="420"/>
      <c r="AJ80" s="420"/>
      <c r="AK80" s="420"/>
      <c r="AL80" s="420"/>
      <c r="AM80" s="642"/>
      <c r="AN80" s="420"/>
      <c r="AO80" s="420"/>
      <c r="AP8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0" s="419">
        <f>WWWW[[#This Row],[%Equitable and continuous access to sufficient quantity of safe drinking water]]*WWWW[[#This Row],[Total PoP ]]</f>
        <v>0</v>
      </c>
      <c r="AR8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0" s="419">
        <f>WWWW[[#This Row],[% Access to unimproved water points]]*WWWW[[#This Row],[Total PoP ]]</f>
        <v>0</v>
      </c>
      <c r="AT8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0" s="419">
        <f>WWWW[[#This Row],[HRP1]]/250</f>
        <v>0</v>
      </c>
      <c r="AW80" s="424">
        <f>1-WWWW[[#This Row],[% Equitable and continuous access to sufficient quantity of domestic water]]</f>
        <v>1</v>
      </c>
      <c r="AX80" s="419">
        <f>WWWW[[#This Row],[%equitable and continuous access to sufficient quantity of safe drinking and domestic water''s GAP]]*WWWW[[#This Row],[Total PoP ]]</f>
        <v>454</v>
      </c>
      <c r="AY80" s="421">
        <f>IF(WWWW[[#This Row],[Total required water points]]-WWWW[[#This Row],['#Water points coverage]]&lt;0,0,WWWW[[#This Row],[Total required water points]]-WWWW[[#This Row],['#Water points coverage]])</f>
        <v>2</v>
      </c>
      <c r="AZ80" s="421">
        <f>ROUND(IF(WWWW[[#This Row],[Total PoP ]]&lt;250,1,WWWW[[#This Row],[Total PoP ]]/250),0)</f>
        <v>2</v>
      </c>
      <c r="BA8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0" s="419">
        <f>WWWW[[#This Row],[% people access to functioning Latrine]]*WWWW[[#This Row],[Total PoP ]]</f>
        <v>0</v>
      </c>
      <c r="BC80" s="421">
        <f>WWWW[[#This Row],['#_of_Functioning_latrines_in_school]]*50</f>
        <v>0</v>
      </c>
      <c r="BD80" s="421">
        <f>ROUND((WWWW[[#This Row],[Total PoP ]]/6),0)</f>
        <v>76</v>
      </c>
      <c r="BE80" s="421">
        <f>IF(WWWW[[#This Row],[Total required Latrines]]-(WWWW[[#This Row],['#_of_sanitary_fly-proof_HH_latrines]])&lt;0,0,WWWW[[#This Row],[Total required Latrines]]-(WWWW[[#This Row],['#_of_sanitary_fly-proof_HH_latrines]]))</f>
        <v>76</v>
      </c>
      <c r="BF80" s="72">
        <f>1-WWWW[[#This Row],[% people access to functioning Latrine]]</f>
        <v>1</v>
      </c>
      <c r="BG8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0" s="419">
        <f>IF(WWWW[[#This Row],['#_of_functional_handwashing_facilities_at_HH_level]]*6&gt;WWWW[[#This Row],[Total PoP ]],WWWW[[#This Row],[Total PoP ]],WWWW[[#This Row],['#_of_functional_handwashing_facilities_at_HH_level]]*6)</f>
        <v>0</v>
      </c>
      <c r="BI80" s="421">
        <f>IF(WWWW[[#This Row],['# people reached by regular dedicated hygiene promotion]]&gt;WWWW[[#This Row],['# People received regular supply of hygiene items]],WWWW[[#This Row],['# people reached by regular dedicated hygiene promotion]],WWWW[[#This Row],['# People received regular supply of hygiene items]])</f>
        <v>0</v>
      </c>
      <c r="BJ80" s="424">
        <f>IF(WWWW[[#This Row],[HRP3]]/WWWW[[#This Row],[Total PoP ]]&gt;100%,100%,WWWW[[#This Row],[HRP3]]/WWWW[[#This Row],[Total PoP ]])</f>
        <v>0</v>
      </c>
      <c r="BK80" s="423">
        <f>1-WWWW[[#This Row],[Hygiene Coverage%]]</f>
        <v>1</v>
      </c>
      <c r="BL80" s="422">
        <f>WWWW[[#This Row],['# people reached by regular dedicated hygiene promotion]]/WWWW[[#This Row],[Total PoP ]]</f>
        <v>0</v>
      </c>
      <c r="BM8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0" s="421">
        <f>WWWW[[#This Row],['#_of_affected_women_and_girls_receiving_a_sufficient_quantity_of_sanitary_pads]]</f>
        <v>0</v>
      </c>
      <c r="BO80" s="420">
        <f>IF(WWWW[[#This Row],['# People with access to soap]]&gt;WWWW[[#This Row],['# People with access to Sanity Pads]],WWWW[[#This Row],['# People with access to soap]],WWWW[[#This Row],['# People with access to Sanity Pads]])</f>
        <v>0</v>
      </c>
      <c r="BP80" s="419" t="str">
        <f>IF(OR(WWWW[[#This Row],['#of students in school]]="",WWWW[[#This Row],['#of students in school]]=0),"No","Yes")</f>
        <v>No</v>
      </c>
      <c r="BQ80" s="417" t="str">
        <f>VLOOKUP(WWWW[[#This Row],[Village  Name]],SiteDB6[[Site Name]:[Location Type 1]],9,FALSE)</f>
        <v>Village</v>
      </c>
      <c r="BR80" s="417" t="str">
        <f>VLOOKUP(WWWW[[#This Row],[Village  Name]],SiteDB6[[Site Name]:[Type of Accommodation]],10,FALSE)</f>
        <v>Village</v>
      </c>
      <c r="BS80" s="417">
        <f>VLOOKUP(WWWW[[#This Row],[Village  Name]],SiteDB6[[Site Name]:[Ethnic or GCA/NGCA]],11,FALSE)</f>
        <v>0</v>
      </c>
      <c r="BT80" s="417">
        <f>VLOOKUP(WWWW[[#This Row],[Village  Name]],SiteDB6[[Site Name]:[Lat]],12,FALSE)</f>
        <v>20.1899604797363</v>
      </c>
      <c r="BU80" s="417">
        <f>VLOOKUP(WWWW[[#This Row],[Village  Name]],SiteDB6[[Site Name]:[Long]],13,FALSE)</f>
        <v>92.895767211914105</v>
      </c>
      <c r="BV80" s="417">
        <f>VLOOKUP(WWWW[[#This Row],[Village  Name]],SiteDB6[[Site Name]:[Pcode]],3,FALSE)</f>
        <v>196136</v>
      </c>
      <c r="BW80" s="425" t="str">
        <f t="shared" si="3"/>
        <v>Covered</v>
      </c>
      <c r="BX80" s="425"/>
      <c r="BY80" s="33"/>
      <c r="CA80"/>
      <c r="CB80" s="33"/>
      <c r="CC80" s="36"/>
      <c r="CE80" s="37"/>
      <c r="CN80" s="20"/>
    </row>
    <row r="81" spans="1:92" hidden="1">
      <c r="A81" s="412" t="s">
        <v>2380</v>
      </c>
      <c r="B81" s="412" t="s">
        <v>316</v>
      </c>
      <c r="C81" s="418" t="s">
        <v>316</v>
      </c>
      <c r="D81" s="418" t="s">
        <v>309</v>
      </c>
      <c r="E81" s="551" t="s">
        <v>2687</v>
      </c>
      <c r="F81" s="418" t="s">
        <v>297</v>
      </c>
      <c r="G81" s="551" t="str">
        <f>VLOOKUP(WWWW[[#This Row],[Village  Name]],SiteDB6[[Site Name]:[Location Type]],8,FALSE)</f>
        <v>Village</v>
      </c>
      <c r="H81" s="418" t="s">
        <v>2614</v>
      </c>
      <c r="I81" s="420">
        <v>218</v>
      </c>
      <c r="J81" s="420">
        <v>978</v>
      </c>
      <c r="K81" s="426">
        <v>42736</v>
      </c>
      <c r="L81" s="427">
        <v>44551</v>
      </c>
      <c r="M81" s="420"/>
      <c r="N81" s="420"/>
      <c r="O81" s="420"/>
      <c r="P81" s="420"/>
      <c r="Q81" s="420"/>
      <c r="R81" s="420"/>
      <c r="S81" s="420"/>
      <c r="T81" s="642"/>
      <c r="U81" s="420"/>
      <c r="V81" s="611" t="s">
        <v>132</v>
      </c>
      <c r="W81" s="420"/>
      <c r="X81" s="420"/>
      <c r="Y81" s="420"/>
      <c r="Z81" s="420"/>
      <c r="AA81" s="420"/>
      <c r="AB81" s="642"/>
      <c r="AC81" s="420"/>
      <c r="AD81" s="420"/>
      <c r="AE81" s="420"/>
      <c r="AF81" s="420"/>
      <c r="AG81" s="420"/>
      <c r="AH81" s="420"/>
      <c r="AI81" s="420"/>
      <c r="AJ81" s="420"/>
      <c r="AK81" s="420"/>
      <c r="AL81" s="420"/>
      <c r="AM81" s="642"/>
      <c r="AN81" s="420"/>
      <c r="AO81" s="420"/>
      <c r="AP8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1" s="419">
        <f>WWWW[[#This Row],[%Equitable and continuous access to sufficient quantity of safe drinking water]]*WWWW[[#This Row],[Total PoP ]]</f>
        <v>0</v>
      </c>
      <c r="AR8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1" s="419">
        <f>WWWW[[#This Row],[% Access to unimproved water points]]*WWWW[[#This Row],[Total PoP ]]</f>
        <v>0</v>
      </c>
      <c r="AT8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1" s="419">
        <f>WWWW[[#This Row],[HRP1]]/250</f>
        <v>0</v>
      </c>
      <c r="AW81" s="424">
        <f>1-WWWW[[#This Row],[% Equitable and continuous access to sufficient quantity of domestic water]]</f>
        <v>1</v>
      </c>
      <c r="AX81" s="419">
        <f>WWWW[[#This Row],[%equitable and continuous access to sufficient quantity of safe drinking and domestic water''s GAP]]*WWWW[[#This Row],[Total PoP ]]</f>
        <v>978</v>
      </c>
      <c r="AY81" s="421">
        <f>IF(WWWW[[#This Row],[Total required water points]]-WWWW[[#This Row],['#Water points coverage]]&lt;0,0,WWWW[[#This Row],[Total required water points]]-WWWW[[#This Row],['#Water points coverage]])</f>
        <v>4</v>
      </c>
      <c r="AZ81" s="421">
        <f>ROUND(IF(WWWW[[#This Row],[Total PoP ]]&lt;250,1,WWWW[[#This Row],[Total PoP ]]/250),0)</f>
        <v>4</v>
      </c>
      <c r="BA8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1" s="419">
        <f>WWWW[[#This Row],[% people access to functioning Latrine]]*WWWW[[#This Row],[Total PoP ]]</f>
        <v>0</v>
      </c>
      <c r="BC81" s="421">
        <f>WWWW[[#This Row],['#_of_Functioning_latrines_in_school]]*50</f>
        <v>0</v>
      </c>
      <c r="BD81" s="421">
        <f>ROUND((WWWW[[#This Row],[Total PoP ]]/6),0)</f>
        <v>163</v>
      </c>
      <c r="BE81" s="421">
        <f>IF(WWWW[[#This Row],[Total required Latrines]]-(WWWW[[#This Row],['#_of_sanitary_fly-proof_HH_latrines]])&lt;0,0,WWWW[[#This Row],[Total required Latrines]]-(WWWW[[#This Row],['#_of_sanitary_fly-proof_HH_latrines]]))</f>
        <v>163</v>
      </c>
      <c r="BF81" s="72">
        <f>1-WWWW[[#This Row],[% people access to functioning Latrine]]</f>
        <v>1</v>
      </c>
      <c r="BG8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1" s="419">
        <f>IF(WWWW[[#This Row],['#_of_functional_handwashing_facilities_at_HH_level]]*6&gt;WWWW[[#This Row],[Total PoP ]],WWWW[[#This Row],[Total PoP ]],WWWW[[#This Row],['#_of_functional_handwashing_facilities_at_HH_level]]*6)</f>
        <v>0</v>
      </c>
      <c r="BI81" s="421">
        <f>IF(WWWW[[#This Row],['# people reached by regular dedicated hygiene promotion]]&gt;WWWW[[#This Row],['# People received regular supply of hygiene items]],WWWW[[#This Row],['# people reached by regular dedicated hygiene promotion]],WWWW[[#This Row],['# People received regular supply of hygiene items]])</f>
        <v>0</v>
      </c>
      <c r="BJ81" s="424">
        <f>IF(WWWW[[#This Row],[HRP3]]/WWWW[[#This Row],[Total PoP ]]&gt;100%,100%,WWWW[[#This Row],[HRP3]]/WWWW[[#This Row],[Total PoP ]])</f>
        <v>0</v>
      </c>
      <c r="BK81" s="423">
        <f>1-WWWW[[#This Row],[Hygiene Coverage%]]</f>
        <v>1</v>
      </c>
      <c r="BL81" s="422">
        <f>WWWW[[#This Row],['# people reached by regular dedicated hygiene promotion]]/WWWW[[#This Row],[Total PoP ]]</f>
        <v>0</v>
      </c>
      <c r="BM8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1" s="421">
        <f>WWWW[[#This Row],['#_of_affected_women_and_girls_receiving_a_sufficient_quantity_of_sanitary_pads]]</f>
        <v>0</v>
      </c>
      <c r="BO81" s="420">
        <f>IF(WWWW[[#This Row],['# People with access to soap]]&gt;WWWW[[#This Row],['# People with access to Sanity Pads]],WWWW[[#This Row],['# People with access to soap]],WWWW[[#This Row],['# People with access to Sanity Pads]])</f>
        <v>0</v>
      </c>
      <c r="BP81" s="419" t="str">
        <f>IF(OR(WWWW[[#This Row],['#of students in school]]="",WWWW[[#This Row],['#of students in school]]=0),"No","Yes")</f>
        <v>No</v>
      </c>
      <c r="BQ81" s="417" t="str">
        <f>VLOOKUP(WWWW[[#This Row],[Village  Name]],SiteDB6[[Site Name]:[Location Type 1]],9,FALSE)</f>
        <v>Village</v>
      </c>
      <c r="BR81" s="417" t="str">
        <f>VLOOKUP(WWWW[[#This Row],[Village  Name]],SiteDB6[[Site Name]:[Type of Accommodation]],10,FALSE)</f>
        <v>Village</v>
      </c>
      <c r="BS81" s="417">
        <f>VLOOKUP(WWWW[[#This Row],[Village  Name]],SiteDB6[[Site Name]:[Ethnic or GCA/NGCA]],11,FALSE)</f>
        <v>0</v>
      </c>
      <c r="BT81" s="417">
        <f>VLOOKUP(WWWW[[#This Row],[Village  Name]],SiteDB6[[Site Name]:[Lat]],12,FALSE)</f>
        <v>20.2630290985107</v>
      </c>
      <c r="BU81" s="417">
        <f>VLOOKUP(WWWW[[#This Row],[Village  Name]],SiteDB6[[Site Name]:[Long]],13,FALSE)</f>
        <v>92.858856201171903</v>
      </c>
      <c r="BV81" s="417">
        <f>VLOOKUP(WWWW[[#This Row],[Village  Name]],SiteDB6[[Site Name]:[Pcode]],3,FALSE)</f>
        <v>196166</v>
      </c>
      <c r="BW81" s="425" t="str">
        <f t="shared" si="3"/>
        <v>Covered</v>
      </c>
      <c r="BX81" s="425"/>
      <c r="BY81" s="33"/>
      <c r="CA81"/>
      <c r="CB81" s="33"/>
      <c r="CC81" s="36"/>
      <c r="CE81" s="37"/>
      <c r="CN81" s="20"/>
    </row>
    <row r="82" spans="1:92" hidden="1">
      <c r="A82" s="412" t="s">
        <v>2380</v>
      </c>
      <c r="B82" s="412" t="s">
        <v>316</v>
      </c>
      <c r="C82" s="418" t="s">
        <v>316</v>
      </c>
      <c r="D82" s="418" t="s">
        <v>309</v>
      </c>
      <c r="E82" s="551" t="s">
        <v>2687</v>
      </c>
      <c r="F82" s="418" t="s">
        <v>297</v>
      </c>
      <c r="G82" s="551" t="str">
        <f>VLOOKUP(WWWW[[#This Row],[Village  Name]],SiteDB6[[Site Name]:[Location Type]],8,FALSE)</f>
        <v>Village</v>
      </c>
      <c r="H82" s="418" t="s">
        <v>2615</v>
      </c>
      <c r="I82" s="420">
        <v>147</v>
      </c>
      <c r="J82" s="420">
        <v>741</v>
      </c>
      <c r="K82" s="426">
        <v>42736</v>
      </c>
      <c r="L82" s="427">
        <v>44551</v>
      </c>
      <c r="M82" s="420"/>
      <c r="N82" s="420"/>
      <c r="O82" s="420"/>
      <c r="P82" s="420"/>
      <c r="Q82" s="420"/>
      <c r="R82" s="420"/>
      <c r="S82" s="420"/>
      <c r="T82" s="642"/>
      <c r="U82" s="420"/>
      <c r="V82" s="611" t="s">
        <v>132</v>
      </c>
      <c r="W82" s="420"/>
      <c r="X82" s="420"/>
      <c r="Y82" s="420"/>
      <c r="Z82" s="420"/>
      <c r="AA82" s="420"/>
      <c r="AB82" s="642"/>
      <c r="AC82" s="420"/>
      <c r="AD82" s="420"/>
      <c r="AE82" s="420"/>
      <c r="AF82" s="420"/>
      <c r="AG82" s="420"/>
      <c r="AH82" s="420"/>
      <c r="AI82" s="420"/>
      <c r="AJ82" s="420"/>
      <c r="AK82" s="420"/>
      <c r="AL82" s="420"/>
      <c r="AM82" s="642"/>
      <c r="AN82" s="420"/>
      <c r="AO82" s="420"/>
      <c r="AP8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2" s="419">
        <f>WWWW[[#This Row],[%Equitable and continuous access to sufficient quantity of safe drinking water]]*WWWW[[#This Row],[Total PoP ]]</f>
        <v>0</v>
      </c>
      <c r="AR8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2" s="419">
        <f>WWWW[[#This Row],[% Access to unimproved water points]]*WWWW[[#This Row],[Total PoP ]]</f>
        <v>0</v>
      </c>
      <c r="AT8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2" s="419">
        <f>WWWW[[#This Row],[HRP1]]/250</f>
        <v>0</v>
      </c>
      <c r="AW82" s="424">
        <f>1-WWWW[[#This Row],[% Equitable and continuous access to sufficient quantity of domestic water]]</f>
        <v>1</v>
      </c>
      <c r="AX82" s="419">
        <f>WWWW[[#This Row],[%equitable and continuous access to sufficient quantity of safe drinking and domestic water''s GAP]]*WWWW[[#This Row],[Total PoP ]]</f>
        <v>741</v>
      </c>
      <c r="AY82" s="421">
        <f>IF(WWWW[[#This Row],[Total required water points]]-WWWW[[#This Row],['#Water points coverage]]&lt;0,0,WWWW[[#This Row],[Total required water points]]-WWWW[[#This Row],['#Water points coverage]])</f>
        <v>3</v>
      </c>
      <c r="AZ82" s="421">
        <f>ROUND(IF(WWWW[[#This Row],[Total PoP ]]&lt;250,1,WWWW[[#This Row],[Total PoP ]]/250),0)</f>
        <v>3</v>
      </c>
      <c r="BA8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2" s="419">
        <f>WWWW[[#This Row],[% people access to functioning Latrine]]*WWWW[[#This Row],[Total PoP ]]</f>
        <v>0</v>
      </c>
      <c r="BC82" s="421">
        <f>WWWW[[#This Row],['#_of_Functioning_latrines_in_school]]*50</f>
        <v>0</v>
      </c>
      <c r="BD82" s="421">
        <f>ROUND((WWWW[[#This Row],[Total PoP ]]/6),0)</f>
        <v>124</v>
      </c>
      <c r="BE82" s="421">
        <f>IF(WWWW[[#This Row],[Total required Latrines]]-(WWWW[[#This Row],['#_of_sanitary_fly-proof_HH_latrines]])&lt;0,0,WWWW[[#This Row],[Total required Latrines]]-(WWWW[[#This Row],['#_of_sanitary_fly-proof_HH_latrines]]))</f>
        <v>124</v>
      </c>
      <c r="BF82" s="72">
        <f>1-WWWW[[#This Row],[% people access to functioning Latrine]]</f>
        <v>1</v>
      </c>
      <c r="BG8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2" s="419">
        <f>IF(WWWW[[#This Row],['#_of_functional_handwashing_facilities_at_HH_level]]*6&gt;WWWW[[#This Row],[Total PoP ]],WWWW[[#This Row],[Total PoP ]],WWWW[[#This Row],['#_of_functional_handwashing_facilities_at_HH_level]]*6)</f>
        <v>0</v>
      </c>
      <c r="BI82" s="421">
        <f>IF(WWWW[[#This Row],['# people reached by regular dedicated hygiene promotion]]&gt;WWWW[[#This Row],['# People received regular supply of hygiene items]],WWWW[[#This Row],['# people reached by regular dedicated hygiene promotion]],WWWW[[#This Row],['# People received regular supply of hygiene items]])</f>
        <v>0</v>
      </c>
      <c r="BJ82" s="424">
        <f>IF(WWWW[[#This Row],[HRP3]]/WWWW[[#This Row],[Total PoP ]]&gt;100%,100%,WWWW[[#This Row],[HRP3]]/WWWW[[#This Row],[Total PoP ]])</f>
        <v>0</v>
      </c>
      <c r="BK82" s="423">
        <f>1-WWWW[[#This Row],[Hygiene Coverage%]]</f>
        <v>1</v>
      </c>
      <c r="BL82" s="422">
        <f>WWWW[[#This Row],['# people reached by regular dedicated hygiene promotion]]/WWWW[[#This Row],[Total PoP ]]</f>
        <v>0</v>
      </c>
      <c r="BM8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2" s="421">
        <f>WWWW[[#This Row],['#_of_affected_women_and_girls_receiving_a_sufficient_quantity_of_sanitary_pads]]</f>
        <v>0</v>
      </c>
      <c r="BO82" s="420">
        <f>IF(WWWW[[#This Row],['# People with access to soap]]&gt;WWWW[[#This Row],['# People with access to Sanity Pads]],WWWW[[#This Row],['# People with access to soap]],WWWW[[#This Row],['# People with access to Sanity Pads]])</f>
        <v>0</v>
      </c>
      <c r="BP82" s="419" t="str">
        <f>IF(OR(WWWW[[#This Row],['#of students in school]]="",WWWW[[#This Row],['#of students in school]]=0),"No","Yes")</f>
        <v>No</v>
      </c>
      <c r="BQ82" s="417" t="str">
        <f>VLOOKUP(WWWW[[#This Row],[Village  Name]],SiteDB6[[Site Name]:[Location Type 1]],9,FALSE)</f>
        <v>Village</v>
      </c>
      <c r="BR82" s="417" t="str">
        <f>VLOOKUP(WWWW[[#This Row],[Village  Name]],SiteDB6[[Site Name]:[Type of Accommodation]],10,FALSE)</f>
        <v>Village</v>
      </c>
      <c r="BS82" s="417">
        <f>VLOOKUP(WWWW[[#This Row],[Village  Name]],SiteDB6[[Site Name]:[Ethnic or GCA/NGCA]],11,FALSE)</f>
        <v>0</v>
      </c>
      <c r="BT82" s="417">
        <f>VLOOKUP(WWWW[[#This Row],[Village  Name]],SiteDB6[[Site Name]:[Lat]],12,FALSE)</f>
        <v>20.248519897460898</v>
      </c>
      <c r="BU82" s="417">
        <f>VLOOKUP(WWWW[[#This Row],[Village  Name]],SiteDB6[[Site Name]:[Long]],13,FALSE)</f>
        <v>92.8621826171875</v>
      </c>
      <c r="BV82" s="417">
        <f>VLOOKUP(WWWW[[#This Row],[Village  Name]],SiteDB6[[Site Name]:[Pcode]],3,FALSE)</f>
        <v>196170</v>
      </c>
      <c r="BW82" s="425" t="str">
        <f t="shared" si="3"/>
        <v>Covered</v>
      </c>
      <c r="BX82" s="425"/>
      <c r="BY82" s="33"/>
      <c r="CA82"/>
      <c r="CB82" s="33"/>
      <c r="CC82" s="36"/>
      <c r="CE82" s="37"/>
      <c r="CN82" s="20"/>
    </row>
    <row r="83" spans="1:92" hidden="1">
      <c r="A83" s="412" t="s">
        <v>2380</v>
      </c>
      <c r="B83" s="412" t="s">
        <v>316</v>
      </c>
      <c r="C83" s="418" t="s">
        <v>316</v>
      </c>
      <c r="D83" s="418" t="s">
        <v>309</v>
      </c>
      <c r="E83" s="551" t="s">
        <v>2687</v>
      </c>
      <c r="F83" s="418" t="s">
        <v>297</v>
      </c>
      <c r="G83" s="551" t="str">
        <f>VLOOKUP(WWWW[[#This Row],[Village  Name]],SiteDB6[[Site Name]:[Location Type]],8,FALSE)</f>
        <v>Village</v>
      </c>
      <c r="H83" s="418" t="s">
        <v>2616</v>
      </c>
      <c r="I83" s="420">
        <v>235</v>
      </c>
      <c r="J83" s="420">
        <v>1117</v>
      </c>
      <c r="K83" s="426">
        <v>42736</v>
      </c>
      <c r="L83" s="427">
        <v>44551</v>
      </c>
      <c r="M83" s="420"/>
      <c r="N83" s="420"/>
      <c r="O83" s="420"/>
      <c r="P83" s="420"/>
      <c r="Q83" s="420"/>
      <c r="R83" s="420"/>
      <c r="S83" s="420"/>
      <c r="T83" s="642"/>
      <c r="U83" s="420"/>
      <c r="V83" s="611" t="s">
        <v>132</v>
      </c>
      <c r="W83" s="420"/>
      <c r="X83" s="420"/>
      <c r="Y83" s="420"/>
      <c r="Z83" s="420"/>
      <c r="AA83" s="420"/>
      <c r="AB83" s="642"/>
      <c r="AC83" s="420"/>
      <c r="AD83" s="420"/>
      <c r="AE83" s="420"/>
      <c r="AF83" s="420"/>
      <c r="AG83" s="420"/>
      <c r="AH83" s="420"/>
      <c r="AI83" s="420"/>
      <c r="AJ83" s="420"/>
      <c r="AK83" s="420"/>
      <c r="AL83" s="420"/>
      <c r="AM83" s="642"/>
      <c r="AN83" s="420"/>
      <c r="AO83" s="420"/>
      <c r="AP8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3" s="419">
        <f>WWWW[[#This Row],[%Equitable and continuous access to sufficient quantity of safe drinking water]]*WWWW[[#This Row],[Total PoP ]]</f>
        <v>0</v>
      </c>
      <c r="AR8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3" s="419">
        <f>WWWW[[#This Row],[% Access to unimproved water points]]*WWWW[[#This Row],[Total PoP ]]</f>
        <v>0</v>
      </c>
      <c r="AT8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3" s="419">
        <f>WWWW[[#This Row],[HRP1]]/250</f>
        <v>0</v>
      </c>
      <c r="AW83" s="424">
        <f>1-WWWW[[#This Row],[% Equitable and continuous access to sufficient quantity of domestic water]]</f>
        <v>1</v>
      </c>
      <c r="AX83" s="419">
        <f>WWWW[[#This Row],[%equitable and continuous access to sufficient quantity of safe drinking and domestic water''s GAP]]*WWWW[[#This Row],[Total PoP ]]</f>
        <v>1117</v>
      </c>
      <c r="AY83" s="421">
        <f>IF(WWWW[[#This Row],[Total required water points]]-WWWW[[#This Row],['#Water points coverage]]&lt;0,0,WWWW[[#This Row],[Total required water points]]-WWWW[[#This Row],['#Water points coverage]])</f>
        <v>4</v>
      </c>
      <c r="AZ83" s="421">
        <f>ROUND(IF(WWWW[[#This Row],[Total PoP ]]&lt;250,1,WWWW[[#This Row],[Total PoP ]]/250),0)</f>
        <v>4</v>
      </c>
      <c r="BA8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3" s="419">
        <f>WWWW[[#This Row],[% people access to functioning Latrine]]*WWWW[[#This Row],[Total PoP ]]</f>
        <v>0</v>
      </c>
      <c r="BC83" s="421">
        <f>WWWW[[#This Row],['#_of_Functioning_latrines_in_school]]*50</f>
        <v>0</v>
      </c>
      <c r="BD83" s="421">
        <f>ROUND((WWWW[[#This Row],[Total PoP ]]/6),0)</f>
        <v>186</v>
      </c>
      <c r="BE83" s="421">
        <f>IF(WWWW[[#This Row],[Total required Latrines]]-(WWWW[[#This Row],['#_of_sanitary_fly-proof_HH_latrines]])&lt;0,0,WWWW[[#This Row],[Total required Latrines]]-(WWWW[[#This Row],['#_of_sanitary_fly-proof_HH_latrines]]))</f>
        <v>186</v>
      </c>
      <c r="BF83" s="72">
        <f>1-WWWW[[#This Row],[% people access to functioning Latrine]]</f>
        <v>1</v>
      </c>
      <c r="BG8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3" s="419">
        <f>IF(WWWW[[#This Row],['#_of_functional_handwashing_facilities_at_HH_level]]*6&gt;WWWW[[#This Row],[Total PoP ]],WWWW[[#This Row],[Total PoP ]],WWWW[[#This Row],['#_of_functional_handwashing_facilities_at_HH_level]]*6)</f>
        <v>0</v>
      </c>
      <c r="BI83" s="421">
        <f>IF(WWWW[[#This Row],['# people reached by regular dedicated hygiene promotion]]&gt;WWWW[[#This Row],['# People received regular supply of hygiene items]],WWWW[[#This Row],['# people reached by regular dedicated hygiene promotion]],WWWW[[#This Row],['# People received regular supply of hygiene items]])</f>
        <v>0</v>
      </c>
      <c r="BJ83" s="424">
        <f>IF(WWWW[[#This Row],[HRP3]]/WWWW[[#This Row],[Total PoP ]]&gt;100%,100%,WWWW[[#This Row],[HRP3]]/WWWW[[#This Row],[Total PoP ]])</f>
        <v>0</v>
      </c>
      <c r="BK83" s="423">
        <f>1-WWWW[[#This Row],[Hygiene Coverage%]]</f>
        <v>1</v>
      </c>
      <c r="BL83" s="422">
        <f>WWWW[[#This Row],['# people reached by regular dedicated hygiene promotion]]/WWWW[[#This Row],[Total PoP ]]</f>
        <v>0</v>
      </c>
      <c r="BM8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3" s="421">
        <f>WWWW[[#This Row],['#_of_affected_women_and_girls_receiving_a_sufficient_quantity_of_sanitary_pads]]</f>
        <v>0</v>
      </c>
      <c r="BO83" s="420">
        <f>IF(WWWW[[#This Row],['# People with access to soap]]&gt;WWWW[[#This Row],['# People with access to Sanity Pads]],WWWW[[#This Row],['# People with access to soap]],WWWW[[#This Row],['# People with access to Sanity Pads]])</f>
        <v>0</v>
      </c>
      <c r="BP83" s="419" t="str">
        <f>IF(OR(WWWW[[#This Row],['#of students in school]]="",WWWW[[#This Row],['#of students in school]]=0),"No","Yes")</f>
        <v>No</v>
      </c>
      <c r="BQ83" s="417" t="str">
        <f>VLOOKUP(WWWW[[#This Row],[Village  Name]],SiteDB6[[Site Name]:[Location Type 1]],9,FALSE)</f>
        <v>Village</v>
      </c>
      <c r="BR83" s="417" t="str">
        <f>VLOOKUP(WWWW[[#This Row],[Village  Name]],SiteDB6[[Site Name]:[Type of Accommodation]],10,FALSE)</f>
        <v>Village</v>
      </c>
      <c r="BS83" s="417">
        <f>VLOOKUP(WWWW[[#This Row],[Village  Name]],SiteDB6[[Site Name]:[Ethnic or GCA/NGCA]],11,FALSE)</f>
        <v>0</v>
      </c>
      <c r="BT83" s="417">
        <f>VLOOKUP(WWWW[[#This Row],[Village  Name]],SiteDB6[[Site Name]:[Lat]],12,FALSE)</f>
        <v>20.2375602722168</v>
      </c>
      <c r="BU83" s="417">
        <f>VLOOKUP(WWWW[[#This Row],[Village  Name]],SiteDB6[[Site Name]:[Long]],13,FALSE)</f>
        <v>92.861152648925795</v>
      </c>
      <c r="BV83" s="417">
        <f>VLOOKUP(WWWW[[#This Row],[Village  Name]],SiteDB6[[Site Name]:[Pcode]],3,FALSE)</f>
        <v>196169</v>
      </c>
      <c r="BW83" s="425" t="str">
        <f t="shared" si="3"/>
        <v>Covered</v>
      </c>
      <c r="BX83" s="425"/>
      <c r="BY83" s="33"/>
      <c r="CA83"/>
      <c r="CB83" s="33"/>
      <c r="CC83" s="36"/>
      <c r="CE83" s="37"/>
      <c r="CN83" s="20"/>
    </row>
    <row r="84" spans="1:92" hidden="1">
      <c r="A84" s="412" t="s">
        <v>2380</v>
      </c>
      <c r="B84" s="412" t="s">
        <v>316</v>
      </c>
      <c r="C84" s="418" t="s">
        <v>316</v>
      </c>
      <c r="D84" s="418" t="s">
        <v>309</v>
      </c>
      <c r="E84" s="551" t="s">
        <v>2687</v>
      </c>
      <c r="F84" s="418" t="s">
        <v>297</v>
      </c>
      <c r="G84" s="551" t="str">
        <f>VLOOKUP(WWWW[[#This Row],[Village  Name]],SiteDB6[[Site Name]:[Location Type]],8,FALSE)</f>
        <v>Village</v>
      </c>
      <c r="H84" s="418" t="s">
        <v>448</v>
      </c>
      <c r="I84" s="420">
        <v>156</v>
      </c>
      <c r="J84" s="420">
        <v>658</v>
      </c>
      <c r="K84" s="426">
        <v>42736</v>
      </c>
      <c r="L84" s="427">
        <v>44551</v>
      </c>
      <c r="M84" s="420"/>
      <c r="N84" s="420"/>
      <c r="O84" s="420"/>
      <c r="P84" s="420"/>
      <c r="Q84" s="420"/>
      <c r="R84" s="420"/>
      <c r="S84" s="420"/>
      <c r="T84" s="642"/>
      <c r="U84" s="420"/>
      <c r="V84" s="611" t="s">
        <v>132</v>
      </c>
      <c r="W84" s="420"/>
      <c r="X84" s="420"/>
      <c r="Y84" s="420"/>
      <c r="Z84" s="420"/>
      <c r="AA84" s="420"/>
      <c r="AB84" s="642"/>
      <c r="AC84" s="420"/>
      <c r="AD84" s="420"/>
      <c r="AE84" s="420"/>
      <c r="AF84" s="420"/>
      <c r="AG84" s="420"/>
      <c r="AH84" s="420"/>
      <c r="AI84" s="420"/>
      <c r="AJ84" s="420"/>
      <c r="AK84" s="420"/>
      <c r="AL84" s="420"/>
      <c r="AM84" s="642"/>
      <c r="AN84" s="420"/>
      <c r="AO84" s="420"/>
      <c r="AP8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4" s="419">
        <f>WWWW[[#This Row],[%Equitable and continuous access to sufficient quantity of safe drinking water]]*WWWW[[#This Row],[Total PoP ]]</f>
        <v>0</v>
      </c>
      <c r="AR8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4" s="419">
        <f>WWWW[[#This Row],[% Access to unimproved water points]]*WWWW[[#This Row],[Total PoP ]]</f>
        <v>0</v>
      </c>
      <c r="AT8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4" s="419">
        <f>WWWW[[#This Row],[HRP1]]/250</f>
        <v>0</v>
      </c>
      <c r="AW84" s="424">
        <f>1-WWWW[[#This Row],[% Equitable and continuous access to sufficient quantity of domestic water]]</f>
        <v>1</v>
      </c>
      <c r="AX84" s="419">
        <f>WWWW[[#This Row],[%equitable and continuous access to sufficient quantity of safe drinking and domestic water''s GAP]]*WWWW[[#This Row],[Total PoP ]]</f>
        <v>658</v>
      </c>
      <c r="AY84" s="421">
        <f>IF(WWWW[[#This Row],[Total required water points]]-WWWW[[#This Row],['#Water points coverage]]&lt;0,0,WWWW[[#This Row],[Total required water points]]-WWWW[[#This Row],['#Water points coverage]])</f>
        <v>3</v>
      </c>
      <c r="AZ84" s="421">
        <f>ROUND(IF(WWWW[[#This Row],[Total PoP ]]&lt;250,1,WWWW[[#This Row],[Total PoP ]]/250),0)</f>
        <v>3</v>
      </c>
      <c r="BA8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4" s="419">
        <f>WWWW[[#This Row],[% people access to functioning Latrine]]*WWWW[[#This Row],[Total PoP ]]</f>
        <v>0</v>
      </c>
      <c r="BC84" s="421">
        <f>WWWW[[#This Row],['#_of_Functioning_latrines_in_school]]*50</f>
        <v>0</v>
      </c>
      <c r="BD84" s="421">
        <f>ROUND((WWWW[[#This Row],[Total PoP ]]/6),0)</f>
        <v>110</v>
      </c>
      <c r="BE84" s="421">
        <f>IF(WWWW[[#This Row],[Total required Latrines]]-(WWWW[[#This Row],['#_of_sanitary_fly-proof_HH_latrines]])&lt;0,0,WWWW[[#This Row],[Total required Latrines]]-(WWWW[[#This Row],['#_of_sanitary_fly-proof_HH_latrines]]))</f>
        <v>110</v>
      </c>
      <c r="BF84" s="72">
        <f>1-WWWW[[#This Row],[% people access to functioning Latrine]]</f>
        <v>1</v>
      </c>
      <c r="BG8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4" s="419">
        <f>IF(WWWW[[#This Row],['#_of_functional_handwashing_facilities_at_HH_level]]*6&gt;WWWW[[#This Row],[Total PoP ]],WWWW[[#This Row],[Total PoP ]],WWWW[[#This Row],['#_of_functional_handwashing_facilities_at_HH_level]]*6)</f>
        <v>0</v>
      </c>
      <c r="BI84" s="421">
        <f>IF(WWWW[[#This Row],['# people reached by regular dedicated hygiene promotion]]&gt;WWWW[[#This Row],['# People received regular supply of hygiene items]],WWWW[[#This Row],['# people reached by regular dedicated hygiene promotion]],WWWW[[#This Row],['# People received regular supply of hygiene items]])</f>
        <v>0</v>
      </c>
      <c r="BJ84" s="424">
        <f>IF(WWWW[[#This Row],[HRP3]]/WWWW[[#This Row],[Total PoP ]]&gt;100%,100%,WWWW[[#This Row],[HRP3]]/WWWW[[#This Row],[Total PoP ]])</f>
        <v>0</v>
      </c>
      <c r="BK84" s="423">
        <f>1-WWWW[[#This Row],[Hygiene Coverage%]]</f>
        <v>1</v>
      </c>
      <c r="BL84" s="422">
        <f>WWWW[[#This Row],['# people reached by regular dedicated hygiene promotion]]/WWWW[[#This Row],[Total PoP ]]</f>
        <v>0</v>
      </c>
      <c r="BM8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4" s="421">
        <f>WWWW[[#This Row],['#_of_affected_women_and_girls_receiving_a_sufficient_quantity_of_sanitary_pads]]</f>
        <v>0</v>
      </c>
      <c r="BO84" s="420">
        <f>IF(WWWW[[#This Row],['# People with access to soap]]&gt;WWWW[[#This Row],['# People with access to Sanity Pads]],WWWW[[#This Row],['# People with access to soap]],WWWW[[#This Row],['# People with access to Sanity Pads]])</f>
        <v>0</v>
      </c>
      <c r="BP84" s="419" t="str">
        <f>IF(OR(WWWW[[#This Row],['#of students in school]]="",WWWW[[#This Row],['#of students in school]]=0),"No","Yes")</f>
        <v>No</v>
      </c>
      <c r="BQ84" s="417" t="str">
        <f>VLOOKUP(WWWW[[#This Row],[Village  Name]],SiteDB6[[Site Name]:[Location Type 1]],9,FALSE)</f>
        <v>Village</v>
      </c>
      <c r="BR84" s="417" t="str">
        <f>VLOOKUP(WWWW[[#This Row],[Village  Name]],SiteDB6[[Site Name]:[Type of Accommodation]],10,FALSE)</f>
        <v>Village</v>
      </c>
      <c r="BS84" s="417" t="str">
        <f>VLOOKUP(WWWW[[#This Row],[Village  Name]],SiteDB6[[Site Name]:[Ethnic or GCA/NGCA]],11,FALSE)</f>
        <v>Rakhine</v>
      </c>
      <c r="BT84" s="417">
        <f>VLOOKUP(WWWW[[#This Row],[Village  Name]],SiteDB6[[Site Name]:[Lat]],12,FALSE)</f>
        <v>20.22929001</v>
      </c>
      <c r="BU84" s="417">
        <f>VLOOKUP(WWWW[[#This Row],[Village  Name]],SiteDB6[[Site Name]:[Long]],13,FALSE)</f>
        <v>92.864669800000001</v>
      </c>
      <c r="BV84" s="417">
        <f>VLOOKUP(WWWW[[#This Row],[Village  Name]],SiteDB6[[Site Name]:[Pcode]],3,FALSE)</f>
        <v>196167</v>
      </c>
      <c r="BW84" s="425" t="str">
        <f t="shared" si="3"/>
        <v>Covered</v>
      </c>
      <c r="BX84" s="425"/>
      <c r="BY84" s="33"/>
      <c r="CA84"/>
      <c r="CB84" s="33"/>
      <c r="CC84" s="36"/>
      <c r="CE84" s="37"/>
      <c r="CN84" s="20"/>
    </row>
    <row r="85" spans="1:92" hidden="1">
      <c r="A85" s="412" t="s">
        <v>2380</v>
      </c>
      <c r="B85" s="412" t="s">
        <v>316</v>
      </c>
      <c r="C85" s="418" t="s">
        <v>316</v>
      </c>
      <c r="D85" s="418" t="s">
        <v>309</v>
      </c>
      <c r="E85" s="551" t="s">
        <v>2687</v>
      </c>
      <c r="F85" s="418" t="s">
        <v>297</v>
      </c>
      <c r="G85" s="551" t="str">
        <f>VLOOKUP(WWWW[[#This Row],[Village  Name]],SiteDB6[[Site Name]:[Location Type]],8,FALSE)</f>
        <v>Village</v>
      </c>
      <c r="H85" s="418" t="s">
        <v>2019</v>
      </c>
      <c r="I85" s="420">
        <v>113</v>
      </c>
      <c r="J85" s="420">
        <v>656</v>
      </c>
      <c r="K85" s="426">
        <v>42736</v>
      </c>
      <c r="L85" s="427">
        <v>44551</v>
      </c>
      <c r="M85" s="420"/>
      <c r="N85" s="420"/>
      <c r="O85" s="420"/>
      <c r="P85" s="420"/>
      <c r="Q85" s="420"/>
      <c r="R85" s="420"/>
      <c r="S85" s="420"/>
      <c r="T85" s="642"/>
      <c r="U85" s="420"/>
      <c r="V85" s="611" t="s">
        <v>132</v>
      </c>
      <c r="W85" s="420"/>
      <c r="X85" s="420"/>
      <c r="Y85" s="420"/>
      <c r="Z85" s="420"/>
      <c r="AA85" s="420"/>
      <c r="AB85" s="642"/>
      <c r="AC85" s="420"/>
      <c r="AD85" s="420"/>
      <c r="AE85" s="420"/>
      <c r="AF85" s="420"/>
      <c r="AG85" s="420"/>
      <c r="AH85" s="420"/>
      <c r="AI85" s="420"/>
      <c r="AJ85" s="420"/>
      <c r="AK85" s="420"/>
      <c r="AL85" s="420"/>
      <c r="AM85" s="642"/>
      <c r="AN85" s="420"/>
      <c r="AO85" s="420"/>
      <c r="AP8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5" s="419">
        <f>WWWW[[#This Row],[%Equitable and continuous access to sufficient quantity of safe drinking water]]*WWWW[[#This Row],[Total PoP ]]</f>
        <v>0</v>
      </c>
      <c r="AR8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5" s="419">
        <f>WWWW[[#This Row],[% Access to unimproved water points]]*WWWW[[#This Row],[Total PoP ]]</f>
        <v>0</v>
      </c>
      <c r="AT8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5" s="419">
        <f>WWWW[[#This Row],[HRP1]]/250</f>
        <v>0</v>
      </c>
      <c r="AW85" s="424">
        <f>1-WWWW[[#This Row],[% Equitable and continuous access to sufficient quantity of domestic water]]</f>
        <v>1</v>
      </c>
      <c r="AX85" s="419">
        <f>WWWW[[#This Row],[%equitable and continuous access to sufficient quantity of safe drinking and domestic water''s GAP]]*WWWW[[#This Row],[Total PoP ]]</f>
        <v>656</v>
      </c>
      <c r="AY85" s="421">
        <f>IF(WWWW[[#This Row],[Total required water points]]-WWWW[[#This Row],['#Water points coverage]]&lt;0,0,WWWW[[#This Row],[Total required water points]]-WWWW[[#This Row],['#Water points coverage]])</f>
        <v>3</v>
      </c>
      <c r="AZ85" s="421">
        <f>ROUND(IF(WWWW[[#This Row],[Total PoP ]]&lt;250,1,WWWW[[#This Row],[Total PoP ]]/250),0)</f>
        <v>3</v>
      </c>
      <c r="BA8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5" s="419">
        <f>WWWW[[#This Row],[% people access to functioning Latrine]]*WWWW[[#This Row],[Total PoP ]]</f>
        <v>0</v>
      </c>
      <c r="BC85" s="421">
        <f>WWWW[[#This Row],['#_of_Functioning_latrines_in_school]]*50</f>
        <v>0</v>
      </c>
      <c r="BD85" s="421">
        <f>ROUND((WWWW[[#This Row],[Total PoP ]]/6),0)</f>
        <v>109</v>
      </c>
      <c r="BE85" s="421">
        <f>IF(WWWW[[#This Row],[Total required Latrines]]-(WWWW[[#This Row],['#_of_sanitary_fly-proof_HH_latrines]])&lt;0,0,WWWW[[#This Row],[Total required Latrines]]-(WWWW[[#This Row],['#_of_sanitary_fly-proof_HH_latrines]]))</f>
        <v>109</v>
      </c>
      <c r="BF85" s="72">
        <f>1-WWWW[[#This Row],[% people access to functioning Latrine]]</f>
        <v>1</v>
      </c>
      <c r="BG8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5" s="419">
        <f>IF(WWWW[[#This Row],['#_of_functional_handwashing_facilities_at_HH_level]]*6&gt;WWWW[[#This Row],[Total PoP ]],WWWW[[#This Row],[Total PoP ]],WWWW[[#This Row],['#_of_functional_handwashing_facilities_at_HH_level]]*6)</f>
        <v>0</v>
      </c>
      <c r="BI85" s="421">
        <f>IF(WWWW[[#This Row],['# people reached by regular dedicated hygiene promotion]]&gt;WWWW[[#This Row],['# People received regular supply of hygiene items]],WWWW[[#This Row],['# people reached by regular dedicated hygiene promotion]],WWWW[[#This Row],['# People received regular supply of hygiene items]])</f>
        <v>0</v>
      </c>
      <c r="BJ85" s="424">
        <f>IF(WWWW[[#This Row],[HRP3]]/WWWW[[#This Row],[Total PoP ]]&gt;100%,100%,WWWW[[#This Row],[HRP3]]/WWWW[[#This Row],[Total PoP ]])</f>
        <v>0</v>
      </c>
      <c r="BK85" s="423">
        <f>1-WWWW[[#This Row],[Hygiene Coverage%]]</f>
        <v>1</v>
      </c>
      <c r="BL85" s="422">
        <f>WWWW[[#This Row],['# people reached by regular dedicated hygiene promotion]]/WWWW[[#This Row],[Total PoP ]]</f>
        <v>0</v>
      </c>
      <c r="BM8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5" s="421">
        <f>WWWW[[#This Row],['#_of_affected_women_and_girls_receiving_a_sufficient_quantity_of_sanitary_pads]]</f>
        <v>0</v>
      </c>
      <c r="BO85" s="420">
        <f>IF(WWWW[[#This Row],['# People with access to soap]]&gt;WWWW[[#This Row],['# People with access to Sanity Pads]],WWWW[[#This Row],['# People with access to soap]],WWWW[[#This Row],['# People with access to Sanity Pads]])</f>
        <v>0</v>
      </c>
      <c r="BP85" s="419" t="str">
        <f>IF(OR(WWWW[[#This Row],['#of students in school]]="",WWWW[[#This Row],['#of students in school]]=0),"No","Yes")</f>
        <v>No</v>
      </c>
      <c r="BQ85" s="417" t="str">
        <f>VLOOKUP(WWWW[[#This Row],[Village  Name]],SiteDB6[[Site Name]:[Location Type 1]],9,FALSE)</f>
        <v>Village</v>
      </c>
      <c r="BR85" s="417" t="str">
        <f>VLOOKUP(WWWW[[#This Row],[Village  Name]],SiteDB6[[Site Name]:[Type of Accommodation]],10,FALSE)</f>
        <v>Village</v>
      </c>
      <c r="BS85" s="417" t="str">
        <f>VLOOKUP(WWWW[[#This Row],[Village  Name]],SiteDB6[[Site Name]:[Ethnic or GCA/NGCA]],11,FALSE)</f>
        <v>rakhine</v>
      </c>
      <c r="BT85" s="417">
        <f>VLOOKUP(WWWW[[#This Row],[Village  Name]],SiteDB6[[Site Name]:[Lat]],12,FALSE)</f>
        <v>20.2315197</v>
      </c>
      <c r="BU85" s="417">
        <f>VLOOKUP(WWWW[[#This Row],[Village  Name]],SiteDB6[[Site Name]:[Long]],13,FALSE)</f>
        <v>92.876129149999997</v>
      </c>
      <c r="BV85" s="417">
        <f>VLOOKUP(WWWW[[#This Row],[Village  Name]],SiteDB6[[Site Name]:[Pcode]],3,FALSE)</f>
        <v>196180</v>
      </c>
      <c r="BW85" s="425" t="str">
        <f t="shared" si="3"/>
        <v>Covered</v>
      </c>
      <c r="BX85" s="425"/>
      <c r="BY85" s="33"/>
      <c r="CA85"/>
      <c r="CB85" s="33"/>
      <c r="CC85" s="36"/>
      <c r="CE85" s="37"/>
      <c r="CN85" s="20"/>
    </row>
    <row r="86" spans="1:92" hidden="1">
      <c r="A86" s="412" t="s">
        <v>2380</v>
      </c>
      <c r="B86" s="412" t="s">
        <v>316</v>
      </c>
      <c r="C86" s="418" t="s">
        <v>316</v>
      </c>
      <c r="D86" s="418" t="s">
        <v>309</v>
      </c>
      <c r="E86" s="551" t="s">
        <v>2687</v>
      </c>
      <c r="F86" s="418" t="s">
        <v>297</v>
      </c>
      <c r="G86" s="551" t="str">
        <f>VLOOKUP(WWWW[[#This Row],[Village  Name]],SiteDB6[[Site Name]:[Location Type]],8,FALSE)</f>
        <v>Village</v>
      </c>
      <c r="H86" s="418" t="s">
        <v>439</v>
      </c>
      <c r="I86" s="420">
        <v>152</v>
      </c>
      <c r="J86" s="420">
        <v>1152</v>
      </c>
      <c r="K86" s="426">
        <v>42736</v>
      </c>
      <c r="L86" s="427">
        <v>44551</v>
      </c>
      <c r="M86" s="420"/>
      <c r="N86" s="420"/>
      <c r="O86" s="420"/>
      <c r="P86" s="420"/>
      <c r="Q86" s="420"/>
      <c r="R86" s="420"/>
      <c r="S86" s="420"/>
      <c r="T86" s="642"/>
      <c r="U86" s="420"/>
      <c r="V86" s="611" t="s">
        <v>132</v>
      </c>
      <c r="W86" s="420"/>
      <c r="X86" s="420"/>
      <c r="Y86" s="420"/>
      <c r="Z86" s="420"/>
      <c r="AA86" s="420"/>
      <c r="AB86" s="642"/>
      <c r="AC86" s="420"/>
      <c r="AD86" s="420"/>
      <c r="AE86" s="420"/>
      <c r="AF86" s="420"/>
      <c r="AG86" s="420"/>
      <c r="AH86" s="420"/>
      <c r="AI86" s="420"/>
      <c r="AJ86" s="420"/>
      <c r="AK86" s="420"/>
      <c r="AL86" s="420"/>
      <c r="AM86" s="642"/>
      <c r="AN86" s="420"/>
      <c r="AO86" s="420"/>
      <c r="AP8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6" s="419">
        <f>WWWW[[#This Row],[%Equitable and continuous access to sufficient quantity of safe drinking water]]*WWWW[[#This Row],[Total PoP ]]</f>
        <v>0</v>
      </c>
      <c r="AR8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6" s="419">
        <f>WWWW[[#This Row],[% Access to unimproved water points]]*WWWW[[#This Row],[Total PoP ]]</f>
        <v>0</v>
      </c>
      <c r="AT8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6" s="419">
        <f>WWWW[[#This Row],[HRP1]]/250</f>
        <v>0</v>
      </c>
      <c r="AW86" s="424">
        <f>1-WWWW[[#This Row],[% Equitable and continuous access to sufficient quantity of domestic water]]</f>
        <v>1</v>
      </c>
      <c r="AX86" s="419">
        <f>WWWW[[#This Row],[%equitable and continuous access to sufficient quantity of safe drinking and domestic water''s GAP]]*WWWW[[#This Row],[Total PoP ]]</f>
        <v>1152</v>
      </c>
      <c r="AY86" s="421">
        <f>IF(WWWW[[#This Row],[Total required water points]]-WWWW[[#This Row],['#Water points coverage]]&lt;0,0,WWWW[[#This Row],[Total required water points]]-WWWW[[#This Row],['#Water points coverage]])</f>
        <v>5</v>
      </c>
      <c r="AZ86" s="421">
        <f>ROUND(IF(WWWW[[#This Row],[Total PoP ]]&lt;250,1,WWWW[[#This Row],[Total PoP ]]/250),0)</f>
        <v>5</v>
      </c>
      <c r="BA8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6" s="419">
        <f>WWWW[[#This Row],[% people access to functioning Latrine]]*WWWW[[#This Row],[Total PoP ]]</f>
        <v>0</v>
      </c>
      <c r="BC86" s="421">
        <f>WWWW[[#This Row],['#_of_Functioning_latrines_in_school]]*50</f>
        <v>0</v>
      </c>
      <c r="BD86" s="421">
        <f>ROUND((WWWW[[#This Row],[Total PoP ]]/6),0)</f>
        <v>192</v>
      </c>
      <c r="BE86" s="421">
        <f>IF(WWWW[[#This Row],[Total required Latrines]]-(WWWW[[#This Row],['#_of_sanitary_fly-proof_HH_latrines]])&lt;0,0,WWWW[[#This Row],[Total required Latrines]]-(WWWW[[#This Row],['#_of_sanitary_fly-proof_HH_latrines]]))</f>
        <v>192</v>
      </c>
      <c r="BF86" s="72">
        <f>1-WWWW[[#This Row],[% people access to functioning Latrine]]</f>
        <v>1</v>
      </c>
      <c r="BG8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6" s="419">
        <f>IF(WWWW[[#This Row],['#_of_functional_handwashing_facilities_at_HH_level]]*6&gt;WWWW[[#This Row],[Total PoP ]],WWWW[[#This Row],[Total PoP ]],WWWW[[#This Row],['#_of_functional_handwashing_facilities_at_HH_level]]*6)</f>
        <v>0</v>
      </c>
      <c r="BI86" s="421">
        <f>IF(WWWW[[#This Row],['# people reached by regular dedicated hygiene promotion]]&gt;WWWW[[#This Row],['# People received regular supply of hygiene items]],WWWW[[#This Row],['# people reached by regular dedicated hygiene promotion]],WWWW[[#This Row],['# People received regular supply of hygiene items]])</f>
        <v>0</v>
      </c>
      <c r="BJ86" s="424">
        <f>IF(WWWW[[#This Row],[HRP3]]/WWWW[[#This Row],[Total PoP ]]&gt;100%,100%,WWWW[[#This Row],[HRP3]]/WWWW[[#This Row],[Total PoP ]])</f>
        <v>0</v>
      </c>
      <c r="BK86" s="423">
        <f>1-WWWW[[#This Row],[Hygiene Coverage%]]</f>
        <v>1</v>
      </c>
      <c r="BL86" s="422">
        <f>WWWW[[#This Row],['# people reached by regular dedicated hygiene promotion]]/WWWW[[#This Row],[Total PoP ]]</f>
        <v>0</v>
      </c>
      <c r="BM8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6" s="421">
        <f>WWWW[[#This Row],['#_of_affected_women_and_girls_receiving_a_sufficient_quantity_of_sanitary_pads]]</f>
        <v>0</v>
      </c>
      <c r="BO86" s="420">
        <f>IF(WWWW[[#This Row],['# People with access to soap]]&gt;WWWW[[#This Row],['# People with access to Sanity Pads]],WWWW[[#This Row],['# People with access to soap]],WWWW[[#This Row],['# People with access to Sanity Pads]])</f>
        <v>0</v>
      </c>
      <c r="BP86" s="419" t="str">
        <f>IF(OR(WWWW[[#This Row],['#of students in school]]="",WWWW[[#This Row],['#of students in school]]=0),"No","Yes")</f>
        <v>No</v>
      </c>
      <c r="BQ86" s="417" t="str">
        <f>VLOOKUP(WWWW[[#This Row],[Village  Name]],SiteDB6[[Site Name]:[Location Type 1]],9,FALSE)</f>
        <v>Village</v>
      </c>
      <c r="BR86" s="417" t="str">
        <f>VLOOKUP(WWWW[[#This Row],[Village  Name]],SiteDB6[[Site Name]:[Type of Accommodation]],10,FALSE)</f>
        <v>Village</v>
      </c>
      <c r="BS86" s="417" t="str">
        <f>VLOOKUP(WWWW[[#This Row],[Village  Name]],SiteDB6[[Site Name]:[Ethnic or GCA/NGCA]],11,FALSE)</f>
        <v>Muslim</v>
      </c>
      <c r="BT86" s="417">
        <f>VLOOKUP(WWWW[[#This Row],[Village  Name]],SiteDB6[[Site Name]:[Lat]],12,FALSE)</f>
        <v>20.201499999999999</v>
      </c>
      <c r="BU86" s="417">
        <f>VLOOKUP(WWWW[[#This Row],[Village  Name]],SiteDB6[[Site Name]:[Long]],13,FALSE)</f>
        <v>92.796599999999998</v>
      </c>
      <c r="BV86" s="417">
        <f>VLOOKUP(WWWW[[#This Row],[Village  Name]],SiteDB6[[Site Name]:[Pcode]],3,FALSE)</f>
        <v>196154</v>
      </c>
      <c r="BW86" s="425" t="str">
        <f t="shared" si="3"/>
        <v>Covered</v>
      </c>
      <c r="BX86" s="425"/>
      <c r="BY86" s="33"/>
      <c r="CA86"/>
      <c r="CB86" s="33"/>
      <c r="CC86" s="36"/>
      <c r="CE86" s="37"/>
      <c r="CN86" s="20"/>
    </row>
    <row r="87" spans="1:92" hidden="1">
      <c r="A87" s="412" t="s">
        <v>2380</v>
      </c>
      <c r="B87" s="412" t="s">
        <v>316</v>
      </c>
      <c r="C87" s="418" t="s">
        <v>316</v>
      </c>
      <c r="D87" s="418" t="s">
        <v>309</v>
      </c>
      <c r="E87" s="551" t="s">
        <v>2687</v>
      </c>
      <c r="F87" s="418" t="s">
        <v>297</v>
      </c>
      <c r="G87" s="551" t="str">
        <f>VLOOKUP(WWWW[[#This Row],[Village  Name]],SiteDB6[[Site Name]:[Location Type]],8,FALSE)</f>
        <v>Village</v>
      </c>
      <c r="H87" s="418" t="s">
        <v>1091</v>
      </c>
      <c r="I87" s="420">
        <v>172</v>
      </c>
      <c r="J87" s="420">
        <v>1435</v>
      </c>
      <c r="K87" s="426">
        <v>42736</v>
      </c>
      <c r="L87" s="427">
        <v>44551</v>
      </c>
      <c r="M87" s="420"/>
      <c r="N87" s="420"/>
      <c r="O87" s="420"/>
      <c r="P87" s="420"/>
      <c r="Q87" s="420"/>
      <c r="R87" s="420"/>
      <c r="S87" s="420"/>
      <c r="T87" s="642"/>
      <c r="U87" s="420"/>
      <c r="V87" s="611" t="s">
        <v>132</v>
      </c>
      <c r="W87" s="420"/>
      <c r="X87" s="420"/>
      <c r="Y87" s="420"/>
      <c r="Z87" s="420"/>
      <c r="AA87" s="420"/>
      <c r="AB87" s="642"/>
      <c r="AC87" s="420"/>
      <c r="AD87" s="420"/>
      <c r="AE87" s="420"/>
      <c r="AF87" s="420"/>
      <c r="AG87" s="420"/>
      <c r="AH87" s="420"/>
      <c r="AI87" s="420"/>
      <c r="AJ87" s="420"/>
      <c r="AK87" s="420"/>
      <c r="AL87" s="420"/>
      <c r="AM87" s="642"/>
      <c r="AN87" s="420"/>
      <c r="AO87" s="420"/>
      <c r="AP8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7" s="419">
        <f>WWWW[[#This Row],[%Equitable and continuous access to sufficient quantity of safe drinking water]]*WWWW[[#This Row],[Total PoP ]]</f>
        <v>0</v>
      </c>
      <c r="AR8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7" s="419">
        <f>WWWW[[#This Row],[% Access to unimproved water points]]*WWWW[[#This Row],[Total PoP ]]</f>
        <v>0</v>
      </c>
      <c r="AT8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7" s="419">
        <f>WWWW[[#This Row],[HRP1]]/250</f>
        <v>0</v>
      </c>
      <c r="AW87" s="424">
        <f>1-WWWW[[#This Row],[% Equitable and continuous access to sufficient quantity of domestic water]]</f>
        <v>1</v>
      </c>
      <c r="AX87" s="419">
        <f>WWWW[[#This Row],[%equitable and continuous access to sufficient quantity of safe drinking and domestic water''s GAP]]*WWWW[[#This Row],[Total PoP ]]</f>
        <v>1435</v>
      </c>
      <c r="AY87" s="421">
        <f>IF(WWWW[[#This Row],[Total required water points]]-WWWW[[#This Row],['#Water points coverage]]&lt;0,0,WWWW[[#This Row],[Total required water points]]-WWWW[[#This Row],['#Water points coverage]])</f>
        <v>6</v>
      </c>
      <c r="AZ87" s="421">
        <f>ROUND(IF(WWWW[[#This Row],[Total PoP ]]&lt;250,1,WWWW[[#This Row],[Total PoP ]]/250),0)</f>
        <v>6</v>
      </c>
      <c r="BA8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7" s="419">
        <f>WWWW[[#This Row],[% people access to functioning Latrine]]*WWWW[[#This Row],[Total PoP ]]</f>
        <v>0</v>
      </c>
      <c r="BC87" s="421">
        <f>WWWW[[#This Row],['#_of_Functioning_latrines_in_school]]*50</f>
        <v>0</v>
      </c>
      <c r="BD87" s="421">
        <f>ROUND((WWWW[[#This Row],[Total PoP ]]/6),0)</f>
        <v>239</v>
      </c>
      <c r="BE87" s="421">
        <f>IF(WWWW[[#This Row],[Total required Latrines]]-(WWWW[[#This Row],['#_of_sanitary_fly-proof_HH_latrines]])&lt;0,0,WWWW[[#This Row],[Total required Latrines]]-(WWWW[[#This Row],['#_of_sanitary_fly-proof_HH_latrines]]))</f>
        <v>239</v>
      </c>
      <c r="BF87" s="72">
        <f>1-WWWW[[#This Row],[% people access to functioning Latrine]]</f>
        <v>1</v>
      </c>
      <c r="BG8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7" s="419">
        <f>IF(WWWW[[#This Row],['#_of_functional_handwashing_facilities_at_HH_level]]*6&gt;WWWW[[#This Row],[Total PoP ]],WWWW[[#This Row],[Total PoP ]],WWWW[[#This Row],['#_of_functional_handwashing_facilities_at_HH_level]]*6)</f>
        <v>0</v>
      </c>
      <c r="BI87" s="421">
        <f>IF(WWWW[[#This Row],['# people reached by regular dedicated hygiene promotion]]&gt;WWWW[[#This Row],['# People received regular supply of hygiene items]],WWWW[[#This Row],['# people reached by regular dedicated hygiene promotion]],WWWW[[#This Row],['# People received regular supply of hygiene items]])</f>
        <v>0</v>
      </c>
      <c r="BJ87" s="424">
        <f>IF(WWWW[[#This Row],[HRP3]]/WWWW[[#This Row],[Total PoP ]]&gt;100%,100%,WWWW[[#This Row],[HRP3]]/WWWW[[#This Row],[Total PoP ]])</f>
        <v>0</v>
      </c>
      <c r="BK87" s="423">
        <f>1-WWWW[[#This Row],[Hygiene Coverage%]]</f>
        <v>1</v>
      </c>
      <c r="BL87" s="422">
        <f>WWWW[[#This Row],['# people reached by regular dedicated hygiene promotion]]/WWWW[[#This Row],[Total PoP ]]</f>
        <v>0</v>
      </c>
      <c r="BM8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7" s="421">
        <f>WWWW[[#This Row],['#_of_affected_women_and_girls_receiving_a_sufficient_quantity_of_sanitary_pads]]</f>
        <v>0</v>
      </c>
      <c r="BO87" s="420">
        <f>IF(WWWW[[#This Row],['# People with access to soap]]&gt;WWWW[[#This Row],['# People with access to Sanity Pads]],WWWW[[#This Row],['# People with access to soap]],WWWW[[#This Row],['# People with access to Sanity Pads]])</f>
        <v>0</v>
      </c>
      <c r="BP87" s="419" t="str">
        <f>IF(OR(WWWW[[#This Row],['#of students in school]]="",WWWW[[#This Row],['#of students in school]]=0),"No","Yes")</f>
        <v>No</v>
      </c>
      <c r="BQ87" s="417" t="str">
        <f>VLOOKUP(WWWW[[#This Row],[Village  Name]],SiteDB6[[Site Name]:[Location Type 1]],9,FALSE)</f>
        <v>Village</v>
      </c>
      <c r="BR87" s="417" t="str">
        <f>VLOOKUP(WWWW[[#This Row],[Village  Name]],SiteDB6[[Site Name]:[Type of Accommodation]],10,FALSE)</f>
        <v>Village</v>
      </c>
      <c r="BS87" s="417" t="str">
        <f>VLOOKUP(WWWW[[#This Row],[Village  Name]],SiteDB6[[Site Name]:[Ethnic or GCA/NGCA]],11,FALSE)</f>
        <v>Muslim</v>
      </c>
      <c r="BT87" s="417">
        <f>VLOOKUP(WWWW[[#This Row],[Village  Name]],SiteDB6[[Site Name]:[Lat]],12,FALSE)</f>
        <v>0</v>
      </c>
      <c r="BU87" s="417">
        <f>VLOOKUP(WWWW[[#This Row],[Village  Name]],SiteDB6[[Site Name]:[Long]],13,FALSE)</f>
        <v>0</v>
      </c>
      <c r="BV87" s="417">
        <f>VLOOKUP(WWWW[[#This Row],[Village  Name]],SiteDB6[[Site Name]:[Pcode]],3,FALSE)</f>
        <v>0</v>
      </c>
      <c r="BW87" s="425" t="str">
        <f t="shared" si="3"/>
        <v>Covered</v>
      </c>
      <c r="BX87" s="425"/>
      <c r="BY87" s="33"/>
      <c r="CA87"/>
      <c r="CB87" s="33"/>
      <c r="CC87" s="36"/>
      <c r="CE87" s="37"/>
      <c r="CN87" s="20"/>
    </row>
    <row r="88" spans="1:92" hidden="1">
      <c r="A88" s="412" t="s">
        <v>2380</v>
      </c>
      <c r="B88" s="412" t="s">
        <v>316</v>
      </c>
      <c r="C88" s="418" t="s">
        <v>316</v>
      </c>
      <c r="D88" s="418" t="s">
        <v>309</v>
      </c>
      <c r="E88" s="551" t="s">
        <v>2687</v>
      </c>
      <c r="F88" s="418" t="s">
        <v>297</v>
      </c>
      <c r="G88" s="551" t="str">
        <f>VLOOKUP(WWWW[[#This Row],[Village  Name]],SiteDB6[[Site Name]:[Location Type]],8,FALSE)</f>
        <v>Village</v>
      </c>
      <c r="H88" s="418" t="s">
        <v>440</v>
      </c>
      <c r="I88" s="420">
        <v>73</v>
      </c>
      <c r="J88" s="420">
        <v>320</v>
      </c>
      <c r="K88" s="426">
        <v>42736</v>
      </c>
      <c r="L88" s="427">
        <v>44551</v>
      </c>
      <c r="M88" s="420"/>
      <c r="N88" s="420"/>
      <c r="O88" s="420"/>
      <c r="P88" s="420"/>
      <c r="Q88" s="420"/>
      <c r="R88" s="420"/>
      <c r="S88" s="420"/>
      <c r="T88" s="642"/>
      <c r="U88" s="420"/>
      <c r="V88" s="611" t="s">
        <v>132</v>
      </c>
      <c r="W88" s="420"/>
      <c r="X88" s="420"/>
      <c r="Y88" s="420"/>
      <c r="Z88" s="420"/>
      <c r="AA88" s="420"/>
      <c r="AB88" s="642"/>
      <c r="AC88" s="420"/>
      <c r="AD88" s="420"/>
      <c r="AE88" s="420"/>
      <c r="AF88" s="420"/>
      <c r="AG88" s="420"/>
      <c r="AH88" s="420"/>
      <c r="AI88" s="420"/>
      <c r="AJ88" s="420"/>
      <c r="AK88" s="420"/>
      <c r="AL88" s="420"/>
      <c r="AM88" s="642"/>
      <c r="AN88" s="420"/>
      <c r="AO88" s="420"/>
      <c r="AP8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8" s="419">
        <f>WWWW[[#This Row],[%Equitable and continuous access to sufficient quantity of safe drinking water]]*WWWW[[#This Row],[Total PoP ]]</f>
        <v>0</v>
      </c>
      <c r="AR8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8" s="419">
        <f>WWWW[[#This Row],[% Access to unimproved water points]]*WWWW[[#This Row],[Total PoP ]]</f>
        <v>0</v>
      </c>
      <c r="AT8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8" s="419">
        <f>WWWW[[#This Row],[HRP1]]/250</f>
        <v>0</v>
      </c>
      <c r="AW88" s="424">
        <f>1-WWWW[[#This Row],[% Equitable and continuous access to sufficient quantity of domestic water]]</f>
        <v>1</v>
      </c>
      <c r="AX88" s="419">
        <f>WWWW[[#This Row],[%equitable and continuous access to sufficient quantity of safe drinking and domestic water''s GAP]]*WWWW[[#This Row],[Total PoP ]]</f>
        <v>320</v>
      </c>
      <c r="AY88" s="421">
        <f>IF(WWWW[[#This Row],[Total required water points]]-WWWW[[#This Row],['#Water points coverage]]&lt;0,0,WWWW[[#This Row],[Total required water points]]-WWWW[[#This Row],['#Water points coverage]])</f>
        <v>1</v>
      </c>
      <c r="AZ88" s="421">
        <f>ROUND(IF(WWWW[[#This Row],[Total PoP ]]&lt;250,1,WWWW[[#This Row],[Total PoP ]]/250),0)</f>
        <v>1</v>
      </c>
      <c r="BA8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8" s="419">
        <f>WWWW[[#This Row],[% people access to functioning Latrine]]*WWWW[[#This Row],[Total PoP ]]</f>
        <v>0</v>
      </c>
      <c r="BC88" s="421">
        <f>WWWW[[#This Row],['#_of_Functioning_latrines_in_school]]*50</f>
        <v>0</v>
      </c>
      <c r="BD88" s="421">
        <f>ROUND((WWWW[[#This Row],[Total PoP ]]/6),0)</f>
        <v>53</v>
      </c>
      <c r="BE88" s="421">
        <f>IF(WWWW[[#This Row],[Total required Latrines]]-(WWWW[[#This Row],['#_of_sanitary_fly-proof_HH_latrines]])&lt;0,0,WWWW[[#This Row],[Total required Latrines]]-(WWWW[[#This Row],['#_of_sanitary_fly-proof_HH_latrines]]))</f>
        <v>53</v>
      </c>
      <c r="BF88" s="72">
        <f>1-WWWW[[#This Row],[% people access to functioning Latrine]]</f>
        <v>1</v>
      </c>
      <c r="BG8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8" s="419">
        <f>IF(WWWW[[#This Row],['#_of_functional_handwashing_facilities_at_HH_level]]*6&gt;WWWW[[#This Row],[Total PoP ]],WWWW[[#This Row],[Total PoP ]],WWWW[[#This Row],['#_of_functional_handwashing_facilities_at_HH_level]]*6)</f>
        <v>0</v>
      </c>
      <c r="BI88" s="421">
        <f>IF(WWWW[[#This Row],['# people reached by regular dedicated hygiene promotion]]&gt;WWWW[[#This Row],['# People received regular supply of hygiene items]],WWWW[[#This Row],['# people reached by regular dedicated hygiene promotion]],WWWW[[#This Row],['# People received regular supply of hygiene items]])</f>
        <v>0</v>
      </c>
      <c r="BJ88" s="424">
        <f>IF(WWWW[[#This Row],[HRP3]]/WWWW[[#This Row],[Total PoP ]]&gt;100%,100%,WWWW[[#This Row],[HRP3]]/WWWW[[#This Row],[Total PoP ]])</f>
        <v>0</v>
      </c>
      <c r="BK88" s="423">
        <f>1-WWWW[[#This Row],[Hygiene Coverage%]]</f>
        <v>1</v>
      </c>
      <c r="BL88" s="422">
        <f>WWWW[[#This Row],['# people reached by regular dedicated hygiene promotion]]/WWWW[[#This Row],[Total PoP ]]</f>
        <v>0</v>
      </c>
      <c r="BM8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8" s="421">
        <f>WWWW[[#This Row],['#_of_affected_women_and_girls_receiving_a_sufficient_quantity_of_sanitary_pads]]</f>
        <v>0</v>
      </c>
      <c r="BO88" s="420">
        <f>IF(WWWW[[#This Row],['# People with access to soap]]&gt;WWWW[[#This Row],['# People with access to Sanity Pads]],WWWW[[#This Row],['# People with access to soap]],WWWW[[#This Row],['# People with access to Sanity Pads]])</f>
        <v>0</v>
      </c>
      <c r="BP88" s="419" t="str">
        <f>IF(OR(WWWW[[#This Row],['#of students in school]]="",WWWW[[#This Row],['#of students in school]]=0),"No","Yes")</f>
        <v>No</v>
      </c>
      <c r="BQ88" s="417" t="str">
        <f>VLOOKUP(WWWW[[#This Row],[Village  Name]],SiteDB6[[Site Name]:[Location Type 1]],9,FALSE)</f>
        <v>Village</v>
      </c>
      <c r="BR88" s="417" t="str">
        <f>VLOOKUP(WWWW[[#This Row],[Village  Name]],SiteDB6[[Site Name]:[Type of Accommodation]],10,FALSE)</f>
        <v>Village</v>
      </c>
      <c r="BS88" s="417" t="str">
        <f>VLOOKUP(WWWW[[#This Row],[Village  Name]],SiteDB6[[Site Name]:[Ethnic or GCA/NGCA]],11,FALSE)</f>
        <v>Rakhine</v>
      </c>
      <c r="BT88" s="417">
        <f>VLOOKUP(WWWW[[#This Row],[Village  Name]],SiteDB6[[Site Name]:[Lat]],12,FALSE)</f>
        <v>20.2023601531982</v>
      </c>
      <c r="BU88" s="417">
        <f>VLOOKUP(WWWW[[#This Row],[Village  Name]],SiteDB6[[Site Name]:[Long]],13,FALSE)</f>
        <v>92.812782287597699</v>
      </c>
      <c r="BV88" s="417">
        <f>VLOOKUP(WWWW[[#This Row],[Village  Name]],SiteDB6[[Site Name]:[Pcode]],3,FALSE)</f>
        <v>196159</v>
      </c>
      <c r="BW88" s="425" t="str">
        <f t="shared" si="3"/>
        <v>Covered</v>
      </c>
      <c r="BX88" s="425"/>
      <c r="BY88" s="33"/>
      <c r="CA88"/>
      <c r="CB88" s="33"/>
      <c r="CC88" s="36"/>
      <c r="CE88" s="37"/>
      <c r="CN88" s="20"/>
    </row>
    <row r="89" spans="1:92" hidden="1">
      <c r="A89" s="412" t="s">
        <v>2380</v>
      </c>
      <c r="B89" s="412" t="s">
        <v>316</v>
      </c>
      <c r="C89" s="418" t="s">
        <v>316</v>
      </c>
      <c r="D89" s="418" t="s">
        <v>309</v>
      </c>
      <c r="E89" s="551" t="s">
        <v>2687</v>
      </c>
      <c r="F89" s="418" t="s">
        <v>297</v>
      </c>
      <c r="G89" s="551" t="str">
        <f>VLOOKUP(WWWW[[#This Row],[Village  Name]],SiteDB6[[Site Name]:[Location Type]],8,FALSE)</f>
        <v>Village</v>
      </c>
      <c r="H89" s="418" t="s">
        <v>2617</v>
      </c>
      <c r="I89" s="420">
        <v>266</v>
      </c>
      <c r="J89" s="420">
        <v>1416</v>
      </c>
      <c r="K89" s="426">
        <v>42736</v>
      </c>
      <c r="L89" s="427">
        <v>44551</v>
      </c>
      <c r="M89" s="420"/>
      <c r="N89" s="420"/>
      <c r="O89" s="420"/>
      <c r="P89" s="420"/>
      <c r="Q89" s="420"/>
      <c r="R89" s="420"/>
      <c r="S89" s="420"/>
      <c r="T89" s="642"/>
      <c r="U89" s="420"/>
      <c r="V89" s="611" t="s">
        <v>132</v>
      </c>
      <c r="W89" s="420"/>
      <c r="X89" s="420"/>
      <c r="Y89" s="420"/>
      <c r="Z89" s="420"/>
      <c r="AA89" s="420"/>
      <c r="AB89" s="642"/>
      <c r="AC89" s="420"/>
      <c r="AD89" s="420"/>
      <c r="AE89" s="420"/>
      <c r="AF89" s="420"/>
      <c r="AG89" s="420"/>
      <c r="AH89" s="420"/>
      <c r="AI89" s="420"/>
      <c r="AJ89" s="420"/>
      <c r="AK89" s="420"/>
      <c r="AL89" s="420"/>
      <c r="AM89" s="642"/>
      <c r="AN89" s="420"/>
      <c r="AO89" s="420"/>
      <c r="AP8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89" s="419">
        <f>WWWW[[#This Row],[%Equitable and continuous access to sufficient quantity of safe drinking water]]*WWWW[[#This Row],[Total PoP ]]</f>
        <v>0</v>
      </c>
      <c r="AR8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89" s="419">
        <f>WWWW[[#This Row],[% Access to unimproved water points]]*WWWW[[#This Row],[Total PoP ]]</f>
        <v>0</v>
      </c>
      <c r="AT8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8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89" s="419">
        <f>WWWW[[#This Row],[HRP1]]/250</f>
        <v>0</v>
      </c>
      <c r="AW89" s="424">
        <f>1-WWWW[[#This Row],[% Equitable and continuous access to sufficient quantity of domestic water]]</f>
        <v>1</v>
      </c>
      <c r="AX89" s="419">
        <f>WWWW[[#This Row],[%equitable and continuous access to sufficient quantity of safe drinking and domestic water''s GAP]]*WWWW[[#This Row],[Total PoP ]]</f>
        <v>1416</v>
      </c>
      <c r="AY89" s="421">
        <f>IF(WWWW[[#This Row],[Total required water points]]-WWWW[[#This Row],['#Water points coverage]]&lt;0,0,WWWW[[#This Row],[Total required water points]]-WWWW[[#This Row],['#Water points coverage]])</f>
        <v>6</v>
      </c>
      <c r="AZ89" s="421">
        <f>ROUND(IF(WWWW[[#This Row],[Total PoP ]]&lt;250,1,WWWW[[#This Row],[Total PoP ]]/250),0)</f>
        <v>6</v>
      </c>
      <c r="BA8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89" s="419">
        <f>WWWW[[#This Row],[% people access to functioning Latrine]]*WWWW[[#This Row],[Total PoP ]]</f>
        <v>0</v>
      </c>
      <c r="BC89" s="421">
        <f>WWWW[[#This Row],['#_of_Functioning_latrines_in_school]]*50</f>
        <v>0</v>
      </c>
      <c r="BD89" s="421">
        <f>ROUND((WWWW[[#This Row],[Total PoP ]]/6),0)</f>
        <v>236</v>
      </c>
      <c r="BE89" s="421">
        <f>IF(WWWW[[#This Row],[Total required Latrines]]-(WWWW[[#This Row],['#_of_sanitary_fly-proof_HH_latrines]])&lt;0,0,WWWW[[#This Row],[Total required Latrines]]-(WWWW[[#This Row],['#_of_sanitary_fly-proof_HH_latrines]]))</f>
        <v>236</v>
      </c>
      <c r="BF89" s="72">
        <f>1-WWWW[[#This Row],[% people access to functioning Latrine]]</f>
        <v>1</v>
      </c>
      <c r="BG8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89" s="419">
        <f>IF(WWWW[[#This Row],['#_of_functional_handwashing_facilities_at_HH_level]]*6&gt;WWWW[[#This Row],[Total PoP ]],WWWW[[#This Row],[Total PoP ]],WWWW[[#This Row],['#_of_functional_handwashing_facilities_at_HH_level]]*6)</f>
        <v>0</v>
      </c>
      <c r="BI89" s="421">
        <f>IF(WWWW[[#This Row],['# people reached by regular dedicated hygiene promotion]]&gt;WWWW[[#This Row],['# People received regular supply of hygiene items]],WWWW[[#This Row],['# people reached by regular dedicated hygiene promotion]],WWWW[[#This Row],['# People received regular supply of hygiene items]])</f>
        <v>0</v>
      </c>
      <c r="BJ89" s="424">
        <f>IF(WWWW[[#This Row],[HRP3]]/WWWW[[#This Row],[Total PoP ]]&gt;100%,100%,WWWW[[#This Row],[HRP3]]/WWWW[[#This Row],[Total PoP ]])</f>
        <v>0</v>
      </c>
      <c r="BK89" s="423">
        <f>1-WWWW[[#This Row],[Hygiene Coverage%]]</f>
        <v>1</v>
      </c>
      <c r="BL89" s="422">
        <f>WWWW[[#This Row],['# people reached by regular dedicated hygiene promotion]]/WWWW[[#This Row],[Total PoP ]]</f>
        <v>0</v>
      </c>
      <c r="BM8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89" s="421">
        <f>WWWW[[#This Row],['#_of_affected_women_and_girls_receiving_a_sufficient_quantity_of_sanitary_pads]]</f>
        <v>0</v>
      </c>
      <c r="BO89" s="420">
        <f>IF(WWWW[[#This Row],['# People with access to soap]]&gt;WWWW[[#This Row],['# People with access to Sanity Pads]],WWWW[[#This Row],['# People with access to soap]],WWWW[[#This Row],['# People with access to Sanity Pads]])</f>
        <v>0</v>
      </c>
      <c r="BP89" s="419" t="str">
        <f>IF(OR(WWWW[[#This Row],['#of students in school]]="",WWWW[[#This Row],['#of students in school]]=0),"No","Yes")</f>
        <v>No</v>
      </c>
      <c r="BQ89" s="417" t="str">
        <f>VLOOKUP(WWWW[[#This Row],[Village  Name]],SiteDB6[[Site Name]:[Location Type 1]],9,FALSE)</f>
        <v>Village</v>
      </c>
      <c r="BR89" s="417" t="str">
        <f>VLOOKUP(WWWW[[#This Row],[Village  Name]],SiteDB6[[Site Name]:[Type of Accommodation]],10,FALSE)</f>
        <v>Village</v>
      </c>
      <c r="BS89" s="417">
        <f>VLOOKUP(WWWW[[#This Row],[Village  Name]],SiteDB6[[Site Name]:[Ethnic or GCA/NGCA]],11,FALSE)</f>
        <v>0</v>
      </c>
      <c r="BT89" s="417">
        <f>VLOOKUP(WWWW[[#This Row],[Village  Name]],SiteDB6[[Site Name]:[Lat]],12,FALSE)</f>
        <v>20.199499130248999</v>
      </c>
      <c r="BU89" s="417">
        <f>VLOOKUP(WWWW[[#This Row],[Village  Name]],SiteDB6[[Site Name]:[Long]],13,FALSE)</f>
        <v>92.834327697753906</v>
      </c>
      <c r="BV89" s="417">
        <f>VLOOKUP(WWWW[[#This Row],[Village  Name]],SiteDB6[[Site Name]:[Pcode]],3,FALSE)</f>
        <v>196126</v>
      </c>
      <c r="BW89" s="425" t="str">
        <f t="shared" si="3"/>
        <v>Covered</v>
      </c>
      <c r="BX89" s="425"/>
      <c r="BY89" s="33"/>
      <c r="CA89"/>
      <c r="CB89" s="33"/>
      <c r="CC89" s="36"/>
      <c r="CE89" s="37"/>
      <c r="CN89" s="20"/>
    </row>
    <row r="90" spans="1:92" hidden="1">
      <c r="A90" s="412" t="s">
        <v>2380</v>
      </c>
      <c r="B90" s="412" t="s">
        <v>316</v>
      </c>
      <c r="C90" s="418" t="s">
        <v>316</v>
      </c>
      <c r="D90" s="418" t="s">
        <v>309</v>
      </c>
      <c r="E90" s="551" t="s">
        <v>2687</v>
      </c>
      <c r="F90" s="418" t="s">
        <v>297</v>
      </c>
      <c r="G90" s="551" t="str">
        <f>VLOOKUP(WWWW[[#This Row],[Village  Name]],SiteDB6[[Site Name]:[Location Type]],8,FALSE)</f>
        <v>Village</v>
      </c>
      <c r="H90" s="418" t="s">
        <v>2618</v>
      </c>
      <c r="I90" s="420">
        <v>179</v>
      </c>
      <c r="J90" s="420">
        <v>853</v>
      </c>
      <c r="K90" s="426">
        <v>42736</v>
      </c>
      <c r="L90" s="427">
        <v>44551</v>
      </c>
      <c r="M90" s="420"/>
      <c r="N90" s="420"/>
      <c r="O90" s="420"/>
      <c r="P90" s="420"/>
      <c r="Q90" s="420"/>
      <c r="R90" s="420"/>
      <c r="S90" s="420"/>
      <c r="T90" s="642"/>
      <c r="U90" s="420"/>
      <c r="V90" s="611" t="s">
        <v>132</v>
      </c>
      <c r="W90" s="420"/>
      <c r="X90" s="420"/>
      <c r="Y90" s="420"/>
      <c r="Z90" s="420"/>
      <c r="AA90" s="420"/>
      <c r="AB90" s="642"/>
      <c r="AC90" s="420"/>
      <c r="AD90" s="420"/>
      <c r="AE90" s="420"/>
      <c r="AF90" s="420"/>
      <c r="AG90" s="420"/>
      <c r="AH90" s="420"/>
      <c r="AI90" s="420"/>
      <c r="AJ90" s="420"/>
      <c r="AK90" s="420"/>
      <c r="AL90" s="420"/>
      <c r="AM90" s="642"/>
      <c r="AN90" s="420"/>
      <c r="AO90" s="420"/>
      <c r="AP9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0" s="419">
        <f>WWWW[[#This Row],[%Equitable and continuous access to sufficient quantity of safe drinking water]]*WWWW[[#This Row],[Total PoP ]]</f>
        <v>0</v>
      </c>
      <c r="AR9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0" s="419">
        <f>WWWW[[#This Row],[% Access to unimproved water points]]*WWWW[[#This Row],[Total PoP ]]</f>
        <v>0</v>
      </c>
      <c r="AT9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0" s="419">
        <f>WWWW[[#This Row],[HRP1]]/250</f>
        <v>0</v>
      </c>
      <c r="AW90" s="424">
        <f>1-WWWW[[#This Row],[% Equitable and continuous access to sufficient quantity of domestic water]]</f>
        <v>1</v>
      </c>
      <c r="AX90" s="419">
        <f>WWWW[[#This Row],[%equitable and continuous access to sufficient quantity of safe drinking and domestic water''s GAP]]*WWWW[[#This Row],[Total PoP ]]</f>
        <v>853</v>
      </c>
      <c r="AY90" s="421">
        <f>IF(WWWW[[#This Row],[Total required water points]]-WWWW[[#This Row],['#Water points coverage]]&lt;0,0,WWWW[[#This Row],[Total required water points]]-WWWW[[#This Row],['#Water points coverage]])</f>
        <v>3</v>
      </c>
      <c r="AZ90" s="421">
        <f>ROUND(IF(WWWW[[#This Row],[Total PoP ]]&lt;250,1,WWWW[[#This Row],[Total PoP ]]/250),0)</f>
        <v>3</v>
      </c>
      <c r="BA9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0" s="419">
        <f>WWWW[[#This Row],[% people access to functioning Latrine]]*WWWW[[#This Row],[Total PoP ]]</f>
        <v>0</v>
      </c>
      <c r="BC90" s="421">
        <f>WWWW[[#This Row],['#_of_Functioning_latrines_in_school]]*50</f>
        <v>0</v>
      </c>
      <c r="BD90" s="421">
        <f>ROUND((WWWW[[#This Row],[Total PoP ]]/6),0)</f>
        <v>142</v>
      </c>
      <c r="BE90" s="421">
        <f>IF(WWWW[[#This Row],[Total required Latrines]]-(WWWW[[#This Row],['#_of_sanitary_fly-proof_HH_latrines]])&lt;0,0,WWWW[[#This Row],[Total required Latrines]]-(WWWW[[#This Row],['#_of_sanitary_fly-proof_HH_latrines]]))</f>
        <v>142</v>
      </c>
      <c r="BF90" s="72">
        <f>1-WWWW[[#This Row],[% people access to functioning Latrine]]</f>
        <v>1</v>
      </c>
      <c r="BG9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0" s="419">
        <f>IF(WWWW[[#This Row],['#_of_functional_handwashing_facilities_at_HH_level]]*6&gt;WWWW[[#This Row],[Total PoP ]],WWWW[[#This Row],[Total PoP ]],WWWW[[#This Row],['#_of_functional_handwashing_facilities_at_HH_level]]*6)</f>
        <v>0</v>
      </c>
      <c r="BI90" s="421">
        <f>IF(WWWW[[#This Row],['# people reached by regular dedicated hygiene promotion]]&gt;WWWW[[#This Row],['# People received regular supply of hygiene items]],WWWW[[#This Row],['# people reached by regular dedicated hygiene promotion]],WWWW[[#This Row],['# People received regular supply of hygiene items]])</f>
        <v>0</v>
      </c>
      <c r="BJ90" s="424">
        <f>IF(WWWW[[#This Row],[HRP3]]/WWWW[[#This Row],[Total PoP ]]&gt;100%,100%,WWWW[[#This Row],[HRP3]]/WWWW[[#This Row],[Total PoP ]])</f>
        <v>0</v>
      </c>
      <c r="BK90" s="423">
        <f>1-WWWW[[#This Row],[Hygiene Coverage%]]</f>
        <v>1</v>
      </c>
      <c r="BL90" s="422">
        <f>WWWW[[#This Row],['# people reached by regular dedicated hygiene promotion]]/WWWW[[#This Row],[Total PoP ]]</f>
        <v>0</v>
      </c>
      <c r="BM9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0" s="421">
        <f>WWWW[[#This Row],['#_of_affected_women_and_girls_receiving_a_sufficient_quantity_of_sanitary_pads]]</f>
        <v>0</v>
      </c>
      <c r="BO90" s="420">
        <f>IF(WWWW[[#This Row],['# People with access to soap]]&gt;WWWW[[#This Row],['# People with access to Sanity Pads]],WWWW[[#This Row],['# People with access to soap]],WWWW[[#This Row],['# People with access to Sanity Pads]])</f>
        <v>0</v>
      </c>
      <c r="BP90" s="419" t="str">
        <f>IF(OR(WWWW[[#This Row],['#of students in school]]="",WWWW[[#This Row],['#of students in school]]=0),"No","Yes")</f>
        <v>No</v>
      </c>
      <c r="BQ90" s="417" t="str">
        <f>VLOOKUP(WWWW[[#This Row],[Village  Name]],SiteDB6[[Site Name]:[Location Type 1]],9,FALSE)</f>
        <v>Village</v>
      </c>
      <c r="BR90" s="417" t="str">
        <f>VLOOKUP(WWWW[[#This Row],[Village  Name]],SiteDB6[[Site Name]:[Type of Accommodation]],10,FALSE)</f>
        <v>Village</v>
      </c>
      <c r="BS90" s="417">
        <f>VLOOKUP(WWWW[[#This Row],[Village  Name]],SiteDB6[[Site Name]:[Ethnic or GCA/NGCA]],11,FALSE)</f>
        <v>0</v>
      </c>
      <c r="BT90" s="417">
        <f>VLOOKUP(WWWW[[#This Row],[Village  Name]],SiteDB6[[Site Name]:[Lat]],12,FALSE)</f>
        <v>20.194370269775401</v>
      </c>
      <c r="BU90" s="417">
        <f>VLOOKUP(WWWW[[#This Row],[Village  Name]],SiteDB6[[Site Name]:[Long]],13,FALSE)</f>
        <v>92.834007263183594</v>
      </c>
      <c r="BV90" s="417">
        <f>VLOOKUP(WWWW[[#This Row],[Village  Name]],SiteDB6[[Site Name]:[Pcode]],3,FALSE)</f>
        <v>196128</v>
      </c>
      <c r="BW90" s="425" t="str">
        <f t="shared" si="3"/>
        <v>Covered</v>
      </c>
      <c r="BX90" s="425"/>
      <c r="BY90" s="33"/>
      <c r="CA90"/>
      <c r="CB90" s="33"/>
      <c r="CC90" s="36"/>
      <c r="CE90" s="37"/>
      <c r="CN90" s="20"/>
    </row>
    <row r="91" spans="1:92" hidden="1">
      <c r="A91" s="412" t="s">
        <v>2380</v>
      </c>
      <c r="B91" s="412" t="s">
        <v>316</v>
      </c>
      <c r="C91" s="418" t="s">
        <v>316</v>
      </c>
      <c r="D91" s="418" t="s">
        <v>309</v>
      </c>
      <c r="E91" s="551" t="s">
        <v>2687</v>
      </c>
      <c r="F91" s="418" t="s">
        <v>297</v>
      </c>
      <c r="G91" s="551" t="str">
        <f>VLOOKUP(WWWW[[#This Row],[Village  Name]],SiteDB6[[Site Name]:[Location Type]],8,FALSE)</f>
        <v>Village</v>
      </c>
      <c r="H91" s="418" t="s">
        <v>2619</v>
      </c>
      <c r="I91" s="420">
        <v>241</v>
      </c>
      <c r="J91" s="420">
        <v>1027</v>
      </c>
      <c r="K91" s="426">
        <v>42736</v>
      </c>
      <c r="L91" s="427">
        <v>44551</v>
      </c>
      <c r="M91" s="420"/>
      <c r="N91" s="420"/>
      <c r="O91" s="420"/>
      <c r="P91" s="420"/>
      <c r="Q91" s="420"/>
      <c r="R91" s="420"/>
      <c r="S91" s="420"/>
      <c r="T91" s="642"/>
      <c r="U91" s="420"/>
      <c r="V91" s="611" t="s">
        <v>132</v>
      </c>
      <c r="W91" s="420"/>
      <c r="X91" s="420"/>
      <c r="Y91" s="420"/>
      <c r="Z91" s="420"/>
      <c r="AA91" s="420"/>
      <c r="AB91" s="642"/>
      <c r="AC91" s="420"/>
      <c r="AD91" s="420"/>
      <c r="AE91" s="420"/>
      <c r="AF91" s="420"/>
      <c r="AG91" s="420"/>
      <c r="AH91" s="420"/>
      <c r="AI91" s="420"/>
      <c r="AJ91" s="420"/>
      <c r="AK91" s="420"/>
      <c r="AL91" s="420"/>
      <c r="AM91" s="642"/>
      <c r="AN91" s="420"/>
      <c r="AO91" s="420"/>
      <c r="AP9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1" s="419">
        <f>WWWW[[#This Row],[%Equitable and continuous access to sufficient quantity of safe drinking water]]*WWWW[[#This Row],[Total PoP ]]</f>
        <v>0</v>
      </c>
      <c r="AR9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1" s="419">
        <f>WWWW[[#This Row],[% Access to unimproved water points]]*WWWW[[#This Row],[Total PoP ]]</f>
        <v>0</v>
      </c>
      <c r="AT9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1" s="419">
        <f>WWWW[[#This Row],[HRP1]]/250</f>
        <v>0</v>
      </c>
      <c r="AW91" s="424">
        <f>1-WWWW[[#This Row],[% Equitable and continuous access to sufficient quantity of domestic water]]</f>
        <v>1</v>
      </c>
      <c r="AX91" s="419">
        <f>WWWW[[#This Row],[%equitable and continuous access to sufficient quantity of safe drinking and domestic water''s GAP]]*WWWW[[#This Row],[Total PoP ]]</f>
        <v>1027</v>
      </c>
      <c r="AY91" s="421">
        <f>IF(WWWW[[#This Row],[Total required water points]]-WWWW[[#This Row],['#Water points coverage]]&lt;0,0,WWWW[[#This Row],[Total required water points]]-WWWW[[#This Row],['#Water points coverage]])</f>
        <v>4</v>
      </c>
      <c r="AZ91" s="421">
        <f>ROUND(IF(WWWW[[#This Row],[Total PoP ]]&lt;250,1,WWWW[[#This Row],[Total PoP ]]/250),0)</f>
        <v>4</v>
      </c>
      <c r="BA9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1" s="419">
        <f>WWWW[[#This Row],[% people access to functioning Latrine]]*WWWW[[#This Row],[Total PoP ]]</f>
        <v>0</v>
      </c>
      <c r="BC91" s="421">
        <f>WWWW[[#This Row],['#_of_Functioning_latrines_in_school]]*50</f>
        <v>0</v>
      </c>
      <c r="BD91" s="421">
        <f>ROUND((WWWW[[#This Row],[Total PoP ]]/6),0)</f>
        <v>171</v>
      </c>
      <c r="BE91" s="421">
        <f>IF(WWWW[[#This Row],[Total required Latrines]]-(WWWW[[#This Row],['#_of_sanitary_fly-proof_HH_latrines]])&lt;0,0,WWWW[[#This Row],[Total required Latrines]]-(WWWW[[#This Row],['#_of_sanitary_fly-proof_HH_latrines]]))</f>
        <v>171</v>
      </c>
      <c r="BF91" s="72">
        <f>1-WWWW[[#This Row],[% people access to functioning Latrine]]</f>
        <v>1</v>
      </c>
      <c r="BG9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1" s="419">
        <f>IF(WWWW[[#This Row],['#_of_functional_handwashing_facilities_at_HH_level]]*6&gt;WWWW[[#This Row],[Total PoP ]],WWWW[[#This Row],[Total PoP ]],WWWW[[#This Row],['#_of_functional_handwashing_facilities_at_HH_level]]*6)</f>
        <v>0</v>
      </c>
      <c r="BI91" s="421">
        <f>IF(WWWW[[#This Row],['# people reached by regular dedicated hygiene promotion]]&gt;WWWW[[#This Row],['# People received regular supply of hygiene items]],WWWW[[#This Row],['# people reached by regular dedicated hygiene promotion]],WWWW[[#This Row],['# People received regular supply of hygiene items]])</f>
        <v>0</v>
      </c>
      <c r="BJ91" s="424">
        <f>IF(WWWW[[#This Row],[HRP3]]/WWWW[[#This Row],[Total PoP ]]&gt;100%,100%,WWWW[[#This Row],[HRP3]]/WWWW[[#This Row],[Total PoP ]])</f>
        <v>0</v>
      </c>
      <c r="BK91" s="423">
        <f>1-WWWW[[#This Row],[Hygiene Coverage%]]</f>
        <v>1</v>
      </c>
      <c r="BL91" s="422">
        <f>WWWW[[#This Row],['# people reached by regular dedicated hygiene promotion]]/WWWW[[#This Row],[Total PoP ]]</f>
        <v>0</v>
      </c>
      <c r="BM9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1" s="421">
        <f>WWWW[[#This Row],['#_of_affected_women_and_girls_receiving_a_sufficient_quantity_of_sanitary_pads]]</f>
        <v>0</v>
      </c>
      <c r="BO91" s="420">
        <f>IF(WWWW[[#This Row],['# People with access to soap]]&gt;WWWW[[#This Row],['# People with access to Sanity Pads]],WWWW[[#This Row],['# People with access to soap]],WWWW[[#This Row],['# People with access to Sanity Pads]])</f>
        <v>0</v>
      </c>
      <c r="BP91" s="419" t="str">
        <f>IF(OR(WWWW[[#This Row],['#of students in school]]="",WWWW[[#This Row],['#of students in school]]=0),"No","Yes")</f>
        <v>No</v>
      </c>
      <c r="BQ91" s="417" t="str">
        <f>VLOOKUP(WWWW[[#This Row],[Village  Name]],SiteDB6[[Site Name]:[Location Type 1]],9,FALSE)</f>
        <v>Village</v>
      </c>
      <c r="BR91" s="417" t="str">
        <f>VLOOKUP(WWWW[[#This Row],[Village  Name]],SiteDB6[[Site Name]:[Type of Accommodation]],10,FALSE)</f>
        <v>Village</v>
      </c>
      <c r="BS91" s="417">
        <f>VLOOKUP(WWWW[[#This Row],[Village  Name]],SiteDB6[[Site Name]:[Ethnic or GCA/NGCA]],11,FALSE)</f>
        <v>0</v>
      </c>
      <c r="BT91" s="417">
        <f>VLOOKUP(WWWW[[#This Row],[Village  Name]],SiteDB6[[Site Name]:[Lat]],12,FALSE)</f>
        <v>20.2105598449707</v>
      </c>
      <c r="BU91" s="417">
        <f>VLOOKUP(WWWW[[#This Row],[Village  Name]],SiteDB6[[Site Name]:[Long]],13,FALSE)</f>
        <v>92.836456298828097</v>
      </c>
      <c r="BV91" s="417">
        <f>VLOOKUP(WWWW[[#This Row],[Village  Name]],SiteDB6[[Site Name]:[Pcode]],3,FALSE)</f>
        <v>196125</v>
      </c>
      <c r="BW91" s="425" t="str">
        <f t="shared" si="3"/>
        <v>Covered</v>
      </c>
      <c r="BX91" s="425"/>
      <c r="BY91" s="33"/>
      <c r="CA91"/>
      <c r="CB91" s="33"/>
      <c r="CC91" s="36"/>
      <c r="CE91" s="37"/>
      <c r="CN91" s="20"/>
    </row>
    <row r="92" spans="1:92" hidden="1">
      <c r="A92" s="412" t="s">
        <v>2380</v>
      </c>
      <c r="B92" s="412" t="s">
        <v>316</v>
      </c>
      <c r="C92" s="418" t="s">
        <v>316</v>
      </c>
      <c r="D92" s="418" t="s">
        <v>309</v>
      </c>
      <c r="E92" s="551" t="s">
        <v>2687</v>
      </c>
      <c r="F92" s="418" t="s">
        <v>297</v>
      </c>
      <c r="G92" s="551" t="str">
        <f>VLOOKUP(WWWW[[#This Row],[Village  Name]],SiteDB6[[Site Name]:[Location Type]],8,FALSE)</f>
        <v>Village</v>
      </c>
      <c r="H92" s="418" t="s">
        <v>2620</v>
      </c>
      <c r="I92" s="420">
        <v>77</v>
      </c>
      <c r="J92" s="420">
        <v>370</v>
      </c>
      <c r="K92" s="426">
        <v>42736</v>
      </c>
      <c r="L92" s="427">
        <v>44551</v>
      </c>
      <c r="M92" s="420"/>
      <c r="N92" s="420"/>
      <c r="O92" s="420"/>
      <c r="P92" s="420"/>
      <c r="Q92" s="420"/>
      <c r="R92" s="420"/>
      <c r="S92" s="420"/>
      <c r="T92" s="642"/>
      <c r="U92" s="420"/>
      <c r="V92" s="611" t="s">
        <v>132</v>
      </c>
      <c r="W92" s="420"/>
      <c r="X92" s="420"/>
      <c r="Y92" s="420"/>
      <c r="Z92" s="420"/>
      <c r="AA92" s="420"/>
      <c r="AB92" s="642"/>
      <c r="AC92" s="420"/>
      <c r="AD92" s="420"/>
      <c r="AE92" s="420"/>
      <c r="AF92" s="420"/>
      <c r="AG92" s="420"/>
      <c r="AH92" s="420"/>
      <c r="AI92" s="420"/>
      <c r="AJ92" s="420"/>
      <c r="AK92" s="420"/>
      <c r="AL92" s="420"/>
      <c r="AM92" s="642"/>
      <c r="AN92" s="420"/>
      <c r="AO92" s="420"/>
      <c r="AP9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2" s="419">
        <f>WWWW[[#This Row],[%Equitable and continuous access to sufficient quantity of safe drinking water]]*WWWW[[#This Row],[Total PoP ]]</f>
        <v>0</v>
      </c>
      <c r="AR9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2" s="419">
        <f>WWWW[[#This Row],[% Access to unimproved water points]]*WWWW[[#This Row],[Total PoP ]]</f>
        <v>0</v>
      </c>
      <c r="AT9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2" s="419">
        <f>WWWW[[#This Row],[HRP1]]/250</f>
        <v>0</v>
      </c>
      <c r="AW92" s="424">
        <f>1-WWWW[[#This Row],[% Equitable and continuous access to sufficient quantity of domestic water]]</f>
        <v>1</v>
      </c>
      <c r="AX92" s="419">
        <f>WWWW[[#This Row],[%equitable and continuous access to sufficient quantity of safe drinking and domestic water''s GAP]]*WWWW[[#This Row],[Total PoP ]]</f>
        <v>370</v>
      </c>
      <c r="AY92" s="421">
        <f>IF(WWWW[[#This Row],[Total required water points]]-WWWW[[#This Row],['#Water points coverage]]&lt;0,0,WWWW[[#This Row],[Total required water points]]-WWWW[[#This Row],['#Water points coverage]])</f>
        <v>1</v>
      </c>
      <c r="AZ92" s="421">
        <f>ROUND(IF(WWWW[[#This Row],[Total PoP ]]&lt;250,1,WWWW[[#This Row],[Total PoP ]]/250),0)</f>
        <v>1</v>
      </c>
      <c r="BA9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2" s="419">
        <f>WWWW[[#This Row],[% people access to functioning Latrine]]*WWWW[[#This Row],[Total PoP ]]</f>
        <v>0</v>
      </c>
      <c r="BC92" s="421">
        <f>WWWW[[#This Row],['#_of_Functioning_latrines_in_school]]*50</f>
        <v>0</v>
      </c>
      <c r="BD92" s="421">
        <f>ROUND((WWWW[[#This Row],[Total PoP ]]/6),0)</f>
        <v>62</v>
      </c>
      <c r="BE92" s="421">
        <f>IF(WWWW[[#This Row],[Total required Latrines]]-(WWWW[[#This Row],['#_of_sanitary_fly-proof_HH_latrines]])&lt;0,0,WWWW[[#This Row],[Total required Latrines]]-(WWWW[[#This Row],['#_of_sanitary_fly-proof_HH_latrines]]))</f>
        <v>62</v>
      </c>
      <c r="BF92" s="72">
        <f>1-WWWW[[#This Row],[% people access to functioning Latrine]]</f>
        <v>1</v>
      </c>
      <c r="BG9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2" s="419">
        <f>IF(WWWW[[#This Row],['#_of_functional_handwashing_facilities_at_HH_level]]*6&gt;WWWW[[#This Row],[Total PoP ]],WWWW[[#This Row],[Total PoP ]],WWWW[[#This Row],['#_of_functional_handwashing_facilities_at_HH_level]]*6)</f>
        <v>0</v>
      </c>
      <c r="BI92" s="421">
        <f>IF(WWWW[[#This Row],['# people reached by regular dedicated hygiene promotion]]&gt;WWWW[[#This Row],['# People received regular supply of hygiene items]],WWWW[[#This Row],['# people reached by regular dedicated hygiene promotion]],WWWW[[#This Row],['# People received regular supply of hygiene items]])</f>
        <v>0</v>
      </c>
      <c r="BJ92" s="424">
        <f>IF(WWWW[[#This Row],[HRP3]]/WWWW[[#This Row],[Total PoP ]]&gt;100%,100%,WWWW[[#This Row],[HRP3]]/WWWW[[#This Row],[Total PoP ]])</f>
        <v>0</v>
      </c>
      <c r="BK92" s="423">
        <f>1-WWWW[[#This Row],[Hygiene Coverage%]]</f>
        <v>1</v>
      </c>
      <c r="BL92" s="422">
        <f>WWWW[[#This Row],['# people reached by regular dedicated hygiene promotion]]/WWWW[[#This Row],[Total PoP ]]</f>
        <v>0</v>
      </c>
      <c r="BM9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2" s="421">
        <f>WWWW[[#This Row],['#_of_affected_women_and_girls_receiving_a_sufficient_quantity_of_sanitary_pads]]</f>
        <v>0</v>
      </c>
      <c r="BO92" s="420">
        <f>IF(WWWW[[#This Row],['# People with access to soap]]&gt;WWWW[[#This Row],['# People with access to Sanity Pads]],WWWW[[#This Row],['# People with access to soap]],WWWW[[#This Row],['# People with access to Sanity Pads]])</f>
        <v>0</v>
      </c>
      <c r="BP92" s="419" t="str">
        <f>IF(OR(WWWW[[#This Row],['#of students in school]]="",WWWW[[#This Row],['#of students in school]]=0),"No","Yes")</f>
        <v>No</v>
      </c>
      <c r="BQ92" s="417" t="str">
        <f>VLOOKUP(WWWW[[#This Row],[Village  Name]],SiteDB6[[Site Name]:[Location Type 1]],9,FALSE)</f>
        <v>Village</v>
      </c>
      <c r="BR92" s="417" t="str">
        <f>VLOOKUP(WWWW[[#This Row],[Village  Name]],SiteDB6[[Site Name]:[Type of Accommodation]],10,FALSE)</f>
        <v>Village</v>
      </c>
      <c r="BS92" s="417" t="str">
        <f>VLOOKUP(WWWW[[#This Row],[Village  Name]],SiteDB6[[Site Name]:[Ethnic or GCA/NGCA]],11,FALSE)</f>
        <v>Rakhine</v>
      </c>
      <c r="BT92" s="417">
        <f>VLOOKUP(WWWW[[#This Row],[Village  Name]],SiteDB6[[Site Name]:[Lat]],12,FALSE)</f>
        <v>20.142474</v>
      </c>
      <c r="BU92" s="417">
        <f>VLOOKUP(WWWW[[#This Row],[Village  Name]],SiteDB6[[Site Name]:[Long]],13,FALSE)</f>
        <v>92.494243999999995</v>
      </c>
      <c r="BV92" s="417">
        <f>VLOOKUP(WWWW[[#This Row],[Village  Name]],SiteDB6[[Site Name]:[Pcode]],3,FALSE)</f>
        <v>196130</v>
      </c>
      <c r="BW92" s="425" t="str">
        <f t="shared" si="3"/>
        <v>Covered</v>
      </c>
      <c r="BX92" s="425"/>
      <c r="BY92" s="33"/>
      <c r="CA92"/>
      <c r="CB92" s="33"/>
      <c r="CC92" s="36"/>
      <c r="CE92" s="37"/>
      <c r="CN92" s="20"/>
    </row>
    <row r="93" spans="1:92" hidden="1">
      <c r="A93" s="412" t="s">
        <v>2380</v>
      </c>
      <c r="B93" s="412" t="s">
        <v>316</v>
      </c>
      <c r="C93" s="418" t="s">
        <v>316</v>
      </c>
      <c r="D93" s="418" t="s">
        <v>309</v>
      </c>
      <c r="E93" s="551" t="s">
        <v>2687</v>
      </c>
      <c r="F93" s="418" t="s">
        <v>297</v>
      </c>
      <c r="G93" s="551" t="str">
        <f>VLOOKUP(WWWW[[#This Row],[Village  Name]],SiteDB6[[Site Name]:[Location Type]],8,FALSE)</f>
        <v>village</v>
      </c>
      <c r="H93" s="418" t="s">
        <v>876</v>
      </c>
      <c r="I93" s="420">
        <v>509</v>
      </c>
      <c r="J93" s="420">
        <v>1574</v>
      </c>
      <c r="K93" s="426">
        <v>42736</v>
      </c>
      <c r="L93" s="427">
        <v>44551</v>
      </c>
      <c r="M93" s="420"/>
      <c r="N93" s="420"/>
      <c r="O93" s="420"/>
      <c r="P93" s="420"/>
      <c r="Q93" s="420"/>
      <c r="R93" s="420"/>
      <c r="S93" s="420"/>
      <c r="T93" s="642"/>
      <c r="U93" s="420"/>
      <c r="V93" s="611" t="s">
        <v>132</v>
      </c>
      <c r="W93" s="420"/>
      <c r="X93" s="420"/>
      <c r="Y93" s="420"/>
      <c r="Z93" s="420"/>
      <c r="AA93" s="420"/>
      <c r="AB93" s="642"/>
      <c r="AC93" s="420"/>
      <c r="AD93" s="420"/>
      <c r="AE93" s="420"/>
      <c r="AF93" s="420"/>
      <c r="AG93" s="420"/>
      <c r="AH93" s="420"/>
      <c r="AI93" s="420"/>
      <c r="AJ93" s="420"/>
      <c r="AK93" s="420"/>
      <c r="AL93" s="420"/>
      <c r="AM93" s="642"/>
      <c r="AN93" s="420"/>
      <c r="AO93" s="420"/>
      <c r="AP9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3" s="419">
        <f>WWWW[[#This Row],[%Equitable and continuous access to sufficient quantity of safe drinking water]]*WWWW[[#This Row],[Total PoP ]]</f>
        <v>0</v>
      </c>
      <c r="AR9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3" s="419">
        <f>WWWW[[#This Row],[% Access to unimproved water points]]*WWWW[[#This Row],[Total PoP ]]</f>
        <v>0</v>
      </c>
      <c r="AT9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3" s="419">
        <f>WWWW[[#This Row],[HRP1]]/250</f>
        <v>0</v>
      </c>
      <c r="AW93" s="424">
        <f>1-WWWW[[#This Row],[% Equitable and continuous access to sufficient quantity of domestic water]]</f>
        <v>1</v>
      </c>
      <c r="AX93" s="419">
        <f>WWWW[[#This Row],[%equitable and continuous access to sufficient quantity of safe drinking and domestic water''s GAP]]*WWWW[[#This Row],[Total PoP ]]</f>
        <v>1574</v>
      </c>
      <c r="AY93" s="421">
        <f>IF(WWWW[[#This Row],[Total required water points]]-WWWW[[#This Row],['#Water points coverage]]&lt;0,0,WWWW[[#This Row],[Total required water points]]-WWWW[[#This Row],['#Water points coverage]])</f>
        <v>6</v>
      </c>
      <c r="AZ93" s="421">
        <f>ROUND(IF(WWWW[[#This Row],[Total PoP ]]&lt;250,1,WWWW[[#This Row],[Total PoP ]]/250),0)</f>
        <v>6</v>
      </c>
      <c r="BA9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3" s="419">
        <f>WWWW[[#This Row],[% people access to functioning Latrine]]*WWWW[[#This Row],[Total PoP ]]</f>
        <v>0</v>
      </c>
      <c r="BC93" s="421">
        <f>WWWW[[#This Row],['#_of_Functioning_latrines_in_school]]*50</f>
        <v>0</v>
      </c>
      <c r="BD93" s="421">
        <f>ROUND((WWWW[[#This Row],[Total PoP ]]/6),0)</f>
        <v>262</v>
      </c>
      <c r="BE93" s="421">
        <f>IF(WWWW[[#This Row],[Total required Latrines]]-(WWWW[[#This Row],['#_of_sanitary_fly-proof_HH_latrines]])&lt;0,0,WWWW[[#This Row],[Total required Latrines]]-(WWWW[[#This Row],['#_of_sanitary_fly-proof_HH_latrines]]))</f>
        <v>262</v>
      </c>
      <c r="BF93" s="72">
        <f>1-WWWW[[#This Row],[% people access to functioning Latrine]]</f>
        <v>1</v>
      </c>
      <c r="BG9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3" s="419">
        <f>IF(WWWW[[#This Row],['#_of_functional_handwashing_facilities_at_HH_level]]*6&gt;WWWW[[#This Row],[Total PoP ]],WWWW[[#This Row],[Total PoP ]],WWWW[[#This Row],['#_of_functional_handwashing_facilities_at_HH_level]]*6)</f>
        <v>0</v>
      </c>
      <c r="BI93" s="421">
        <f>IF(WWWW[[#This Row],['# people reached by regular dedicated hygiene promotion]]&gt;WWWW[[#This Row],['# People received regular supply of hygiene items]],WWWW[[#This Row],['# people reached by regular dedicated hygiene promotion]],WWWW[[#This Row],['# People received regular supply of hygiene items]])</f>
        <v>0</v>
      </c>
      <c r="BJ93" s="424">
        <f>IF(WWWW[[#This Row],[HRP3]]/WWWW[[#This Row],[Total PoP ]]&gt;100%,100%,WWWW[[#This Row],[HRP3]]/WWWW[[#This Row],[Total PoP ]])</f>
        <v>0</v>
      </c>
      <c r="BK93" s="423">
        <f>1-WWWW[[#This Row],[Hygiene Coverage%]]</f>
        <v>1</v>
      </c>
      <c r="BL93" s="422">
        <f>WWWW[[#This Row],['# people reached by regular dedicated hygiene promotion]]/WWWW[[#This Row],[Total PoP ]]</f>
        <v>0</v>
      </c>
      <c r="BM9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3" s="421">
        <f>WWWW[[#This Row],['#_of_affected_women_and_girls_receiving_a_sufficient_quantity_of_sanitary_pads]]</f>
        <v>0</v>
      </c>
      <c r="BO93" s="420">
        <f>IF(WWWW[[#This Row],['# People with access to soap]]&gt;WWWW[[#This Row],['# People with access to Sanity Pads]],WWWW[[#This Row],['# People with access to soap]],WWWW[[#This Row],['# People with access to Sanity Pads]])</f>
        <v>0</v>
      </c>
      <c r="BP93" s="419" t="str">
        <f>IF(OR(WWWW[[#This Row],['#of students in school]]="",WWWW[[#This Row],['#of students in school]]=0),"No","Yes")</f>
        <v>No</v>
      </c>
      <c r="BQ93" s="417" t="str">
        <f>VLOOKUP(WWWW[[#This Row],[Village  Name]],SiteDB6[[Site Name]:[Location Type 1]],9,FALSE)</f>
        <v>Village</v>
      </c>
      <c r="BR93" s="417" t="str">
        <f>VLOOKUP(WWWW[[#This Row],[Village  Name]],SiteDB6[[Site Name]:[Type of Accommodation]],10,FALSE)</f>
        <v>village</v>
      </c>
      <c r="BS93" s="417" t="str">
        <f>VLOOKUP(WWWW[[#This Row],[Village  Name]],SiteDB6[[Site Name]:[Ethnic or GCA/NGCA]],11,FALSE)</f>
        <v>Rakhine</v>
      </c>
      <c r="BT93" s="417">
        <f>VLOOKUP(WWWW[[#This Row],[Village  Name]],SiteDB6[[Site Name]:[Lat]],12,FALSE)</f>
        <v>20.226730346679702</v>
      </c>
      <c r="BU93" s="417">
        <f>VLOOKUP(WWWW[[#This Row],[Village  Name]],SiteDB6[[Site Name]:[Long]],13,FALSE)</f>
        <v>92.836929321289105</v>
      </c>
      <c r="BV93" s="417">
        <f>VLOOKUP(WWWW[[#This Row],[Village  Name]],SiteDB6[[Site Name]:[Pcode]],3,FALSE)</f>
        <v>196129</v>
      </c>
      <c r="BW93" s="425" t="str">
        <f t="shared" si="3"/>
        <v>Covered</v>
      </c>
      <c r="BX93" s="425"/>
      <c r="BY93" s="33"/>
      <c r="CA93"/>
      <c r="CB93" s="33"/>
      <c r="CC93" s="36"/>
      <c r="CE93" s="37"/>
      <c r="CN93" s="20"/>
    </row>
    <row r="94" spans="1:92" hidden="1">
      <c r="A94" s="412" t="s">
        <v>2380</v>
      </c>
      <c r="B94" s="412" t="s">
        <v>316</v>
      </c>
      <c r="C94" s="418" t="s">
        <v>316</v>
      </c>
      <c r="D94" s="418" t="s">
        <v>309</v>
      </c>
      <c r="E94" s="551" t="s">
        <v>2687</v>
      </c>
      <c r="F94" s="418" t="s">
        <v>297</v>
      </c>
      <c r="G94" s="551" t="str">
        <f>VLOOKUP(WWWW[[#This Row],[Village  Name]],SiteDB6[[Site Name]:[Location Type]],8,FALSE)</f>
        <v>Village</v>
      </c>
      <c r="H94" s="418" t="s">
        <v>2022</v>
      </c>
      <c r="I94" s="420">
        <v>301</v>
      </c>
      <c r="J94" s="420">
        <v>1529</v>
      </c>
      <c r="K94" s="426">
        <v>42736</v>
      </c>
      <c r="L94" s="427">
        <v>44551</v>
      </c>
      <c r="M94" s="420"/>
      <c r="N94" s="420"/>
      <c r="O94" s="420"/>
      <c r="P94" s="420"/>
      <c r="Q94" s="420"/>
      <c r="R94" s="420"/>
      <c r="S94" s="420"/>
      <c r="T94" s="642"/>
      <c r="U94" s="420"/>
      <c r="V94" s="611" t="s">
        <v>132</v>
      </c>
      <c r="W94" s="420"/>
      <c r="X94" s="420"/>
      <c r="Y94" s="420"/>
      <c r="Z94" s="420"/>
      <c r="AA94" s="420"/>
      <c r="AB94" s="642"/>
      <c r="AC94" s="420"/>
      <c r="AD94" s="420"/>
      <c r="AE94" s="420"/>
      <c r="AF94" s="420"/>
      <c r="AG94" s="420"/>
      <c r="AH94" s="420"/>
      <c r="AI94" s="420"/>
      <c r="AJ94" s="420"/>
      <c r="AK94" s="420"/>
      <c r="AL94" s="420"/>
      <c r="AM94" s="642"/>
      <c r="AN94" s="420"/>
      <c r="AO94" s="420"/>
      <c r="AP9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4" s="419">
        <f>WWWW[[#This Row],[%Equitable and continuous access to sufficient quantity of safe drinking water]]*WWWW[[#This Row],[Total PoP ]]</f>
        <v>0</v>
      </c>
      <c r="AR9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4" s="419">
        <f>WWWW[[#This Row],[% Access to unimproved water points]]*WWWW[[#This Row],[Total PoP ]]</f>
        <v>0</v>
      </c>
      <c r="AT9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4" s="419">
        <f>WWWW[[#This Row],[HRP1]]/250</f>
        <v>0</v>
      </c>
      <c r="AW94" s="424">
        <f>1-WWWW[[#This Row],[% Equitable and continuous access to sufficient quantity of domestic water]]</f>
        <v>1</v>
      </c>
      <c r="AX94" s="419">
        <f>WWWW[[#This Row],[%equitable and continuous access to sufficient quantity of safe drinking and domestic water''s GAP]]*WWWW[[#This Row],[Total PoP ]]</f>
        <v>1529</v>
      </c>
      <c r="AY94" s="421">
        <f>IF(WWWW[[#This Row],[Total required water points]]-WWWW[[#This Row],['#Water points coverage]]&lt;0,0,WWWW[[#This Row],[Total required water points]]-WWWW[[#This Row],['#Water points coverage]])</f>
        <v>6</v>
      </c>
      <c r="AZ94" s="421">
        <f>ROUND(IF(WWWW[[#This Row],[Total PoP ]]&lt;250,1,WWWW[[#This Row],[Total PoP ]]/250),0)</f>
        <v>6</v>
      </c>
      <c r="BA9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4" s="419">
        <f>WWWW[[#This Row],[% people access to functioning Latrine]]*WWWW[[#This Row],[Total PoP ]]</f>
        <v>0</v>
      </c>
      <c r="BC94" s="421">
        <f>WWWW[[#This Row],['#_of_Functioning_latrines_in_school]]*50</f>
        <v>0</v>
      </c>
      <c r="BD94" s="421">
        <f>ROUND((WWWW[[#This Row],[Total PoP ]]/6),0)</f>
        <v>255</v>
      </c>
      <c r="BE94" s="421">
        <f>IF(WWWW[[#This Row],[Total required Latrines]]-(WWWW[[#This Row],['#_of_sanitary_fly-proof_HH_latrines]])&lt;0,0,WWWW[[#This Row],[Total required Latrines]]-(WWWW[[#This Row],['#_of_sanitary_fly-proof_HH_latrines]]))</f>
        <v>255</v>
      </c>
      <c r="BF94" s="72">
        <f>1-WWWW[[#This Row],[% people access to functioning Latrine]]</f>
        <v>1</v>
      </c>
      <c r="BG9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4" s="419">
        <f>IF(WWWW[[#This Row],['#_of_functional_handwashing_facilities_at_HH_level]]*6&gt;WWWW[[#This Row],[Total PoP ]],WWWW[[#This Row],[Total PoP ]],WWWW[[#This Row],['#_of_functional_handwashing_facilities_at_HH_level]]*6)</f>
        <v>0</v>
      </c>
      <c r="BI94" s="421">
        <f>IF(WWWW[[#This Row],['# people reached by regular dedicated hygiene promotion]]&gt;WWWW[[#This Row],['# People received regular supply of hygiene items]],WWWW[[#This Row],['# people reached by regular dedicated hygiene promotion]],WWWW[[#This Row],['# People received regular supply of hygiene items]])</f>
        <v>0</v>
      </c>
      <c r="BJ94" s="424">
        <f>IF(WWWW[[#This Row],[HRP3]]/WWWW[[#This Row],[Total PoP ]]&gt;100%,100%,WWWW[[#This Row],[HRP3]]/WWWW[[#This Row],[Total PoP ]])</f>
        <v>0</v>
      </c>
      <c r="BK94" s="423">
        <f>1-WWWW[[#This Row],[Hygiene Coverage%]]</f>
        <v>1</v>
      </c>
      <c r="BL94" s="422">
        <f>WWWW[[#This Row],['# people reached by regular dedicated hygiene promotion]]/WWWW[[#This Row],[Total PoP ]]</f>
        <v>0</v>
      </c>
      <c r="BM9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4" s="421">
        <f>WWWW[[#This Row],['#_of_affected_women_and_girls_receiving_a_sufficient_quantity_of_sanitary_pads]]</f>
        <v>0</v>
      </c>
      <c r="BO94" s="420">
        <f>IF(WWWW[[#This Row],['# People with access to soap]]&gt;WWWW[[#This Row],['# People with access to Sanity Pads]],WWWW[[#This Row],['# People with access to soap]],WWWW[[#This Row],['# People with access to Sanity Pads]])</f>
        <v>0</v>
      </c>
      <c r="BP94" s="419" t="str">
        <f>IF(OR(WWWW[[#This Row],['#of students in school]]="",WWWW[[#This Row],['#of students in school]]=0),"No","Yes")</f>
        <v>No</v>
      </c>
      <c r="BQ94" s="417" t="str">
        <f>VLOOKUP(WWWW[[#This Row],[Village  Name]],SiteDB6[[Site Name]:[Location Type 1]],9,FALSE)</f>
        <v>Village</v>
      </c>
      <c r="BR94" s="417" t="str">
        <f>VLOOKUP(WWWW[[#This Row],[Village  Name]],SiteDB6[[Site Name]:[Type of Accommodation]],10,FALSE)</f>
        <v>Village</v>
      </c>
      <c r="BS94" s="417" t="str">
        <f>VLOOKUP(WWWW[[#This Row],[Village  Name]],SiteDB6[[Site Name]:[Ethnic or GCA/NGCA]],11,FALSE)</f>
        <v>Rakhine</v>
      </c>
      <c r="BT94" s="417">
        <f>VLOOKUP(WWWW[[#This Row],[Village  Name]],SiteDB6[[Site Name]:[Lat]],12,FALSE)</f>
        <v>20.257850650000002</v>
      </c>
      <c r="BU94" s="417">
        <f>VLOOKUP(WWWW[[#This Row],[Village  Name]],SiteDB6[[Site Name]:[Long]],13,FALSE)</f>
        <v>92.811126709999996</v>
      </c>
      <c r="BV94" s="417">
        <f>VLOOKUP(WWWW[[#This Row],[Village  Name]],SiteDB6[[Site Name]:[Pcode]],3,FALSE)</f>
        <v>196161</v>
      </c>
      <c r="BW94" s="425" t="str">
        <f t="shared" si="3"/>
        <v>Covered</v>
      </c>
      <c r="BX94" s="425"/>
      <c r="BY94" s="33"/>
      <c r="CA94"/>
      <c r="CB94" s="33"/>
      <c r="CC94" s="36"/>
      <c r="CE94" s="37"/>
      <c r="CN94" s="20"/>
    </row>
    <row r="95" spans="1:92" hidden="1">
      <c r="A95" s="412" t="s">
        <v>2380</v>
      </c>
      <c r="B95" s="412" t="s">
        <v>316</v>
      </c>
      <c r="C95" s="418" t="s">
        <v>316</v>
      </c>
      <c r="D95" s="418" t="s">
        <v>309</v>
      </c>
      <c r="E95" s="551" t="s">
        <v>2687</v>
      </c>
      <c r="F95" s="418" t="s">
        <v>297</v>
      </c>
      <c r="G95" s="551" t="str">
        <f>VLOOKUP(WWWW[[#This Row],[Village  Name]],SiteDB6[[Site Name]:[Location Type]],8,FALSE)</f>
        <v>Village</v>
      </c>
      <c r="H95" s="418" t="s">
        <v>2621</v>
      </c>
      <c r="I95" s="420">
        <v>85</v>
      </c>
      <c r="J95" s="420">
        <v>369</v>
      </c>
      <c r="K95" s="426">
        <v>42736</v>
      </c>
      <c r="L95" s="427">
        <v>44551</v>
      </c>
      <c r="M95" s="420"/>
      <c r="N95" s="420"/>
      <c r="O95" s="420"/>
      <c r="P95" s="420"/>
      <c r="Q95" s="420"/>
      <c r="R95" s="420"/>
      <c r="S95" s="420"/>
      <c r="T95" s="642"/>
      <c r="U95" s="420"/>
      <c r="V95" s="611" t="s">
        <v>132</v>
      </c>
      <c r="W95" s="420"/>
      <c r="X95" s="420"/>
      <c r="Y95" s="420"/>
      <c r="Z95" s="420"/>
      <c r="AA95" s="420"/>
      <c r="AB95" s="642"/>
      <c r="AC95" s="420"/>
      <c r="AD95" s="420"/>
      <c r="AE95" s="420"/>
      <c r="AF95" s="420"/>
      <c r="AG95" s="420"/>
      <c r="AH95" s="420"/>
      <c r="AI95" s="420"/>
      <c r="AJ95" s="420"/>
      <c r="AK95" s="420"/>
      <c r="AL95" s="420"/>
      <c r="AM95" s="642"/>
      <c r="AN95" s="420"/>
      <c r="AO95" s="420"/>
      <c r="AP9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5" s="419">
        <f>WWWW[[#This Row],[%Equitable and continuous access to sufficient quantity of safe drinking water]]*WWWW[[#This Row],[Total PoP ]]</f>
        <v>0</v>
      </c>
      <c r="AR9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5" s="419">
        <f>WWWW[[#This Row],[% Access to unimproved water points]]*WWWW[[#This Row],[Total PoP ]]</f>
        <v>0</v>
      </c>
      <c r="AT9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5" s="419">
        <f>WWWW[[#This Row],[HRP1]]/250</f>
        <v>0</v>
      </c>
      <c r="AW95" s="424">
        <f>1-WWWW[[#This Row],[% Equitable and continuous access to sufficient quantity of domestic water]]</f>
        <v>1</v>
      </c>
      <c r="AX95" s="419">
        <f>WWWW[[#This Row],[%equitable and continuous access to sufficient quantity of safe drinking and domestic water''s GAP]]*WWWW[[#This Row],[Total PoP ]]</f>
        <v>369</v>
      </c>
      <c r="AY95" s="421">
        <f>IF(WWWW[[#This Row],[Total required water points]]-WWWW[[#This Row],['#Water points coverage]]&lt;0,0,WWWW[[#This Row],[Total required water points]]-WWWW[[#This Row],['#Water points coverage]])</f>
        <v>1</v>
      </c>
      <c r="AZ95" s="421">
        <f>ROUND(IF(WWWW[[#This Row],[Total PoP ]]&lt;250,1,WWWW[[#This Row],[Total PoP ]]/250),0)</f>
        <v>1</v>
      </c>
      <c r="BA9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5" s="419">
        <f>WWWW[[#This Row],[% people access to functioning Latrine]]*WWWW[[#This Row],[Total PoP ]]</f>
        <v>0</v>
      </c>
      <c r="BC95" s="421">
        <f>WWWW[[#This Row],['#_of_Functioning_latrines_in_school]]*50</f>
        <v>0</v>
      </c>
      <c r="BD95" s="421">
        <f>ROUND((WWWW[[#This Row],[Total PoP ]]/6),0)</f>
        <v>62</v>
      </c>
      <c r="BE95" s="421">
        <f>IF(WWWW[[#This Row],[Total required Latrines]]-(WWWW[[#This Row],['#_of_sanitary_fly-proof_HH_latrines]])&lt;0,0,WWWW[[#This Row],[Total required Latrines]]-(WWWW[[#This Row],['#_of_sanitary_fly-proof_HH_latrines]]))</f>
        <v>62</v>
      </c>
      <c r="BF95" s="72">
        <f>1-WWWW[[#This Row],[% people access to functioning Latrine]]</f>
        <v>1</v>
      </c>
      <c r="BG9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5" s="419">
        <f>IF(WWWW[[#This Row],['#_of_functional_handwashing_facilities_at_HH_level]]*6&gt;WWWW[[#This Row],[Total PoP ]],WWWW[[#This Row],[Total PoP ]],WWWW[[#This Row],['#_of_functional_handwashing_facilities_at_HH_level]]*6)</f>
        <v>0</v>
      </c>
      <c r="BI95" s="421">
        <f>IF(WWWW[[#This Row],['# people reached by regular dedicated hygiene promotion]]&gt;WWWW[[#This Row],['# People received regular supply of hygiene items]],WWWW[[#This Row],['# people reached by regular dedicated hygiene promotion]],WWWW[[#This Row],['# People received regular supply of hygiene items]])</f>
        <v>0</v>
      </c>
      <c r="BJ95" s="424">
        <f>IF(WWWW[[#This Row],[HRP3]]/WWWW[[#This Row],[Total PoP ]]&gt;100%,100%,WWWW[[#This Row],[HRP3]]/WWWW[[#This Row],[Total PoP ]])</f>
        <v>0</v>
      </c>
      <c r="BK95" s="423">
        <f>1-WWWW[[#This Row],[Hygiene Coverage%]]</f>
        <v>1</v>
      </c>
      <c r="BL95" s="422">
        <f>WWWW[[#This Row],['# people reached by regular dedicated hygiene promotion]]/WWWW[[#This Row],[Total PoP ]]</f>
        <v>0</v>
      </c>
      <c r="BM9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5" s="421">
        <f>WWWW[[#This Row],['#_of_affected_women_and_girls_receiving_a_sufficient_quantity_of_sanitary_pads]]</f>
        <v>0</v>
      </c>
      <c r="BO95" s="420">
        <f>IF(WWWW[[#This Row],['# People with access to soap]]&gt;WWWW[[#This Row],['# People with access to Sanity Pads]],WWWW[[#This Row],['# People with access to soap]],WWWW[[#This Row],['# People with access to Sanity Pads]])</f>
        <v>0</v>
      </c>
      <c r="BP95" s="419" t="str">
        <f>IF(OR(WWWW[[#This Row],['#of students in school]]="",WWWW[[#This Row],['#of students in school]]=0),"No","Yes")</f>
        <v>No</v>
      </c>
      <c r="BQ95" s="417" t="str">
        <f>VLOOKUP(WWWW[[#This Row],[Village  Name]],SiteDB6[[Site Name]:[Location Type 1]],9,FALSE)</f>
        <v>Village</v>
      </c>
      <c r="BR95" s="417" t="str">
        <f>VLOOKUP(WWWW[[#This Row],[Village  Name]],SiteDB6[[Site Name]:[Type of Accommodation]],10,FALSE)</f>
        <v>Village</v>
      </c>
      <c r="BS95" s="417">
        <f>VLOOKUP(WWWW[[#This Row],[Village  Name]],SiteDB6[[Site Name]:[Ethnic or GCA/NGCA]],11,FALSE)</f>
        <v>0</v>
      </c>
      <c r="BT95" s="417">
        <f>VLOOKUP(WWWW[[#This Row],[Village  Name]],SiteDB6[[Site Name]:[Lat]],12,FALSE)</f>
        <v>20.261358000000001</v>
      </c>
      <c r="BU95" s="417">
        <f>VLOOKUP(WWWW[[#This Row],[Village  Name]],SiteDB6[[Site Name]:[Long]],13,FALSE)</f>
        <v>92.805672999999999</v>
      </c>
      <c r="BV95" s="417">
        <f>VLOOKUP(WWWW[[#This Row],[Village  Name]],SiteDB6[[Site Name]:[Pcode]],3,FALSE)</f>
        <v>220593</v>
      </c>
      <c r="BW95" s="425" t="str">
        <f t="shared" si="3"/>
        <v>Covered</v>
      </c>
      <c r="BX95" s="425"/>
      <c r="BY95" s="33"/>
      <c r="CA95"/>
      <c r="CB95" s="33"/>
      <c r="CC95" s="36"/>
      <c r="CE95" s="37"/>
      <c r="CN95" s="20"/>
    </row>
    <row r="96" spans="1:92" hidden="1">
      <c r="A96" s="412" t="s">
        <v>2380</v>
      </c>
      <c r="B96" s="412" t="s">
        <v>316</v>
      </c>
      <c r="C96" s="418" t="s">
        <v>316</v>
      </c>
      <c r="D96" s="418" t="s">
        <v>309</v>
      </c>
      <c r="E96" s="551" t="s">
        <v>2687</v>
      </c>
      <c r="F96" s="418" t="s">
        <v>297</v>
      </c>
      <c r="G96" s="551" t="str">
        <f>VLOOKUP(WWWW[[#This Row],[Village  Name]],SiteDB6[[Site Name]:[Location Type]],8,FALSE)</f>
        <v>Village</v>
      </c>
      <c r="H96" s="418" t="s">
        <v>452</v>
      </c>
      <c r="I96" s="420">
        <v>175</v>
      </c>
      <c r="J96" s="420">
        <v>811</v>
      </c>
      <c r="K96" s="426">
        <v>42736</v>
      </c>
      <c r="L96" s="427">
        <v>44551</v>
      </c>
      <c r="M96" s="420"/>
      <c r="N96" s="420"/>
      <c r="O96" s="420"/>
      <c r="P96" s="420"/>
      <c r="Q96" s="420"/>
      <c r="R96" s="420"/>
      <c r="S96" s="420"/>
      <c r="T96" s="642"/>
      <c r="U96" s="420"/>
      <c r="V96" s="611" t="s">
        <v>132</v>
      </c>
      <c r="W96" s="420"/>
      <c r="X96" s="420"/>
      <c r="Y96" s="420"/>
      <c r="Z96" s="420"/>
      <c r="AA96" s="420"/>
      <c r="AB96" s="642"/>
      <c r="AC96" s="420"/>
      <c r="AD96" s="420"/>
      <c r="AE96" s="420"/>
      <c r="AF96" s="420"/>
      <c r="AG96" s="420"/>
      <c r="AH96" s="420"/>
      <c r="AI96" s="420"/>
      <c r="AJ96" s="420"/>
      <c r="AK96" s="420"/>
      <c r="AL96" s="420"/>
      <c r="AM96" s="642"/>
      <c r="AN96" s="420"/>
      <c r="AO96" s="420"/>
      <c r="AP9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6" s="419">
        <f>WWWW[[#This Row],[%Equitable and continuous access to sufficient quantity of safe drinking water]]*WWWW[[#This Row],[Total PoP ]]</f>
        <v>0</v>
      </c>
      <c r="AR9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6" s="419">
        <f>WWWW[[#This Row],[% Access to unimproved water points]]*WWWW[[#This Row],[Total PoP ]]</f>
        <v>0</v>
      </c>
      <c r="AT9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6" s="419">
        <f>WWWW[[#This Row],[HRP1]]/250</f>
        <v>0</v>
      </c>
      <c r="AW96" s="424">
        <f>1-WWWW[[#This Row],[% Equitable and continuous access to sufficient quantity of domestic water]]</f>
        <v>1</v>
      </c>
      <c r="AX96" s="419">
        <f>WWWW[[#This Row],[%equitable and continuous access to sufficient quantity of safe drinking and domestic water''s GAP]]*WWWW[[#This Row],[Total PoP ]]</f>
        <v>811</v>
      </c>
      <c r="AY96" s="421">
        <f>IF(WWWW[[#This Row],[Total required water points]]-WWWW[[#This Row],['#Water points coverage]]&lt;0,0,WWWW[[#This Row],[Total required water points]]-WWWW[[#This Row],['#Water points coverage]])</f>
        <v>3</v>
      </c>
      <c r="AZ96" s="421">
        <f>ROUND(IF(WWWW[[#This Row],[Total PoP ]]&lt;250,1,WWWW[[#This Row],[Total PoP ]]/250),0)</f>
        <v>3</v>
      </c>
      <c r="BA9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6" s="419">
        <f>WWWW[[#This Row],[% people access to functioning Latrine]]*WWWW[[#This Row],[Total PoP ]]</f>
        <v>0</v>
      </c>
      <c r="BC96" s="421">
        <f>WWWW[[#This Row],['#_of_Functioning_latrines_in_school]]*50</f>
        <v>0</v>
      </c>
      <c r="BD96" s="421">
        <f>ROUND((WWWW[[#This Row],[Total PoP ]]/6),0)</f>
        <v>135</v>
      </c>
      <c r="BE96" s="421">
        <f>IF(WWWW[[#This Row],[Total required Latrines]]-(WWWW[[#This Row],['#_of_sanitary_fly-proof_HH_latrines]])&lt;0,0,WWWW[[#This Row],[Total required Latrines]]-(WWWW[[#This Row],['#_of_sanitary_fly-proof_HH_latrines]]))</f>
        <v>135</v>
      </c>
      <c r="BF96" s="72">
        <f>1-WWWW[[#This Row],[% people access to functioning Latrine]]</f>
        <v>1</v>
      </c>
      <c r="BG9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6" s="419">
        <f>IF(WWWW[[#This Row],['#_of_functional_handwashing_facilities_at_HH_level]]*6&gt;WWWW[[#This Row],[Total PoP ]],WWWW[[#This Row],[Total PoP ]],WWWW[[#This Row],['#_of_functional_handwashing_facilities_at_HH_level]]*6)</f>
        <v>0</v>
      </c>
      <c r="BI96" s="421">
        <f>IF(WWWW[[#This Row],['# people reached by regular dedicated hygiene promotion]]&gt;WWWW[[#This Row],['# People received regular supply of hygiene items]],WWWW[[#This Row],['# people reached by regular dedicated hygiene promotion]],WWWW[[#This Row],['# People received regular supply of hygiene items]])</f>
        <v>0</v>
      </c>
      <c r="BJ96" s="424">
        <f>IF(WWWW[[#This Row],[HRP3]]/WWWW[[#This Row],[Total PoP ]]&gt;100%,100%,WWWW[[#This Row],[HRP3]]/WWWW[[#This Row],[Total PoP ]])</f>
        <v>0</v>
      </c>
      <c r="BK96" s="423">
        <f>1-WWWW[[#This Row],[Hygiene Coverage%]]</f>
        <v>1</v>
      </c>
      <c r="BL96" s="422">
        <f>WWWW[[#This Row],['# people reached by regular dedicated hygiene promotion]]/WWWW[[#This Row],[Total PoP ]]</f>
        <v>0</v>
      </c>
      <c r="BM9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6" s="421">
        <f>WWWW[[#This Row],['#_of_affected_women_and_girls_receiving_a_sufficient_quantity_of_sanitary_pads]]</f>
        <v>0</v>
      </c>
      <c r="BO96" s="420">
        <f>IF(WWWW[[#This Row],['# People with access to soap]]&gt;WWWW[[#This Row],['# People with access to Sanity Pads]],WWWW[[#This Row],['# People with access to soap]],WWWW[[#This Row],['# People with access to Sanity Pads]])</f>
        <v>0</v>
      </c>
      <c r="BP96" s="419" t="str">
        <f>IF(OR(WWWW[[#This Row],['#of students in school]]="",WWWW[[#This Row],['#of students in school]]=0),"No","Yes")</f>
        <v>No</v>
      </c>
      <c r="BQ96" s="417" t="str">
        <f>VLOOKUP(WWWW[[#This Row],[Village  Name]],SiteDB6[[Site Name]:[Location Type 1]],9,FALSE)</f>
        <v>Village</v>
      </c>
      <c r="BR96" s="417" t="str">
        <f>VLOOKUP(WWWW[[#This Row],[Village  Name]],SiteDB6[[Site Name]:[Type of Accommodation]],10,FALSE)</f>
        <v>Village</v>
      </c>
      <c r="BS96" s="417" t="str">
        <f>VLOOKUP(WWWW[[#This Row],[Village  Name]],SiteDB6[[Site Name]:[Ethnic or GCA/NGCA]],11,FALSE)</f>
        <v>Rakhine</v>
      </c>
      <c r="BT96" s="417">
        <f>VLOOKUP(WWWW[[#This Row],[Village  Name]],SiteDB6[[Site Name]:[Lat]],12,FALSE)</f>
        <v>20.245159149999999</v>
      </c>
      <c r="BU96" s="417">
        <f>VLOOKUP(WWWW[[#This Row],[Village  Name]],SiteDB6[[Site Name]:[Long]],13,FALSE)</f>
        <v>92.807418819999995</v>
      </c>
      <c r="BV96" s="417">
        <f>VLOOKUP(WWWW[[#This Row],[Village  Name]],SiteDB6[[Site Name]:[Pcode]],3,FALSE)</f>
        <v>196137</v>
      </c>
      <c r="BW96" s="425" t="str">
        <f t="shared" si="3"/>
        <v>Covered</v>
      </c>
      <c r="BX96" s="425"/>
      <c r="BY96" s="33"/>
      <c r="CA96" s="431"/>
      <c r="CB96" s="33"/>
      <c r="CC96" s="36"/>
      <c r="CE96" s="37"/>
      <c r="CN96" s="20"/>
    </row>
    <row r="97" spans="1:92" hidden="1">
      <c r="A97" s="412" t="s">
        <v>2380</v>
      </c>
      <c r="B97" s="412" t="s">
        <v>316</v>
      </c>
      <c r="C97" s="418" t="s">
        <v>316</v>
      </c>
      <c r="D97" s="418" t="s">
        <v>309</v>
      </c>
      <c r="E97" s="551" t="s">
        <v>2687</v>
      </c>
      <c r="F97" s="418" t="s">
        <v>297</v>
      </c>
      <c r="G97" s="551" t="str">
        <f>VLOOKUP(WWWW[[#This Row],[Village  Name]],SiteDB6[[Site Name]:[Location Type]],8,FALSE)</f>
        <v>Village</v>
      </c>
      <c r="H97" s="418" t="s">
        <v>2023</v>
      </c>
      <c r="I97" s="420">
        <v>355</v>
      </c>
      <c r="J97" s="420">
        <v>2168</v>
      </c>
      <c r="K97" s="426">
        <v>42736</v>
      </c>
      <c r="L97" s="427">
        <v>44551</v>
      </c>
      <c r="M97" s="420"/>
      <c r="N97" s="420"/>
      <c r="O97" s="420"/>
      <c r="P97" s="420"/>
      <c r="Q97" s="420"/>
      <c r="R97" s="420"/>
      <c r="S97" s="420"/>
      <c r="T97" s="642"/>
      <c r="U97" s="420"/>
      <c r="V97" s="611" t="s">
        <v>132</v>
      </c>
      <c r="W97" s="420"/>
      <c r="X97" s="420"/>
      <c r="Y97" s="420"/>
      <c r="Z97" s="420"/>
      <c r="AA97" s="420"/>
      <c r="AB97" s="642"/>
      <c r="AC97" s="420"/>
      <c r="AD97" s="420"/>
      <c r="AE97" s="420"/>
      <c r="AF97" s="420"/>
      <c r="AG97" s="420"/>
      <c r="AH97" s="420"/>
      <c r="AI97" s="420"/>
      <c r="AJ97" s="420"/>
      <c r="AK97" s="420"/>
      <c r="AL97" s="420"/>
      <c r="AM97" s="642"/>
      <c r="AN97" s="420"/>
      <c r="AO97" s="420"/>
      <c r="AP9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7" s="419">
        <f>WWWW[[#This Row],[%Equitable and continuous access to sufficient quantity of safe drinking water]]*WWWW[[#This Row],[Total PoP ]]</f>
        <v>0</v>
      </c>
      <c r="AR9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7" s="419">
        <f>WWWW[[#This Row],[% Access to unimproved water points]]*WWWW[[#This Row],[Total PoP ]]</f>
        <v>0</v>
      </c>
      <c r="AT9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7" s="419">
        <f>WWWW[[#This Row],[HRP1]]/250</f>
        <v>0</v>
      </c>
      <c r="AW97" s="424">
        <f>1-WWWW[[#This Row],[% Equitable and continuous access to sufficient quantity of domestic water]]</f>
        <v>1</v>
      </c>
      <c r="AX97" s="419">
        <f>WWWW[[#This Row],[%equitable and continuous access to sufficient quantity of safe drinking and domestic water''s GAP]]*WWWW[[#This Row],[Total PoP ]]</f>
        <v>2168</v>
      </c>
      <c r="AY97" s="421">
        <f>IF(WWWW[[#This Row],[Total required water points]]-WWWW[[#This Row],['#Water points coverage]]&lt;0,0,WWWW[[#This Row],[Total required water points]]-WWWW[[#This Row],['#Water points coverage]])</f>
        <v>9</v>
      </c>
      <c r="AZ97" s="421">
        <f>ROUND(IF(WWWW[[#This Row],[Total PoP ]]&lt;250,1,WWWW[[#This Row],[Total PoP ]]/250),0)</f>
        <v>9</v>
      </c>
      <c r="BA9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7" s="419">
        <f>WWWW[[#This Row],[% people access to functioning Latrine]]*WWWW[[#This Row],[Total PoP ]]</f>
        <v>0</v>
      </c>
      <c r="BC97" s="421">
        <f>WWWW[[#This Row],['#_of_Functioning_latrines_in_school]]*50</f>
        <v>0</v>
      </c>
      <c r="BD97" s="421">
        <f>ROUND((WWWW[[#This Row],[Total PoP ]]/6),0)</f>
        <v>361</v>
      </c>
      <c r="BE97" s="421">
        <f>IF(WWWW[[#This Row],[Total required Latrines]]-(WWWW[[#This Row],['#_of_sanitary_fly-proof_HH_latrines]])&lt;0,0,WWWW[[#This Row],[Total required Latrines]]-(WWWW[[#This Row],['#_of_sanitary_fly-proof_HH_latrines]]))</f>
        <v>361</v>
      </c>
      <c r="BF97" s="72">
        <f>1-WWWW[[#This Row],[% people access to functioning Latrine]]</f>
        <v>1</v>
      </c>
      <c r="BG9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7" s="419">
        <f>IF(WWWW[[#This Row],['#_of_functional_handwashing_facilities_at_HH_level]]*6&gt;WWWW[[#This Row],[Total PoP ]],WWWW[[#This Row],[Total PoP ]],WWWW[[#This Row],['#_of_functional_handwashing_facilities_at_HH_level]]*6)</f>
        <v>0</v>
      </c>
      <c r="BI97" s="421">
        <f>IF(WWWW[[#This Row],['# people reached by regular dedicated hygiene promotion]]&gt;WWWW[[#This Row],['# People received regular supply of hygiene items]],WWWW[[#This Row],['# people reached by regular dedicated hygiene promotion]],WWWW[[#This Row],['# People received regular supply of hygiene items]])</f>
        <v>0</v>
      </c>
      <c r="BJ97" s="424">
        <f>IF(WWWW[[#This Row],[HRP3]]/WWWW[[#This Row],[Total PoP ]]&gt;100%,100%,WWWW[[#This Row],[HRP3]]/WWWW[[#This Row],[Total PoP ]])</f>
        <v>0</v>
      </c>
      <c r="BK97" s="423">
        <f>1-WWWW[[#This Row],[Hygiene Coverage%]]</f>
        <v>1</v>
      </c>
      <c r="BL97" s="422">
        <f>WWWW[[#This Row],['# people reached by regular dedicated hygiene promotion]]/WWWW[[#This Row],[Total PoP ]]</f>
        <v>0</v>
      </c>
      <c r="BM9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7" s="421">
        <f>WWWW[[#This Row],['#_of_affected_women_and_girls_receiving_a_sufficient_quantity_of_sanitary_pads]]</f>
        <v>0</v>
      </c>
      <c r="BO97" s="420">
        <f>IF(WWWW[[#This Row],['# People with access to soap]]&gt;WWWW[[#This Row],['# People with access to Sanity Pads]],WWWW[[#This Row],['# People with access to soap]],WWWW[[#This Row],['# People with access to Sanity Pads]])</f>
        <v>0</v>
      </c>
      <c r="BP97" s="419" t="str">
        <f>IF(OR(WWWW[[#This Row],['#of students in school]]="",WWWW[[#This Row],['#of students in school]]=0),"No","Yes")</f>
        <v>No</v>
      </c>
      <c r="BQ97" s="417" t="str">
        <f>VLOOKUP(WWWW[[#This Row],[Village  Name]],SiteDB6[[Site Name]:[Location Type 1]],9,FALSE)</f>
        <v>Village</v>
      </c>
      <c r="BR97" s="417" t="str">
        <f>VLOOKUP(WWWW[[#This Row],[Village  Name]],SiteDB6[[Site Name]:[Type of Accommodation]],10,FALSE)</f>
        <v>Village</v>
      </c>
      <c r="BS97" s="417">
        <f>VLOOKUP(WWWW[[#This Row],[Village  Name]],SiteDB6[[Site Name]:[Ethnic or GCA/NGCA]],11,FALSE)</f>
        <v>0</v>
      </c>
      <c r="BT97" s="417">
        <f>VLOOKUP(WWWW[[#This Row],[Village  Name]],SiteDB6[[Site Name]:[Lat]],12,FALSE)</f>
        <v>20.246250152587901</v>
      </c>
      <c r="BU97" s="417">
        <f>VLOOKUP(WWWW[[#This Row],[Village  Name]],SiteDB6[[Site Name]:[Long]],13,FALSE)</f>
        <v>92.822059631347699</v>
      </c>
      <c r="BV97" s="417">
        <f>VLOOKUP(WWWW[[#This Row],[Village  Name]],SiteDB6[[Site Name]:[Pcode]],3,FALSE)</f>
        <v>196160</v>
      </c>
      <c r="BW97" s="425" t="str">
        <f t="shared" si="3"/>
        <v>Covered</v>
      </c>
      <c r="BX97" s="425"/>
      <c r="BY97" s="33"/>
      <c r="CA97" s="431"/>
      <c r="CB97" s="33"/>
      <c r="CC97" s="36"/>
      <c r="CE97" s="37"/>
      <c r="CN97" s="20"/>
    </row>
    <row r="98" spans="1:92" hidden="1">
      <c r="A98" s="412" t="s">
        <v>2380</v>
      </c>
      <c r="B98" s="412" t="s">
        <v>316</v>
      </c>
      <c r="C98" s="418" t="s">
        <v>316</v>
      </c>
      <c r="D98" s="418" t="s">
        <v>309</v>
      </c>
      <c r="E98" s="551" t="s">
        <v>2687</v>
      </c>
      <c r="F98" s="418" t="s">
        <v>297</v>
      </c>
      <c r="G98" s="551" t="str">
        <f>VLOOKUP(WWWW[[#This Row],[Village  Name]],SiteDB6[[Site Name]:[Location Type]],8,FALSE)</f>
        <v>Village</v>
      </c>
      <c r="H98" s="418" t="s">
        <v>2622</v>
      </c>
      <c r="I98" s="420">
        <v>300</v>
      </c>
      <c r="J98" s="420">
        <v>1369</v>
      </c>
      <c r="K98" s="426">
        <v>42736</v>
      </c>
      <c r="L98" s="427">
        <v>44551</v>
      </c>
      <c r="M98" s="420"/>
      <c r="N98" s="420"/>
      <c r="O98" s="420"/>
      <c r="P98" s="420"/>
      <c r="Q98" s="420"/>
      <c r="R98" s="420"/>
      <c r="S98" s="420"/>
      <c r="T98" s="642"/>
      <c r="U98" s="420"/>
      <c r="V98" s="611" t="s">
        <v>132</v>
      </c>
      <c r="W98" s="420"/>
      <c r="X98" s="420"/>
      <c r="Y98" s="420"/>
      <c r="Z98" s="420"/>
      <c r="AA98" s="420"/>
      <c r="AB98" s="642"/>
      <c r="AC98" s="420"/>
      <c r="AD98" s="420"/>
      <c r="AE98" s="420"/>
      <c r="AF98" s="420"/>
      <c r="AG98" s="420"/>
      <c r="AH98" s="420"/>
      <c r="AI98" s="420"/>
      <c r="AJ98" s="420"/>
      <c r="AK98" s="420"/>
      <c r="AL98" s="420"/>
      <c r="AM98" s="642"/>
      <c r="AN98" s="420"/>
      <c r="AO98" s="420"/>
      <c r="AP9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8" s="419">
        <f>WWWW[[#This Row],[%Equitable and continuous access to sufficient quantity of safe drinking water]]*WWWW[[#This Row],[Total PoP ]]</f>
        <v>0</v>
      </c>
      <c r="AR9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8" s="419">
        <f>WWWW[[#This Row],[% Access to unimproved water points]]*WWWW[[#This Row],[Total PoP ]]</f>
        <v>0</v>
      </c>
      <c r="AT9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8" s="419">
        <f>WWWW[[#This Row],[HRP1]]/250</f>
        <v>0</v>
      </c>
      <c r="AW98" s="424">
        <f>1-WWWW[[#This Row],[% Equitable and continuous access to sufficient quantity of domestic water]]</f>
        <v>1</v>
      </c>
      <c r="AX98" s="419">
        <f>WWWW[[#This Row],[%equitable and continuous access to sufficient quantity of safe drinking and domestic water''s GAP]]*WWWW[[#This Row],[Total PoP ]]</f>
        <v>1369</v>
      </c>
      <c r="AY98" s="421">
        <f>IF(WWWW[[#This Row],[Total required water points]]-WWWW[[#This Row],['#Water points coverage]]&lt;0,0,WWWW[[#This Row],[Total required water points]]-WWWW[[#This Row],['#Water points coverage]])</f>
        <v>5</v>
      </c>
      <c r="AZ98" s="421">
        <f>ROUND(IF(WWWW[[#This Row],[Total PoP ]]&lt;250,1,WWWW[[#This Row],[Total PoP ]]/250),0)</f>
        <v>5</v>
      </c>
      <c r="BA9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8" s="419">
        <f>WWWW[[#This Row],[% people access to functioning Latrine]]*WWWW[[#This Row],[Total PoP ]]</f>
        <v>0</v>
      </c>
      <c r="BC98" s="421">
        <f>WWWW[[#This Row],['#_of_Functioning_latrines_in_school]]*50</f>
        <v>0</v>
      </c>
      <c r="BD98" s="421">
        <f>ROUND((WWWW[[#This Row],[Total PoP ]]/6),0)</f>
        <v>228</v>
      </c>
      <c r="BE98" s="421">
        <f>IF(WWWW[[#This Row],[Total required Latrines]]-(WWWW[[#This Row],['#_of_sanitary_fly-proof_HH_latrines]])&lt;0,0,WWWW[[#This Row],[Total required Latrines]]-(WWWW[[#This Row],['#_of_sanitary_fly-proof_HH_latrines]]))</f>
        <v>228</v>
      </c>
      <c r="BF98" s="72">
        <f>1-WWWW[[#This Row],[% people access to functioning Latrine]]</f>
        <v>1</v>
      </c>
      <c r="BG9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8" s="419">
        <f>IF(WWWW[[#This Row],['#_of_functional_handwashing_facilities_at_HH_level]]*6&gt;WWWW[[#This Row],[Total PoP ]],WWWW[[#This Row],[Total PoP ]],WWWW[[#This Row],['#_of_functional_handwashing_facilities_at_HH_level]]*6)</f>
        <v>0</v>
      </c>
      <c r="BI98" s="421">
        <f>IF(WWWW[[#This Row],['# people reached by regular dedicated hygiene promotion]]&gt;WWWW[[#This Row],['# People received regular supply of hygiene items]],WWWW[[#This Row],['# people reached by regular dedicated hygiene promotion]],WWWW[[#This Row],['# People received regular supply of hygiene items]])</f>
        <v>0</v>
      </c>
      <c r="BJ98" s="424">
        <f>IF(WWWW[[#This Row],[HRP3]]/WWWW[[#This Row],[Total PoP ]]&gt;100%,100%,WWWW[[#This Row],[HRP3]]/WWWW[[#This Row],[Total PoP ]])</f>
        <v>0</v>
      </c>
      <c r="BK98" s="423">
        <f>1-WWWW[[#This Row],[Hygiene Coverage%]]</f>
        <v>1</v>
      </c>
      <c r="BL98" s="422">
        <f>WWWW[[#This Row],['# people reached by regular dedicated hygiene promotion]]/WWWW[[#This Row],[Total PoP ]]</f>
        <v>0</v>
      </c>
      <c r="BM9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8" s="421">
        <f>WWWW[[#This Row],['#_of_affected_women_and_girls_receiving_a_sufficient_quantity_of_sanitary_pads]]</f>
        <v>0</v>
      </c>
      <c r="BO98" s="420">
        <f>IF(WWWW[[#This Row],['# People with access to soap]]&gt;WWWW[[#This Row],['# People with access to Sanity Pads]],WWWW[[#This Row],['# People with access to soap]],WWWW[[#This Row],['# People with access to Sanity Pads]])</f>
        <v>0</v>
      </c>
      <c r="BP98" s="419" t="str">
        <f>IF(OR(WWWW[[#This Row],['#of students in school]]="",WWWW[[#This Row],['#of students in school]]=0),"No","Yes")</f>
        <v>No</v>
      </c>
      <c r="BQ98" s="417" t="str">
        <f>VLOOKUP(WWWW[[#This Row],[Village  Name]],SiteDB6[[Site Name]:[Location Type 1]],9,FALSE)</f>
        <v>Village</v>
      </c>
      <c r="BR98" s="417" t="str">
        <f>VLOOKUP(WWWW[[#This Row],[Village  Name]],SiteDB6[[Site Name]:[Type of Accommodation]],10,FALSE)</f>
        <v>Village</v>
      </c>
      <c r="BS98" s="417">
        <f>VLOOKUP(WWWW[[#This Row],[Village  Name]],SiteDB6[[Site Name]:[Ethnic or GCA/NGCA]],11,FALSE)</f>
        <v>0</v>
      </c>
      <c r="BT98" s="417">
        <f>VLOOKUP(WWWW[[#This Row],[Village  Name]],SiteDB6[[Site Name]:[Lat]],12,FALSE)</f>
        <v>20.239799499511701</v>
      </c>
      <c r="BU98" s="417">
        <f>VLOOKUP(WWWW[[#This Row],[Village  Name]],SiteDB6[[Site Name]:[Long]],13,FALSE)</f>
        <v>92.825088500976605</v>
      </c>
      <c r="BV98" s="417">
        <f>VLOOKUP(WWWW[[#This Row],[Village  Name]],SiteDB6[[Site Name]:[Pcode]],3,FALSE)</f>
        <v>196131</v>
      </c>
      <c r="BW98" s="425" t="str">
        <f t="shared" si="3"/>
        <v>Covered</v>
      </c>
      <c r="BX98" s="425"/>
      <c r="BY98" s="33"/>
      <c r="CA98" s="431"/>
      <c r="CB98" s="33"/>
      <c r="CC98" s="36"/>
      <c r="CE98" s="37"/>
      <c r="CN98" s="20"/>
    </row>
    <row r="99" spans="1:92" hidden="1">
      <c r="A99" s="412" t="s">
        <v>2380</v>
      </c>
      <c r="B99" s="412" t="s">
        <v>316</v>
      </c>
      <c r="C99" s="418" t="s">
        <v>316</v>
      </c>
      <c r="D99" s="418" t="s">
        <v>329</v>
      </c>
      <c r="E99" s="551" t="s">
        <v>2687</v>
      </c>
      <c r="F99" s="418" t="s">
        <v>297</v>
      </c>
      <c r="G99" s="551" t="str">
        <f>VLOOKUP(WWWW[[#This Row],[Village  Name]],SiteDB6[[Site Name]:[Location Type]],8,FALSE)</f>
        <v>Village</v>
      </c>
      <c r="H99" s="418" t="s">
        <v>671</v>
      </c>
      <c r="I99" s="420">
        <v>331</v>
      </c>
      <c r="J99" s="420">
        <v>1473</v>
      </c>
      <c r="K99" s="426">
        <v>42736</v>
      </c>
      <c r="L99" s="427">
        <v>44551</v>
      </c>
      <c r="M99" s="420"/>
      <c r="N99" s="420"/>
      <c r="O99" s="420"/>
      <c r="P99" s="420"/>
      <c r="Q99" s="420"/>
      <c r="R99" s="420"/>
      <c r="S99" s="420"/>
      <c r="T99" s="642"/>
      <c r="U99" s="420"/>
      <c r="V99" s="611" t="s">
        <v>132</v>
      </c>
      <c r="W99" s="420"/>
      <c r="X99" s="420"/>
      <c r="Y99" s="420"/>
      <c r="Z99" s="420"/>
      <c r="AA99" s="420"/>
      <c r="AB99" s="642"/>
      <c r="AC99" s="420"/>
      <c r="AD99" s="420"/>
      <c r="AE99" s="420"/>
      <c r="AF99" s="420"/>
      <c r="AG99" s="420"/>
      <c r="AH99" s="420"/>
      <c r="AI99" s="420"/>
      <c r="AJ99" s="420"/>
      <c r="AK99" s="420"/>
      <c r="AL99" s="420"/>
      <c r="AM99" s="642"/>
      <c r="AN99" s="420"/>
      <c r="AO99" s="420"/>
      <c r="AP9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99" s="419">
        <f>WWWW[[#This Row],[%Equitable and continuous access to sufficient quantity of safe drinking water]]*WWWW[[#This Row],[Total PoP ]]</f>
        <v>0</v>
      </c>
      <c r="AR9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99" s="419">
        <f>WWWW[[#This Row],[% Access to unimproved water points]]*WWWW[[#This Row],[Total PoP ]]</f>
        <v>0</v>
      </c>
      <c r="AT9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9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99" s="419">
        <f>WWWW[[#This Row],[HRP1]]/250</f>
        <v>0</v>
      </c>
      <c r="AW99" s="424">
        <f>1-WWWW[[#This Row],[% Equitable and continuous access to sufficient quantity of domestic water]]</f>
        <v>1</v>
      </c>
      <c r="AX99" s="419">
        <f>WWWW[[#This Row],[%equitable and continuous access to sufficient quantity of safe drinking and domestic water''s GAP]]*WWWW[[#This Row],[Total PoP ]]</f>
        <v>1473</v>
      </c>
      <c r="AY99" s="421">
        <f>IF(WWWW[[#This Row],[Total required water points]]-WWWW[[#This Row],['#Water points coverage]]&lt;0,0,WWWW[[#This Row],[Total required water points]]-WWWW[[#This Row],['#Water points coverage]])</f>
        <v>6</v>
      </c>
      <c r="AZ99" s="421">
        <f>ROUND(IF(WWWW[[#This Row],[Total PoP ]]&lt;250,1,WWWW[[#This Row],[Total PoP ]]/250),0)</f>
        <v>6</v>
      </c>
      <c r="BA9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99" s="419">
        <f>WWWW[[#This Row],[% people access to functioning Latrine]]*WWWW[[#This Row],[Total PoP ]]</f>
        <v>0</v>
      </c>
      <c r="BC99" s="421">
        <f>WWWW[[#This Row],['#_of_Functioning_latrines_in_school]]*50</f>
        <v>0</v>
      </c>
      <c r="BD99" s="421">
        <f>ROUND((WWWW[[#This Row],[Total PoP ]]/6),0)</f>
        <v>246</v>
      </c>
      <c r="BE99" s="421">
        <f>IF(WWWW[[#This Row],[Total required Latrines]]-(WWWW[[#This Row],['#_of_sanitary_fly-proof_HH_latrines]])&lt;0,0,WWWW[[#This Row],[Total required Latrines]]-(WWWW[[#This Row],['#_of_sanitary_fly-proof_HH_latrines]]))</f>
        <v>246</v>
      </c>
      <c r="BF99" s="72">
        <f>1-WWWW[[#This Row],[% people access to functioning Latrine]]</f>
        <v>1</v>
      </c>
      <c r="BG9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99" s="419">
        <f>IF(WWWW[[#This Row],['#_of_functional_handwashing_facilities_at_HH_level]]*6&gt;WWWW[[#This Row],[Total PoP ]],WWWW[[#This Row],[Total PoP ]],WWWW[[#This Row],['#_of_functional_handwashing_facilities_at_HH_level]]*6)</f>
        <v>0</v>
      </c>
      <c r="BI99" s="421">
        <f>IF(WWWW[[#This Row],['# people reached by regular dedicated hygiene promotion]]&gt;WWWW[[#This Row],['# People received regular supply of hygiene items]],WWWW[[#This Row],['# people reached by regular dedicated hygiene promotion]],WWWW[[#This Row],['# People received regular supply of hygiene items]])</f>
        <v>0</v>
      </c>
      <c r="BJ99" s="424">
        <f>IF(WWWW[[#This Row],[HRP3]]/WWWW[[#This Row],[Total PoP ]]&gt;100%,100%,WWWW[[#This Row],[HRP3]]/WWWW[[#This Row],[Total PoP ]])</f>
        <v>0</v>
      </c>
      <c r="BK99" s="423">
        <f>1-WWWW[[#This Row],[Hygiene Coverage%]]</f>
        <v>1</v>
      </c>
      <c r="BL99" s="422">
        <f>WWWW[[#This Row],['# people reached by regular dedicated hygiene promotion]]/WWWW[[#This Row],[Total PoP ]]</f>
        <v>0</v>
      </c>
      <c r="BM9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99" s="421">
        <f>WWWW[[#This Row],['#_of_affected_women_and_girls_receiving_a_sufficient_quantity_of_sanitary_pads]]</f>
        <v>0</v>
      </c>
      <c r="BO99" s="420">
        <f>IF(WWWW[[#This Row],['# People with access to soap]]&gt;WWWW[[#This Row],['# People with access to Sanity Pads]],WWWW[[#This Row],['# People with access to soap]],WWWW[[#This Row],['# People with access to Sanity Pads]])</f>
        <v>0</v>
      </c>
      <c r="BP99" s="419" t="str">
        <f>IF(OR(WWWW[[#This Row],['#of students in school]]="",WWWW[[#This Row],['#of students in school]]=0),"No","Yes")</f>
        <v>No</v>
      </c>
      <c r="BQ99" s="417" t="str">
        <f>VLOOKUP(WWWW[[#This Row],[Village  Name]],SiteDB6[[Site Name]:[Location Type 1]],9,FALSE)</f>
        <v>Village</v>
      </c>
      <c r="BR99" s="417" t="str">
        <f>VLOOKUP(WWWW[[#This Row],[Village  Name]],SiteDB6[[Site Name]:[Type of Accommodation]],10,FALSE)</f>
        <v>Village</v>
      </c>
      <c r="BS99" s="417">
        <f>VLOOKUP(WWWW[[#This Row],[Village  Name]],SiteDB6[[Site Name]:[Ethnic or GCA/NGCA]],11,FALSE)</f>
        <v>0</v>
      </c>
      <c r="BT99" s="417">
        <f>VLOOKUP(WWWW[[#This Row],[Village  Name]],SiteDB6[[Site Name]:[Lat]],12,FALSE)</f>
        <v>20.128850936889599</v>
      </c>
      <c r="BU99" s="417">
        <f>VLOOKUP(WWWW[[#This Row],[Village  Name]],SiteDB6[[Site Name]:[Long]],13,FALSE)</f>
        <v>92.872497558593807</v>
      </c>
      <c r="BV99" s="417">
        <f>VLOOKUP(WWWW[[#This Row],[Village  Name]],SiteDB6[[Site Name]:[Pcode]],3,FALSE)</f>
        <v>196208</v>
      </c>
      <c r="BW99" s="425" t="str">
        <f t="shared" si="3"/>
        <v>Covered</v>
      </c>
      <c r="BX99" s="425"/>
      <c r="BY99" s="33"/>
      <c r="CA99" s="431"/>
      <c r="CB99" s="33"/>
      <c r="CC99" s="36"/>
      <c r="CE99" s="37"/>
      <c r="CN99" s="20"/>
    </row>
    <row r="100" spans="1:92" hidden="1">
      <c r="A100" s="412" t="s">
        <v>2380</v>
      </c>
      <c r="B100" s="612" t="s">
        <v>2307</v>
      </c>
      <c r="C100" s="612" t="s">
        <v>2307</v>
      </c>
      <c r="D100" s="457" t="s">
        <v>40</v>
      </c>
      <c r="E100" s="551" t="s">
        <v>2687</v>
      </c>
      <c r="F100" s="418" t="s">
        <v>297</v>
      </c>
      <c r="G100" s="551" t="str">
        <f>VLOOKUP(WWWW[[#This Row],[Village  Name]],SiteDB6[[Site Name]:[Location Type]],8,FALSE)</f>
        <v>Village</v>
      </c>
      <c r="H100" s="418" t="s">
        <v>438</v>
      </c>
      <c r="I100" s="420">
        <v>200</v>
      </c>
      <c r="J100" s="420">
        <v>1065</v>
      </c>
      <c r="K100" s="461"/>
      <c r="L100" s="55">
        <v>44104</v>
      </c>
      <c r="M100" s="420"/>
      <c r="N100" s="611">
        <v>0</v>
      </c>
      <c r="O100" s="420"/>
      <c r="P100" s="420">
        <v>7</v>
      </c>
      <c r="Q100" s="420"/>
      <c r="R100" s="420"/>
      <c r="S100" s="420"/>
      <c r="T100" s="642"/>
      <c r="U100" s="420"/>
      <c r="V100" s="611" t="s">
        <v>132</v>
      </c>
      <c r="W100" s="420"/>
      <c r="X100" s="420"/>
      <c r="Y100" s="420"/>
      <c r="Z100" s="420"/>
      <c r="AA100" s="420"/>
      <c r="AB100" s="642"/>
      <c r="AC100" s="420">
        <v>0</v>
      </c>
      <c r="AD100" s="420">
        <v>0</v>
      </c>
      <c r="AE100" s="420">
        <v>0</v>
      </c>
      <c r="AF100" s="420">
        <v>0</v>
      </c>
      <c r="AG100" s="420">
        <v>232</v>
      </c>
      <c r="AH100" s="420">
        <v>203</v>
      </c>
      <c r="AI100" s="420"/>
      <c r="AJ100" s="420"/>
      <c r="AK100" s="420"/>
      <c r="AL100" s="420"/>
      <c r="AM100" s="642"/>
      <c r="AN100" s="420"/>
      <c r="AO100" s="420"/>
      <c r="AP10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00" s="419">
        <f>WWWW[[#This Row],[%Equitable and continuous access to sufficient quantity of safe drinking water]]*WWWW[[#This Row],[Total PoP ]]</f>
        <v>1065</v>
      </c>
      <c r="AR10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0" s="419">
        <f>WWWW[[#This Row],[% Access to unimproved water points]]*WWWW[[#This Row],[Total PoP ]]</f>
        <v>0</v>
      </c>
      <c r="AT10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0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1065</v>
      </c>
      <c r="AV100" s="419">
        <f>WWWW[[#This Row],[HRP1]]/250</f>
        <v>4.26</v>
      </c>
      <c r="AW100" s="424">
        <f>1-WWWW[[#This Row],[% Equitable and continuous access to sufficient quantity of domestic water]]</f>
        <v>0</v>
      </c>
      <c r="AX100" s="419">
        <f>WWWW[[#This Row],[%equitable and continuous access to sufficient quantity of safe drinking and domestic water''s GAP]]*WWWW[[#This Row],[Total PoP ]]</f>
        <v>0</v>
      </c>
      <c r="AY100" s="421">
        <f>IF(WWWW[[#This Row],[Total required water points]]-WWWW[[#This Row],['#Water points coverage]]&lt;0,0,WWWW[[#This Row],[Total required water points]]-WWWW[[#This Row],['#Water points coverage]])</f>
        <v>0</v>
      </c>
      <c r="AZ100" s="421">
        <f>ROUND(IF(WWWW[[#This Row],[Total PoP ]]&lt;250,1,WWWW[[#This Row],[Total PoP ]]/250),0)</f>
        <v>4</v>
      </c>
      <c r="BA10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0" s="419">
        <f>WWWW[[#This Row],[% people access to functioning Latrine]]*WWWW[[#This Row],[Total PoP ]]</f>
        <v>0</v>
      </c>
      <c r="BC100" s="421">
        <f>WWWW[[#This Row],['#_of_Functioning_latrines_in_school]]*50</f>
        <v>0</v>
      </c>
      <c r="BD100" s="421">
        <f>ROUND((WWWW[[#This Row],[Total PoP ]]/6),0)</f>
        <v>178</v>
      </c>
      <c r="BE100" s="421">
        <f>IF(WWWW[[#This Row],[Total required Latrines]]-(WWWW[[#This Row],['#_of_sanitary_fly-proof_HH_latrines]])&lt;0,0,WWWW[[#This Row],[Total required Latrines]]-(WWWW[[#This Row],['#_of_sanitary_fly-proof_HH_latrines]]))</f>
        <v>178</v>
      </c>
      <c r="BF100" s="72">
        <f>1-WWWW[[#This Row],[% people access to functioning Latrine]]</f>
        <v>1</v>
      </c>
      <c r="BG10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435</v>
      </c>
      <c r="BH100" s="419">
        <f>IF(WWWW[[#This Row],['#_of_functional_handwashing_facilities_at_HH_level]]*6&gt;WWWW[[#This Row],[Total PoP ]],WWWW[[#This Row],[Total PoP ]],WWWW[[#This Row],['#_of_functional_handwashing_facilities_at_HH_level]]*6)</f>
        <v>0</v>
      </c>
      <c r="BI100" s="421">
        <f>IF(WWWW[[#This Row],['# people reached by regular dedicated hygiene promotion]]&gt;WWWW[[#This Row],['# People received regular supply of hygiene items]],WWWW[[#This Row],['# people reached by regular dedicated hygiene promotion]],WWWW[[#This Row],['# People received regular supply of hygiene items]])</f>
        <v>435</v>
      </c>
      <c r="BJ100" s="424">
        <f>IF(WWWW[[#This Row],[HRP3]]/WWWW[[#This Row],[Total PoP ]]&gt;100%,100%,WWWW[[#This Row],[HRP3]]/WWWW[[#This Row],[Total PoP ]])</f>
        <v>0.40845070422535212</v>
      </c>
      <c r="BK100" s="423">
        <f>1-WWWW[[#This Row],[Hygiene Coverage%]]</f>
        <v>0.59154929577464788</v>
      </c>
      <c r="BL100" s="422">
        <f>WWWW[[#This Row],['# people reached by regular dedicated hygiene promotion]]/WWWW[[#This Row],[Total PoP ]]</f>
        <v>0.40845070422535212</v>
      </c>
      <c r="BM10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0" s="421">
        <f>WWWW[[#This Row],['#_of_affected_women_and_girls_receiving_a_sufficient_quantity_of_sanitary_pads]]</f>
        <v>0</v>
      </c>
      <c r="BO100" s="420">
        <f>IF(WWWW[[#This Row],['# People with access to soap]]&gt;WWWW[[#This Row],['# People with access to Sanity Pads]],WWWW[[#This Row],['# People with access to soap]],WWWW[[#This Row],['# People with access to Sanity Pads]])</f>
        <v>0</v>
      </c>
      <c r="BP100" s="419" t="str">
        <f>IF(OR(WWWW[[#This Row],['#of students in school]]="",WWWW[[#This Row],['#of students in school]]=0),"No","Yes")</f>
        <v>No</v>
      </c>
      <c r="BQ100" s="417" t="str">
        <f>VLOOKUP(WWWW[[#This Row],[Village  Name]],SiteDB6[[Site Name]:[Location Type 1]],9,FALSE)</f>
        <v>Village</v>
      </c>
      <c r="BR100" s="417" t="str">
        <f>VLOOKUP(WWWW[[#This Row],[Village  Name]],SiteDB6[[Site Name]:[Type of Accommodation]],10,FALSE)</f>
        <v>Village</v>
      </c>
      <c r="BS100" s="417" t="str">
        <f>VLOOKUP(WWWW[[#This Row],[Village  Name]],SiteDB6[[Site Name]:[Ethnic or GCA/NGCA]],11,FALSE)</f>
        <v>Muslim</v>
      </c>
      <c r="BT100" s="417">
        <f>VLOOKUP(WWWW[[#This Row],[Village  Name]],SiteDB6[[Site Name]:[Lat]],12,FALSE)</f>
        <v>20.197549819999999</v>
      </c>
      <c r="BU100" s="417">
        <f>VLOOKUP(WWWW[[#This Row],[Village  Name]],SiteDB6[[Site Name]:[Long]],13,FALSE)</f>
        <v>92.785682679999994</v>
      </c>
      <c r="BV100" s="417">
        <f>VLOOKUP(WWWW[[#This Row],[Village  Name]],SiteDB6[[Site Name]:[Pcode]],3,FALSE)</f>
        <v>196156</v>
      </c>
      <c r="BW100" s="425" t="str">
        <f t="shared" ref="BW100:BW131" si="4">IF(C100="none","Notcovered","Covered")</f>
        <v>Covered</v>
      </c>
      <c r="BX100" s="425"/>
      <c r="BY100" s="33"/>
      <c r="CA100" s="431"/>
      <c r="CB100" s="33"/>
      <c r="CC100" s="36"/>
      <c r="CE100" s="37"/>
      <c r="CN100" s="20"/>
    </row>
    <row r="101" spans="1:92" hidden="1">
      <c r="A101" s="412" t="s">
        <v>2380</v>
      </c>
      <c r="B101" s="412" t="s">
        <v>316</v>
      </c>
      <c r="C101" s="418" t="s">
        <v>316</v>
      </c>
      <c r="D101" s="418" t="s">
        <v>309</v>
      </c>
      <c r="E101" s="551" t="s">
        <v>2687</v>
      </c>
      <c r="F101" s="418" t="s">
        <v>297</v>
      </c>
      <c r="G101" s="551" t="str">
        <f>VLOOKUP(WWWW[[#This Row],[Village  Name]],SiteDB6[[Site Name]:[Location Type]],8,FALSE)</f>
        <v>Village</v>
      </c>
      <c r="H101" s="418" t="s">
        <v>2623</v>
      </c>
      <c r="I101" s="420">
        <v>326</v>
      </c>
      <c r="J101" s="420">
        <v>4476</v>
      </c>
      <c r="K101" s="426">
        <v>42736</v>
      </c>
      <c r="L101" s="427">
        <v>44551</v>
      </c>
      <c r="M101" s="420"/>
      <c r="N101" s="420"/>
      <c r="O101" s="420"/>
      <c r="P101" s="420"/>
      <c r="Q101" s="420"/>
      <c r="R101" s="420"/>
      <c r="S101" s="420"/>
      <c r="T101" s="642"/>
      <c r="U101" s="420"/>
      <c r="V101" s="611" t="s">
        <v>132</v>
      </c>
      <c r="W101" s="420"/>
      <c r="X101" s="420"/>
      <c r="Y101" s="420"/>
      <c r="Z101" s="420"/>
      <c r="AA101" s="420"/>
      <c r="AB101" s="642"/>
      <c r="AC101" s="420"/>
      <c r="AD101" s="420"/>
      <c r="AE101" s="420"/>
      <c r="AF101" s="420"/>
      <c r="AG101" s="420"/>
      <c r="AH101" s="420"/>
      <c r="AI101" s="420"/>
      <c r="AJ101" s="420"/>
      <c r="AK101" s="420"/>
      <c r="AL101" s="420"/>
      <c r="AM101" s="642"/>
      <c r="AN101" s="420"/>
      <c r="AO101" s="420"/>
      <c r="AP10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1" s="419">
        <f>WWWW[[#This Row],[%Equitable and continuous access to sufficient quantity of safe drinking water]]*WWWW[[#This Row],[Total PoP ]]</f>
        <v>0</v>
      </c>
      <c r="AR10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1" s="419">
        <f>WWWW[[#This Row],[% Access to unimproved water points]]*WWWW[[#This Row],[Total PoP ]]</f>
        <v>0</v>
      </c>
      <c r="AT10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1" s="419">
        <f>WWWW[[#This Row],[HRP1]]/250</f>
        <v>0</v>
      </c>
      <c r="AW101" s="424">
        <f>1-WWWW[[#This Row],[% Equitable and continuous access to sufficient quantity of domestic water]]</f>
        <v>1</v>
      </c>
      <c r="AX101" s="419">
        <f>WWWW[[#This Row],[%equitable and continuous access to sufficient quantity of safe drinking and domestic water''s GAP]]*WWWW[[#This Row],[Total PoP ]]</f>
        <v>4476</v>
      </c>
      <c r="AY101" s="421">
        <f>IF(WWWW[[#This Row],[Total required water points]]-WWWW[[#This Row],['#Water points coverage]]&lt;0,0,WWWW[[#This Row],[Total required water points]]-WWWW[[#This Row],['#Water points coverage]])</f>
        <v>18</v>
      </c>
      <c r="AZ101" s="421">
        <f>ROUND(IF(WWWW[[#This Row],[Total PoP ]]&lt;250,1,WWWW[[#This Row],[Total PoP ]]/250),0)</f>
        <v>18</v>
      </c>
      <c r="BA10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1" s="419">
        <f>WWWW[[#This Row],[% people access to functioning Latrine]]*WWWW[[#This Row],[Total PoP ]]</f>
        <v>0</v>
      </c>
      <c r="BC101" s="421">
        <f>WWWW[[#This Row],['#_of_Functioning_latrines_in_school]]*50</f>
        <v>0</v>
      </c>
      <c r="BD101" s="421">
        <f>ROUND((WWWW[[#This Row],[Total PoP ]]/6),0)</f>
        <v>746</v>
      </c>
      <c r="BE101" s="421">
        <f>IF(WWWW[[#This Row],[Total required Latrines]]-(WWWW[[#This Row],['#_of_sanitary_fly-proof_HH_latrines]])&lt;0,0,WWWW[[#This Row],[Total required Latrines]]-(WWWW[[#This Row],['#_of_sanitary_fly-proof_HH_latrines]]))</f>
        <v>746</v>
      </c>
      <c r="BF101" s="72">
        <f>1-WWWW[[#This Row],[% people access to functioning Latrine]]</f>
        <v>1</v>
      </c>
      <c r="BG10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01" s="419">
        <f>IF(WWWW[[#This Row],['#_of_functional_handwashing_facilities_at_HH_level]]*6&gt;WWWW[[#This Row],[Total PoP ]],WWWW[[#This Row],[Total PoP ]],WWWW[[#This Row],['#_of_functional_handwashing_facilities_at_HH_level]]*6)</f>
        <v>0</v>
      </c>
      <c r="BI101" s="421">
        <f>IF(WWWW[[#This Row],['# people reached by regular dedicated hygiene promotion]]&gt;WWWW[[#This Row],['# People received regular supply of hygiene items]],WWWW[[#This Row],['# people reached by regular dedicated hygiene promotion]],WWWW[[#This Row],['# People received regular supply of hygiene items]])</f>
        <v>0</v>
      </c>
      <c r="BJ101" s="424">
        <f>IF(WWWW[[#This Row],[HRP3]]/WWWW[[#This Row],[Total PoP ]]&gt;100%,100%,WWWW[[#This Row],[HRP3]]/WWWW[[#This Row],[Total PoP ]])</f>
        <v>0</v>
      </c>
      <c r="BK101" s="423">
        <f>1-WWWW[[#This Row],[Hygiene Coverage%]]</f>
        <v>1</v>
      </c>
      <c r="BL101" s="422">
        <f>WWWW[[#This Row],['# people reached by regular dedicated hygiene promotion]]/WWWW[[#This Row],[Total PoP ]]</f>
        <v>0</v>
      </c>
      <c r="BM10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1" s="421">
        <f>WWWW[[#This Row],['#_of_affected_women_and_girls_receiving_a_sufficient_quantity_of_sanitary_pads]]</f>
        <v>0</v>
      </c>
      <c r="BO101" s="420">
        <f>IF(WWWW[[#This Row],['# People with access to soap]]&gt;WWWW[[#This Row],['# People with access to Sanity Pads]],WWWW[[#This Row],['# People with access to soap]],WWWW[[#This Row],['# People with access to Sanity Pads]])</f>
        <v>0</v>
      </c>
      <c r="BP101" s="419" t="str">
        <f>IF(OR(WWWW[[#This Row],['#of students in school]]="",WWWW[[#This Row],['#of students in school]]=0),"No","Yes")</f>
        <v>No</v>
      </c>
      <c r="BQ101" s="417" t="str">
        <f>VLOOKUP(WWWW[[#This Row],[Village  Name]],SiteDB6[[Site Name]:[Location Type 1]],9,FALSE)</f>
        <v>Village</v>
      </c>
      <c r="BR101" s="417" t="str">
        <f>VLOOKUP(WWWW[[#This Row],[Village  Name]],SiteDB6[[Site Name]:[Type of Accommodation]],10,FALSE)</f>
        <v>Village</v>
      </c>
      <c r="BS101" s="417">
        <f>VLOOKUP(WWWW[[#This Row],[Village  Name]],SiteDB6[[Site Name]:[Ethnic or GCA/NGCA]],11,FALSE)</f>
        <v>0</v>
      </c>
      <c r="BT101" s="417">
        <f>VLOOKUP(WWWW[[#This Row],[Village  Name]],SiteDB6[[Site Name]:[Lat]],12,FALSE)</f>
        <v>20.142469406127901</v>
      </c>
      <c r="BU101" s="417">
        <f>VLOOKUP(WWWW[[#This Row],[Village  Name]],SiteDB6[[Site Name]:[Long]],13,FALSE)</f>
        <v>92.863967895507798</v>
      </c>
      <c r="BV101" s="417">
        <f>VLOOKUP(WWWW[[#This Row],[Village  Name]],SiteDB6[[Site Name]:[Pcode]],3,FALSE)</f>
        <v>196203</v>
      </c>
      <c r="BW101" s="425" t="str">
        <f t="shared" si="4"/>
        <v>Covered</v>
      </c>
      <c r="BX101" s="425"/>
      <c r="BY101" s="33"/>
      <c r="CA101" s="431"/>
      <c r="CB101" s="33"/>
      <c r="CC101" s="36"/>
      <c r="CE101" s="37"/>
      <c r="CN101" s="20"/>
    </row>
    <row r="102" spans="1:92" hidden="1">
      <c r="A102" s="412" t="s">
        <v>2380</v>
      </c>
      <c r="B102" s="412" t="s">
        <v>316</v>
      </c>
      <c r="C102" s="418" t="s">
        <v>316</v>
      </c>
      <c r="D102" s="418" t="s">
        <v>309</v>
      </c>
      <c r="E102" s="551" t="s">
        <v>2687</v>
      </c>
      <c r="F102" s="418" t="s">
        <v>297</v>
      </c>
      <c r="G102" s="551" t="str">
        <f>VLOOKUP(WWWW[[#This Row],[Village  Name]],SiteDB6[[Site Name]:[Location Type]],8,FALSE)</f>
        <v>Village</v>
      </c>
      <c r="H102" s="418" t="s">
        <v>2624</v>
      </c>
      <c r="I102" s="420">
        <v>335</v>
      </c>
      <c r="J102" s="420">
        <v>1867</v>
      </c>
      <c r="K102" s="426">
        <v>42736</v>
      </c>
      <c r="L102" s="427">
        <v>44551</v>
      </c>
      <c r="M102" s="420"/>
      <c r="N102" s="420"/>
      <c r="O102" s="420"/>
      <c r="P102" s="420"/>
      <c r="Q102" s="420"/>
      <c r="R102" s="420"/>
      <c r="S102" s="420"/>
      <c r="T102" s="642"/>
      <c r="U102" s="420"/>
      <c r="V102" s="611" t="s">
        <v>132</v>
      </c>
      <c r="W102" s="420"/>
      <c r="X102" s="420"/>
      <c r="Y102" s="420"/>
      <c r="Z102" s="420"/>
      <c r="AA102" s="420"/>
      <c r="AB102" s="642"/>
      <c r="AC102" s="420"/>
      <c r="AD102" s="420"/>
      <c r="AE102" s="420"/>
      <c r="AF102" s="420"/>
      <c r="AG102" s="420"/>
      <c r="AH102" s="420"/>
      <c r="AI102" s="420"/>
      <c r="AJ102" s="420"/>
      <c r="AK102" s="420"/>
      <c r="AL102" s="420"/>
      <c r="AM102" s="642"/>
      <c r="AN102" s="420"/>
      <c r="AO102" s="420"/>
      <c r="AP10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2" s="419">
        <f>WWWW[[#This Row],[%Equitable and continuous access to sufficient quantity of safe drinking water]]*WWWW[[#This Row],[Total PoP ]]</f>
        <v>0</v>
      </c>
      <c r="AR10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2" s="419">
        <f>WWWW[[#This Row],[% Access to unimproved water points]]*WWWW[[#This Row],[Total PoP ]]</f>
        <v>0</v>
      </c>
      <c r="AT10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2" s="419">
        <f>WWWW[[#This Row],[HRP1]]/250</f>
        <v>0</v>
      </c>
      <c r="AW102" s="424">
        <f>1-WWWW[[#This Row],[% Equitable and continuous access to sufficient quantity of domestic water]]</f>
        <v>1</v>
      </c>
      <c r="AX102" s="419">
        <f>WWWW[[#This Row],[%equitable and continuous access to sufficient quantity of safe drinking and domestic water''s GAP]]*WWWW[[#This Row],[Total PoP ]]</f>
        <v>1867</v>
      </c>
      <c r="AY102" s="421">
        <f>IF(WWWW[[#This Row],[Total required water points]]-WWWW[[#This Row],['#Water points coverage]]&lt;0,0,WWWW[[#This Row],[Total required water points]]-WWWW[[#This Row],['#Water points coverage]])</f>
        <v>7</v>
      </c>
      <c r="AZ102" s="421">
        <f>ROUND(IF(WWWW[[#This Row],[Total PoP ]]&lt;250,1,WWWW[[#This Row],[Total PoP ]]/250),0)</f>
        <v>7</v>
      </c>
      <c r="BA10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2" s="419">
        <f>WWWW[[#This Row],[% people access to functioning Latrine]]*WWWW[[#This Row],[Total PoP ]]</f>
        <v>0</v>
      </c>
      <c r="BC102" s="421">
        <f>WWWW[[#This Row],['#_of_Functioning_latrines_in_school]]*50</f>
        <v>0</v>
      </c>
      <c r="BD102" s="421">
        <f>ROUND((WWWW[[#This Row],[Total PoP ]]/6),0)</f>
        <v>311</v>
      </c>
      <c r="BE102" s="421">
        <f>IF(WWWW[[#This Row],[Total required Latrines]]-(WWWW[[#This Row],['#_of_sanitary_fly-proof_HH_latrines]])&lt;0,0,WWWW[[#This Row],[Total required Latrines]]-(WWWW[[#This Row],['#_of_sanitary_fly-proof_HH_latrines]]))</f>
        <v>311</v>
      </c>
      <c r="BF102" s="72">
        <f>1-WWWW[[#This Row],[% people access to functioning Latrine]]</f>
        <v>1</v>
      </c>
      <c r="BG10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02" s="419">
        <f>IF(WWWW[[#This Row],['#_of_functional_handwashing_facilities_at_HH_level]]*6&gt;WWWW[[#This Row],[Total PoP ]],WWWW[[#This Row],[Total PoP ]],WWWW[[#This Row],['#_of_functional_handwashing_facilities_at_HH_level]]*6)</f>
        <v>0</v>
      </c>
      <c r="BI102" s="421">
        <f>IF(WWWW[[#This Row],['# people reached by regular dedicated hygiene promotion]]&gt;WWWW[[#This Row],['# People received regular supply of hygiene items]],WWWW[[#This Row],['# people reached by regular dedicated hygiene promotion]],WWWW[[#This Row],['# People received regular supply of hygiene items]])</f>
        <v>0</v>
      </c>
      <c r="BJ102" s="424">
        <f>IF(WWWW[[#This Row],[HRP3]]/WWWW[[#This Row],[Total PoP ]]&gt;100%,100%,WWWW[[#This Row],[HRP3]]/WWWW[[#This Row],[Total PoP ]])</f>
        <v>0</v>
      </c>
      <c r="BK102" s="423">
        <f>1-WWWW[[#This Row],[Hygiene Coverage%]]</f>
        <v>1</v>
      </c>
      <c r="BL102" s="422">
        <f>WWWW[[#This Row],['# people reached by regular dedicated hygiene promotion]]/WWWW[[#This Row],[Total PoP ]]</f>
        <v>0</v>
      </c>
      <c r="BM10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2" s="421">
        <f>WWWW[[#This Row],['#_of_affected_women_and_girls_receiving_a_sufficient_quantity_of_sanitary_pads]]</f>
        <v>0</v>
      </c>
      <c r="BO102" s="420">
        <f>IF(WWWW[[#This Row],['# People with access to soap]]&gt;WWWW[[#This Row],['# People with access to Sanity Pads]],WWWW[[#This Row],['# People with access to soap]],WWWW[[#This Row],['# People with access to Sanity Pads]])</f>
        <v>0</v>
      </c>
      <c r="BP102" s="419" t="str">
        <f>IF(OR(WWWW[[#This Row],['#of students in school]]="",WWWW[[#This Row],['#of students in school]]=0),"No","Yes")</f>
        <v>No</v>
      </c>
      <c r="BQ102" s="417" t="str">
        <f>VLOOKUP(WWWW[[#This Row],[Village  Name]],SiteDB6[[Site Name]:[Location Type 1]],9,FALSE)</f>
        <v>Village</v>
      </c>
      <c r="BR102" s="417" t="str">
        <f>VLOOKUP(WWWW[[#This Row],[Village  Name]],SiteDB6[[Site Name]:[Type of Accommodation]],10,FALSE)</f>
        <v>Village</v>
      </c>
      <c r="BS102" s="417">
        <f>VLOOKUP(WWWW[[#This Row],[Village  Name]],SiteDB6[[Site Name]:[Ethnic or GCA/NGCA]],11,FALSE)</f>
        <v>0</v>
      </c>
      <c r="BT102" s="417">
        <f>VLOOKUP(WWWW[[#This Row],[Village  Name]],SiteDB6[[Site Name]:[Lat]],12,FALSE)</f>
        <v>20.170469284057599</v>
      </c>
      <c r="BU102" s="417">
        <f>VLOOKUP(WWWW[[#This Row],[Village  Name]],SiteDB6[[Site Name]:[Long]],13,FALSE)</f>
        <v>92.8343505859375</v>
      </c>
      <c r="BV102" s="417">
        <f>VLOOKUP(WWWW[[#This Row],[Village  Name]],SiteDB6[[Site Name]:[Pcode]],3,FALSE)</f>
        <v>196202</v>
      </c>
      <c r="BW102" s="425" t="str">
        <f t="shared" si="4"/>
        <v>Covered</v>
      </c>
      <c r="BX102" s="425"/>
      <c r="BY102" s="33"/>
      <c r="CA102" s="431"/>
      <c r="CB102" s="33"/>
      <c r="CC102" s="36"/>
      <c r="CE102" s="37"/>
      <c r="CN102" s="20"/>
    </row>
    <row r="103" spans="1:92" hidden="1">
      <c r="A103" s="412" t="s">
        <v>2380</v>
      </c>
      <c r="B103" s="412" t="s">
        <v>316</v>
      </c>
      <c r="C103" s="418" t="s">
        <v>316</v>
      </c>
      <c r="D103" s="418" t="s">
        <v>309</v>
      </c>
      <c r="E103" s="551" t="s">
        <v>2687</v>
      </c>
      <c r="F103" s="418" t="s">
        <v>297</v>
      </c>
      <c r="G103" s="551" t="str">
        <f>VLOOKUP(WWWW[[#This Row],[Village  Name]],SiteDB6[[Site Name]:[Location Type]],8,FALSE)</f>
        <v>Village</v>
      </c>
      <c r="H103" s="418" t="s">
        <v>1751</v>
      </c>
      <c r="I103" s="420">
        <v>863</v>
      </c>
      <c r="J103" s="420">
        <v>3768</v>
      </c>
      <c r="K103" s="426">
        <v>42736</v>
      </c>
      <c r="L103" s="427">
        <v>44551</v>
      </c>
      <c r="M103" s="420"/>
      <c r="N103" s="420"/>
      <c r="O103" s="420"/>
      <c r="P103" s="420"/>
      <c r="Q103" s="420"/>
      <c r="R103" s="420"/>
      <c r="S103" s="420"/>
      <c r="T103" s="642"/>
      <c r="U103" s="420"/>
      <c r="V103" s="611" t="s">
        <v>132</v>
      </c>
      <c r="W103" s="420"/>
      <c r="X103" s="420"/>
      <c r="Y103" s="420"/>
      <c r="Z103" s="420"/>
      <c r="AA103" s="420"/>
      <c r="AB103" s="642"/>
      <c r="AC103" s="420"/>
      <c r="AD103" s="420"/>
      <c r="AE103" s="420"/>
      <c r="AF103" s="420"/>
      <c r="AG103" s="420"/>
      <c r="AH103" s="420"/>
      <c r="AI103" s="420"/>
      <c r="AJ103" s="420"/>
      <c r="AK103" s="420"/>
      <c r="AL103" s="420"/>
      <c r="AM103" s="642"/>
      <c r="AN103" s="420"/>
      <c r="AO103" s="420"/>
      <c r="AP10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3" s="419">
        <f>WWWW[[#This Row],[%Equitable and continuous access to sufficient quantity of safe drinking water]]*WWWW[[#This Row],[Total PoP ]]</f>
        <v>0</v>
      </c>
      <c r="AR10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3" s="419">
        <f>WWWW[[#This Row],[% Access to unimproved water points]]*WWWW[[#This Row],[Total PoP ]]</f>
        <v>0</v>
      </c>
      <c r="AT10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3" s="419">
        <f>WWWW[[#This Row],[HRP1]]/250</f>
        <v>0</v>
      </c>
      <c r="AW103" s="424">
        <f>1-WWWW[[#This Row],[% Equitable and continuous access to sufficient quantity of domestic water]]</f>
        <v>1</v>
      </c>
      <c r="AX103" s="419">
        <f>WWWW[[#This Row],[%equitable and continuous access to sufficient quantity of safe drinking and domestic water''s GAP]]*WWWW[[#This Row],[Total PoP ]]</f>
        <v>3768</v>
      </c>
      <c r="AY103" s="421">
        <f>IF(WWWW[[#This Row],[Total required water points]]-WWWW[[#This Row],['#Water points coverage]]&lt;0,0,WWWW[[#This Row],[Total required water points]]-WWWW[[#This Row],['#Water points coverage]])</f>
        <v>15</v>
      </c>
      <c r="AZ103" s="421">
        <f>ROUND(IF(WWWW[[#This Row],[Total PoP ]]&lt;250,1,WWWW[[#This Row],[Total PoP ]]/250),0)</f>
        <v>15</v>
      </c>
      <c r="BA10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3" s="419">
        <f>WWWW[[#This Row],[% people access to functioning Latrine]]*WWWW[[#This Row],[Total PoP ]]</f>
        <v>0</v>
      </c>
      <c r="BC103" s="421">
        <f>WWWW[[#This Row],['#_of_Functioning_latrines_in_school]]*50</f>
        <v>0</v>
      </c>
      <c r="BD103" s="421">
        <f>ROUND((WWWW[[#This Row],[Total PoP ]]/6),0)</f>
        <v>628</v>
      </c>
      <c r="BE103" s="421">
        <f>IF(WWWW[[#This Row],[Total required Latrines]]-(WWWW[[#This Row],['#_of_sanitary_fly-proof_HH_latrines]])&lt;0,0,WWWW[[#This Row],[Total required Latrines]]-(WWWW[[#This Row],['#_of_sanitary_fly-proof_HH_latrines]]))</f>
        <v>628</v>
      </c>
      <c r="BF103" s="72">
        <f>1-WWWW[[#This Row],[% people access to functioning Latrine]]</f>
        <v>1</v>
      </c>
      <c r="BG10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03" s="419">
        <f>IF(WWWW[[#This Row],['#_of_functional_handwashing_facilities_at_HH_level]]*6&gt;WWWW[[#This Row],[Total PoP ]],WWWW[[#This Row],[Total PoP ]],WWWW[[#This Row],['#_of_functional_handwashing_facilities_at_HH_level]]*6)</f>
        <v>0</v>
      </c>
      <c r="BI103" s="421">
        <f>IF(WWWW[[#This Row],['# people reached by regular dedicated hygiene promotion]]&gt;WWWW[[#This Row],['# People received regular supply of hygiene items]],WWWW[[#This Row],['# people reached by regular dedicated hygiene promotion]],WWWW[[#This Row],['# People received regular supply of hygiene items]])</f>
        <v>0</v>
      </c>
      <c r="BJ103" s="424">
        <f>IF(WWWW[[#This Row],[HRP3]]/WWWW[[#This Row],[Total PoP ]]&gt;100%,100%,WWWW[[#This Row],[HRP3]]/WWWW[[#This Row],[Total PoP ]])</f>
        <v>0</v>
      </c>
      <c r="BK103" s="423">
        <f>1-WWWW[[#This Row],[Hygiene Coverage%]]</f>
        <v>1</v>
      </c>
      <c r="BL103" s="422">
        <f>WWWW[[#This Row],['# people reached by regular dedicated hygiene promotion]]/WWWW[[#This Row],[Total PoP ]]</f>
        <v>0</v>
      </c>
      <c r="BM10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3" s="421">
        <f>WWWW[[#This Row],['#_of_affected_women_and_girls_receiving_a_sufficient_quantity_of_sanitary_pads]]</f>
        <v>0</v>
      </c>
      <c r="BO103" s="420">
        <f>IF(WWWW[[#This Row],['# People with access to soap]]&gt;WWWW[[#This Row],['# People with access to Sanity Pads]],WWWW[[#This Row],['# People with access to soap]],WWWW[[#This Row],['# People with access to Sanity Pads]])</f>
        <v>0</v>
      </c>
      <c r="BP103" s="419" t="str">
        <f>IF(OR(WWWW[[#This Row],['#of students in school]]="",WWWW[[#This Row],['#of students in school]]=0),"No","Yes")</f>
        <v>No</v>
      </c>
      <c r="BQ103" s="417" t="str">
        <f>VLOOKUP(WWWW[[#This Row],[Village  Name]],SiteDB6[[Site Name]:[Location Type 1]],9,FALSE)</f>
        <v>Village</v>
      </c>
      <c r="BR103" s="417" t="str">
        <f>VLOOKUP(WWWW[[#This Row],[Village  Name]],SiteDB6[[Site Name]:[Type of Accommodation]],10,FALSE)</f>
        <v>Village</v>
      </c>
      <c r="BS103" s="417">
        <f>VLOOKUP(WWWW[[#This Row],[Village  Name]],SiteDB6[[Site Name]:[Ethnic or GCA/NGCA]],11,FALSE)</f>
        <v>0</v>
      </c>
      <c r="BT103" s="417">
        <f>VLOOKUP(WWWW[[#This Row],[Village  Name]],SiteDB6[[Site Name]:[Lat]],12,FALSE)</f>
        <v>20.168970108032202</v>
      </c>
      <c r="BU103" s="417">
        <f>VLOOKUP(WWWW[[#This Row],[Village  Name]],SiteDB6[[Site Name]:[Long]],13,FALSE)</f>
        <v>92.826896667480497</v>
      </c>
      <c r="BV103" s="417">
        <f>VLOOKUP(WWWW[[#This Row],[Village  Name]],SiteDB6[[Site Name]:[Pcode]],3,FALSE)</f>
        <v>196206</v>
      </c>
      <c r="BW103" s="425" t="str">
        <f t="shared" si="4"/>
        <v>Covered</v>
      </c>
      <c r="BX103" s="425"/>
      <c r="BY103" s="33"/>
      <c r="CA103" s="431"/>
      <c r="CB103" s="33"/>
      <c r="CC103" s="36"/>
      <c r="CE103" s="37"/>
      <c r="CN103" s="20"/>
    </row>
    <row r="104" spans="1:92" hidden="1">
      <c r="A104" s="412" t="s">
        <v>2380</v>
      </c>
      <c r="B104" s="412" t="s">
        <v>316</v>
      </c>
      <c r="C104" s="418" t="s">
        <v>316</v>
      </c>
      <c r="D104" s="418" t="s">
        <v>309</v>
      </c>
      <c r="E104" s="551" t="s">
        <v>2687</v>
      </c>
      <c r="F104" s="418" t="s">
        <v>297</v>
      </c>
      <c r="G104" s="551" t="str">
        <f>VLOOKUP(WWWW[[#This Row],[Village  Name]],SiteDB6[[Site Name]:[Location Type]],8,FALSE)</f>
        <v>Village</v>
      </c>
      <c r="H104" s="418" t="s">
        <v>2625</v>
      </c>
      <c r="I104" s="420">
        <v>310</v>
      </c>
      <c r="J104" s="420">
        <v>1750</v>
      </c>
      <c r="K104" s="426">
        <v>42736</v>
      </c>
      <c r="L104" s="427">
        <v>44551</v>
      </c>
      <c r="M104" s="420"/>
      <c r="N104" s="420"/>
      <c r="O104" s="420"/>
      <c r="P104" s="420"/>
      <c r="Q104" s="420"/>
      <c r="R104" s="420"/>
      <c r="S104" s="420"/>
      <c r="T104" s="642"/>
      <c r="U104" s="420"/>
      <c r="V104" s="611" t="s">
        <v>132</v>
      </c>
      <c r="W104" s="420"/>
      <c r="X104" s="420"/>
      <c r="Y104" s="420"/>
      <c r="Z104" s="420"/>
      <c r="AA104" s="420"/>
      <c r="AB104" s="642"/>
      <c r="AC104" s="420"/>
      <c r="AD104" s="420"/>
      <c r="AE104" s="420"/>
      <c r="AF104" s="420"/>
      <c r="AG104" s="420"/>
      <c r="AH104" s="420"/>
      <c r="AI104" s="420"/>
      <c r="AJ104" s="420"/>
      <c r="AK104" s="420"/>
      <c r="AL104" s="420"/>
      <c r="AM104" s="642"/>
      <c r="AN104" s="420"/>
      <c r="AO104" s="420"/>
      <c r="AP10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4" s="419">
        <f>WWWW[[#This Row],[%Equitable and continuous access to sufficient quantity of safe drinking water]]*WWWW[[#This Row],[Total PoP ]]</f>
        <v>0</v>
      </c>
      <c r="AR10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4" s="419">
        <f>WWWW[[#This Row],[% Access to unimproved water points]]*WWWW[[#This Row],[Total PoP ]]</f>
        <v>0</v>
      </c>
      <c r="AT10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4" s="419">
        <f>WWWW[[#This Row],[HRP1]]/250</f>
        <v>0</v>
      </c>
      <c r="AW104" s="424">
        <f>1-WWWW[[#This Row],[% Equitable and continuous access to sufficient quantity of domestic water]]</f>
        <v>1</v>
      </c>
      <c r="AX104" s="419">
        <f>WWWW[[#This Row],[%equitable and continuous access to sufficient quantity of safe drinking and domestic water''s GAP]]*WWWW[[#This Row],[Total PoP ]]</f>
        <v>1750</v>
      </c>
      <c r="AY104" s="421">
        <f>IF(WWWW[[#This Row],[Total required water points]]-WWWW[[#This Row],['#Water points coverage]]&lt;0,0,WWWW[[#This Row],[Total required water points]]-WWWW[[#This Row],['#Water points coverage]])</f>
        <v>7</v>
      </c>
      <c r="AZ104" s="421">
        <f>ROUND(IF(WWWW[[#This Row],[Total PoP ]]&lt;250,1,WWWW[[#This Row],[Total PoP ]]/250),0)</f>
        <v>7</v>
      </c>
      <c r="BA10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4" s="419">
        <f>WWWW[[#This Row],[% people access to functioning Latrine]]*WWWW[[#This Row],[Total PoP ]]</f>
        <v>0</v>
      </c>
      <c r="BC104" s="421">
        <f>WWWW[[#This Row],['#_of_Functioning_latrines_in_school]]*50</f>
        <v>0</v>
      </c>
      <c r="BD104" s="421">
        <f>ROUND((WWWW[[#This Row],[Total PoP ]]/6),0)</f>
        <v>292</v>
      </c>
      <c r="BE104" s="421">
        <f>IF(WWWW[[#This Row],[Total required Latrines]]-(WWWW[[#This Row],['#_of_sanitary_fly-proof_HH_latrines]])&lt;0,0,WWWW[[#This Row],[Total required Latrines]]-(WWWW[[#This Row],['#_of_sanitary_fly-proof_HH_latrines]]))</f>
        <v>292</v>
      </c>
      <c r="BF104" s="72">
        <f>1-WWWW[[#This Row],[% people access to functioning Latrine]]</f>
        <v>1</v>
      </c>
      <c r="BG10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04" s="419">
        <f>IF(WWWW[[#This Row],['#_of_functional_handwashing_facilities_at_HH_level]]*6&gt;WWWW[[#This Row],[Total PoP ]],WWWW[[#This Row],[Total PoP ]],WWWW[[#This Row],['#_of_functional_handwashing_facilities_at_HH_level]]*6)</f>
        <v>0</v>
      </c>
      <c r="BI104" s="421">
        <f>IF(WWWW[[#This Row],['# people reached by regular dedicated hygiene promotion]]&gt;WWWW[[#This Row],['# People received regular supply of hygiene items]],WWWW[[#This Row],['# people reached by regular dedicated hygiene promotion]],WWWW[[#This Row],['# People received regular supply of hygiene items]])</f>
        <v>0</v>
      </c>
      <c r="BJ104" s="424">
        <f>IF(WWWW[[#This Row],[HRP3]]/WWWW[[#This Row],[Total PoP ]]&gt;100%,100%,WWWW[[#This Row],[HRP3]]/WWWW[[#This Row],[Total PoP ]])</f>
        <v>0</v>
      </c>
      <c r="BK104" s="423">
        <f>1-WWWW[[#This Row],[Hygiene Coverage%]]</f>
        <v>1</v>
      </c>
      <c r="BL104" s="422">
        <f>WWWW[[#This Row],['# people reached by regular dedicated hygiene promotion]]/WWWW[[#This Row],[Total PoP ]]</f>
        <v>0</v>
      </c>
      <c r="BM10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4" s="421">
        <f>WWWW[[#This Row],['#_of_affected_women_and_girls_receiving_a_sufficient_quantity_of_sanitary_pads]]</f>
        <v>0</v>
      </c>
      <c r="BO104" s="420">
        <f>IF(WWWW[[#This Row],['# People with access to soap]]&gt;WWWW[[#This Row],['# People with access to Sanity Pads]],WWWW[[#This Row],['# People with access to soap]],WWWW[[#This Row],['# People with access to Sanity Pads]])</f>
        <v>0</v>
      </c>
      <c r="BP104" s="419" t="str">
        <f>IF(OR(WWWW[[#This Row],['#of students in school]]="",WWWW[[#This Row],['#of students in school]]=0),"No","Yes")</f>
        <v>No</v>
      </c>
      <c r="BQ104" s="417" t="str">
        <f>VLOOKUP(WWWW[[#This Row],[Village  Name]],SiteDB6[[Site Name]:[Location Type 1]],9,FALSE)</f>
        <v>Village</v>
      </c>
      <c r="BR104" s="417" t="str">
        <f>VLOOKUP(WWWW[[#This Row],[Village  Name]],SiteDB6[[Site Name]:[Type of Accommodation]],10,FALSE)</f>
        <v>Village</v>
      </c>
      <c r="BS104" s="417">
        <f>VLOOKUP(WWWW[[#This Row],[Village  Name]],SiteDB6[[Site Name]:[Ethnic or GCA/NGCA]],11,FALSE)</f>
        <v>0</v>
      </c>
      <c r="BT104" s="417">
        <f>VLOOKUP(WWWW[[#This Row],[Village  Name]],SiteDB6[[Site Name]:[Lat]],12,FALSE)</f>
        <v>0</v>
      </c>
      <c r="BU104" s="417">
        <f>VLOOKUP(WWWW[[#This Row],[Village  Name]],SiteDB6[[Site Name]:[Long]],13,FALSE)</f>
        <v>0</v>
      </c>
      <c r="BV104" s="417">
        <f>VLOOKUP(WWWW[[#This Row],[Village  Name]],SiteDB6[[Site Name]:[Pcode]],3,FALSE)</f>
        <v>0</v>
      </c>
      <c r="BW104" s="425" t="str">
        <f t="shared" si="4"/>
        <v>Covered</v>
      </c>
      <c r="BX104" s="425"/>
      <c r="BY104" s="33"/>
      <c r="CA104" s="431"/>
      <c r="CB104" s="33"/>
      <c r="CC104" s="36"/>
      <c r="CE104" s="37"/>
      <c r="CN104" s="20"/>
    </row>
    <row r="105" spans="1:92" hidden="1">
      <c r="A105" s="412" t="s">
        <v>2380</v>
      </c>
      <c r="B105" s="412" t="s">
        <v>316</v>
      </c>
      <c r="C105" s="418" t="s">
        <v>316</v>
      </c>
      <c r="D105" s="418" t="s">
        <v>309</v>
      </c>
      <c r="E105" s="551" t="s">
        <v>2687</v>
      </c>
      <c r="F105" s="418" t="s">
        <v>314</v>
      </c>
      <c r="G105" s="551" t="str">
        <f>VLOOKUP(WWWW[[#This Row],[Village  Name]],SiteDB6[[Site Name]:[Location Type]],8,FALSE)</f>
        <v>Village</v>
      </c>
      <c r="H105" s="418" t="s">
        <v>467</v>
      </c>
      <c r="I105" s="420">
        <v>125</v>
      </c>
      <c r="J105" s="420">
        <v>513</v>
      </c>
      <c r="K105" s="426">
        <v>42736</v>
      </c>
      <c r="L105" s="427">
        <v>44551</v>
      </c>
      <c r="M105" s="420"/>
      <c r="N105" s="420"/>
      <c r="O105" s="420"/>
      <c r="P105" s="420"/>
      <c r="Q105" s="420"/>
      <c r="R105" s="420"/>
      <c r="S105" s="420"/>
      <c r="T105" s="642"/>
      <c r="U105" s="420"/>
      <c r="V105" s="611" t="s">
        <v>132</v>
      </c>
      <c r="W105" s="420"/>
      <c r="X105" s="420"/>
      <c r="Y105" s="420"/>
      <c r="Z105" s="420"/>
      <c r="AA105" s="420"/>
      <c r="AB105" s="642"/>
      <c r="AC105" s="420"/>
      <c r="AD105" s="420"/>
      <c r="AE105" s="420"/>
      <c r="AF105" s="420"/>
      <c r="AG105" s="420"/>
      <c r="AH105" s="420"/>
      <c r="AI105" s="420"/>
      <c r="AJ105" s="420"/>
      <c r="AK105" s="420"/>
      <c r="AL105" s="420"/>
      <c r="AM105" s="642"/>
      <c r="AN105" s="420"/>
      <c r="AO105" s="420"/>
      <c r="AP10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5" s="419">
        <f>WWWW[[#This Row],[%Equitable and continuous access to sufficient quantity of safe drinking water]]*WWWW[[#This Row],[Total PoP ]]</f>
        <v>0</v>
      </c>
      <c r="AR10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5" s="419">
        <f>WWWW[[#This Row],[% Access to unimproved water points]]*WWWW[[#This Row],[Total PoP ]]</f>
        <v>0</v>
      </c>
      <c r="AT10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5" s="419">
        <f>WWWW[[#This Row],[HRP1]]/250</f>
        <v>0</v>
      </c>
      <c r="AW105" s="424">
        <f>1-WWWW[[#This Row],[% Equitable and continuous access to sufficient quantity of domestic water]]</f>
        <v>1</v>
      </c>
      <c r="AX105" s="419">
        <f>WWWW[[#This Row],[%equitable and continuous access to sufficient quantity of safe drinking and domestic water''s GAP]]*WWWW[[#This Row],[Total PoP ]]</f>
        <v>513</v>
      </c>
      <c r="AY105" s="421">
        <f>IF(WWWW[[#This Row],[Total required water points]]-WWWW[[#This Row],['#Water points coverage]]&lt;0,0,WWWW[[#This Row],[Total required water points]]-WWWW[[#This Row],['#Water points coverage]])</f>
        <v>2</v>
      </c>
      <c r="AZ105" s="421">
        <f>ROUND(IF(WWWW[[#This Row],[Total PoP ]]&lt;250,1,WWWW[[#This Row],[Total PoP ]]/250),0)</f>
        <v>2</v>
      </c>
      <c r="BA10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5" s="419">
        <f>WWWW[[#This Row],[% people access to functioning Latrine]]*WWWW[[#This Row],[Total PoP ]]</f>
        <v>0</v>
      </c>
      <c r="BC105" s="421">
        <f>WWWW[[#This Row],['#_of_Functioning_latrines_in_school]]*50</f>
        <v>0</v>
      </c>
      <c r="BD105" s="421">
        <f>ROUND((WWWW[[#This Row],[Total PoP ]]/6),0)</f>
        <v>86</v>
      </c>
      <c r="BE105" s="421">
        <f>IF(WWWW[[#This Row],[Total required Latrines]]-(WWWW[[#This Row],['#_of_sanitary_fly-proof_HH_latrines]])&lt;0,0,WWWW[[#This Row],[Total required Latrines]]-(WWWW[[#This Row],['#_of_sanitary_fly-proof_HH_latrines]]))</f>
        <v>86</v>
      </c>
      <c r="BF105" s="72">
        <f>1-WWWW[[#This Row],[% people access to functioning Latrine]]</f>
        <v>1</v>
      </c>
      <c r="BG10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05" s="419">
        <f>IF(WWWW[[#This Row],['#_of_functional_handwashing_facilities_at_HH_level]]*6&gt;WWWW[[#This Row],[Total PoP ]],WWWW[[#This Row],[Total PoP ]],WWWW[[#This Row],['#_of_functional_handwashing_facilities_at_HH_level]]*6)</f>
        <v>0</v>
      </c>
      <c r="BI105" s="421">
        <f>IF(WWWW[[#This Row],['# people reached by regular dedicated hygiene promotion]]&gt;WWWW[[#This Row],['# People received regular supply of hygiene items]],WWWW[[#This Row],['# people reached by regular dedicated hygiene promotion]],WWWW[[#This Row],['# People received regular supply of hygiene items]])</f>
        <v>0</v>
      </c>
      <c r="BJ105" s="424">
        <f>IF(WWWW[[#This Row],[HRP3]]/WWWW[[#This Row],[Total PoP ]]&gt;100%,100%,WWWW[[#This Row],[HRP3]]/WWWW[[#This Row],[Total PoP ]])</f>
        <v>0</v>
      </c>
      <c r="BK105" s="423">
        <f>1-WWWW[[#This Row],[Hygiene Coverage%]]</f>
        <v>1</v>
      </c>
      <c r="BL105" s="422">
        <f>WWWW[[#This Row],['# people reached by regular dedicated hygiene promotion]]/WWWW[[#This Row],[Total PoP ]]</f>
        <v>0</v>
      </c>
      <c r="BM10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5" s="421">
        <f>WWWW[[#This Row],['#_of_affected_women_and_girls_receiving_a_sufficient_quantity_of_sanitary_pads]]</f>
        <v>0</v>
      </c>
      <c r="BO105" s="420">
        <f>IF(WWWW[[#This Row],['# People with access to soap]]&gt;WWWW[[#This Row],['# People with access to Sanity Pads]],WWWW[[#This Row],['# People with access to soap]],WWWW[[#This Row],['# People with access to Sanity Pads]])</f>
        <v>0</v>
      </c>
      <c r="BP105" s="419" t="str">
        <f>IF(OR(WWWW[[#This Row],['#of students in school]]="",WWWW[[#This Row],['#of students in school]]=0),"No","Yes")</f>
        <v>No</v>
      </c>
      <c r="BQ105" s="417" t="str">
        <f>VLOOKUP(WWWW[[#This Row],[Village  Name]],SiteDB6[[Site Name]:[Location Type 1]],9,FALSE)</f>
        <v>Village</v>
      </c>
      <c r="BR105" s="417" t="str">
        <f>VLOOKUP(WWWW[[#This Row],[Village  Name]],SiteDB6[[Site Name]:[Type of Accommodation]],10,FALSE)</f>
        <v>Returned</v>
      </c>
      <c r="BS105" s="417" t="str">
        <f>VLOOKUP(WWWW[[#This Row],[Village  Name]],SiteDB6[[Site Name]:[Ethnic or GCA/NGCA]],11,FALSE)</f>
        <v>Muslim</v>
      </c>
      <c r="BT105" s="417">
        <f>VLOOKUP(WWWW[[#This Row],[Village  Name]],SiteDB6[[Site Name]:[Lat]],12,FALSE)</f>
        <v>20.39902</v>
      </c>
      <c r="BU105" s="417">
        <f>VLOOKUP(WWWW[[#This Row],[Village  Name]],SiteDB6[[Site Name]:[Long]],13,FALSE)</f>
        <v>93.249669999999995</v>
      </c>
      <c r="BV105" s="417" t="str">
        <f>VLOOKUP(WWWW[[#This Row],[Village  Name]],SiteDB6[[Site Name]:[Pcode]],3,FALSE)</f>
        <v>MMR012CMP003</v>
      </c>
      <c r="BW105" s="425" t="str">
        <f t="shared" si="4"/>
        <v>Covered</v>
      </c>
      <c r="BX105" s="425"/>
      <c r="BY105" s="33"/>
      <c r="CA105" s="431"/>
      <c r="CB105" s="33"/>
      <c r="CC105" s="36"/>
      <c r="CE105" s="37"/>
      <c r="CN105" s="20"/>
    </row>
    <row r="106" spans="1:92" hidden="1">
      <c r="A106" s="412" t="s">
        <v>2380</v>
      </c>
      <c r="B106" s="412" t="s">
        <v>316</v>
      </c>
      <c r="C106" s="418" t="s">
        <v>316</v>
      </c>
      <c r="D106" s="418" t="s">
        <v>329</v>
      </c>
      <c r="E106" s="551" t="s">
        <v>2687</v>
      </c>
      <c r="F106" s="418" t="s">
        <v>297</v>
      </c>
      <c r="G106" s="551" t="str">
        <f>VLOOKUP(WWWW[[#This Row],[Village  Name]],SiteDB6[[Site Name]:[Location Type]],8,FALSE)</f>
        <v>Village</v>
      </c>
      <c r="H106" s="418" t="s">
        <v>2626</v>
      </c>
      <c r="I106" s="420">
        <v>92</v>
      </c>
      <c r="J106" s="420">
        <v>715</v>
      </c>
      <c r="K106" s="426">
        <v>42736</v>
      </c>
      <c r="L106" s="427">
        <v>44551</v>
      </c>
      <c r="M106" s="420"/>
      <c r="N106" s="420"/>
      <c r="O106" s="420"/>
      <c r="P106" s="420"/>
      <c r="Q106" s="420"/>
      <c r="R106" s="420"/>
      <c r="S106" s="420"/>
      <c r="T106" s="642"/>
      <c r="U106" s="420"/>
      <c r="V106" s="611" t="s">
        <v>132</v>
      </c>
      <c r="W106" s="420"/>
      <c r="X106" s="420"/>
      <c r="Y106" s="420"/>
      <c r="Z106" s="420"/>
      <c r="AA106" s="420"/>
      <c r="AB106" s="642"/>
      <c r="AC106" s="420"/>
      <c r="AD106" s="420"/>
      <c r="AE106" s="420"/>
      <c r="AF106" s="420"/>
      <c r="AG106" s="420"/>
      <c r="AH106" s="420"/>
      <c r="AI106" s="420"/>
      <c r="AJ106" s="420"/>
      <c r="AK106" s="420"/>
      <c r="AL106" s="420"/>
      <c r="AM106" s="642"/>
      <c r="AN106" s="420"/>
      <c r="AO106" s="420"/>
      <c r="AP10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6" s="419">
        <f>WWWW[[#This Row],[%Equitable and continuous access to sufficient quantity of safe drinking water]]*WWWW[[#This Row],[Total PoP ]]</f>
        <v>0</v>
      </c>
      <c r="AR10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6" s="419">
        <f>WWWW[[#This Row],[% Access to unimproved water points]]*WWWW[[#This Row],[Total PoP ]]</f>
        <v>0</v>
      </c>
      <c r="AT10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6" s="419">
        <f>WWWW[[#This Row],[HRP1]]/250</f>
        <v>0</v>
      </c>
      <c r="AW106" s="424">
        <f>1-WWWW[[#This Row],[% Equitable and continuous access to sufficient quantity of domestic water]]</f>
        <v>1</v>
      </c>
      <c r="AX106" s="419">
        <f>WWWW[[#This Row],[%equitable and continuous access to sufficient quantity of safe drinking and domestic water''s GAP]]*WWWW[[#This Row],[Total PoP ]]</f>
        <v>715</v>
      </c>
      <c r="AY106" s="421">
        <f>IF(WWWW[[#This Row],[Total required water points]]-WWWW[[#This Row],['#Water points coverage]]&lt;0,0,WWWW[[#This Row],[Total required water points]]-WWWW[[#This Row],['#Water points coverage]])</f>
        <v>3</v>
      </c>
      <c r="AZ106" s="421">
        <f>ROUND(IF(WWWW[[#This Row],[Total PoP ]]&lt;250,1,WWWW[[#This Row],[Total PoP ]]/250),0)</f>
        <v>3</v>
      </c>
      <c r="BA10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6" s="419">
        <f>WWWW[[#This Row],[% people access to functioning Latrine]]*WWWW[[#This Row],[Total PoP ]]</f>
        <v>0</v>
      </c>
      <c r="BC106" s="421">
        <f>WWWW[[#This Row],['#_of_Functioning_latrines_in_school]]*50</f>
        <v>0</v>
      </c>
      <c r="BD106" s="421">
        <f>ROUND((WWWW[[#This Row],[Total PoP ]]/6),0)</f>
        <v>119</v>
      </c>
      <c r="BE106" s="421">
        <f>IF(WWWW[[#This Row],[Total required Latrines]]-(WWWW[[#This Row],['#_of_sanitary_fly-proof_HH_latrines]])&lt;0,0,WWWW[[#This Row],[Total required Latrines]]-(WWWW[[#This Row],['#_of_sanitary_fly-proof_HH_latrines]]))</f>
        <v>119</v>
      </c>
      <c r="BF106" s="72">
        <f>1-WWWW[[#This Row],[% people access to functioning Latrine]]</f>
        <v>1</v>
      </c>
      <c r="BG10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06" s="419">
        <f>IF(WWWW[[#This Row],['#_of_functional_handwashing_facilities_at_HH_level]]*6&gt;WWWW[[#This Row],[Total PoP ]],WWWW[[#This Row],[Total PoP ]],WWWW[[#This Row],['#_of_functional_handwashing_facilities_at_HH_level]]*6)</f>
        <v>0</v>
      </c>
      <c r="BI106" s="421">
        <f>IF(WWWW[[#This Row],['# people reached by regular dedicated hygiene promotion]]&gt;WWWW[[#This Row],['# People received regular supply of hygiene items]],WWWW[[#This Row],['# people reached by regular dedicated hygiene promotion]],WWWW[[#This Row],['# People received regular supply of hygiene items]])</f>
        <v>0</v>
      </c>
      <c r="BJ106" s="424">
        <f>IF(WWWW[[#This Row],[HRP3]]/WWWW[[#This Row],[Total PoP ]]&gt;100%,100%,WWWW[[#This Row],[HRP3]]/WWWW[[#This Row],[Total PoP ]])</f>
        <v>0</v>
      </c>
      <c r="BK106" s="423">
        <f>1-WWWW[[#This Row],[Hygiene Coverage%]]</f>
        <v>1</v>
      </c>
      <c r="BL106" s="422">
        <f>WWWW[[#This Row],['# people reached by regular dedicated hygiene promotion]]/WWWW[[#This Row],[Total PoP ]]</f>
        <v>0</v>
      </c>
      <c r="BM10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6" s="421">
        <f>WWWW[[#This Row],['#_of_affected_women_and_girls_receiving_a_sufficient_quantity_of_sanitary_pads]]</f>
        <v>0</v>
      </c>
      <c r="BO106" s="420">
        <f>IF(WWWW[[#This Row],['# People with access to soap]]&gt;WWWW[[#This Row],['# People with access to Sanity Pads]],WWWW[[#This Row],['# People with access to soap]],WWWW[[#This Row],['# People with access to Sanity Pads]])</f>
        <v>0</v>
      </c>
      <c r="BP106" s="419" t="str">
        <f>IF(OR(WWWW[[#This Row],['#of students in school]]="",WWWW[[#This Row],['#of students in school]]=0),"No","Yes")</f>
        <v>No</v>
      </c>
      <c r="BQ106" s="417" t="str">
        <f>VLOOKUP(WWWW[[#This Row],[Village  Name]],SiteDB6[[Site Name]:[Location Type 1]],9,FALSE)</f>
        <v>Village</v>
      </c>
      <c r="BR106" s="417" t="str">
        <f>VLOOKUP(WWWW[[#This Row],[Village  Name]],SiteDB6[[Site Name]:[Type of Accommodation]],10,FALSE)</f>
        <v>Village</v>
      </c>
      <c r="BS106" s="417">
        <f>VLOOKUP(WWWW[[#This Row],[Village  Name]],SiteDB6[[Site Name]:[Ethnic or GCA/NGCA]],11,FALSE)</f>
        <v>0</v>
      </c>
      <c r="BT106" s="417">
        <f>VLOOKUP(WWWW[[#This Row],[Village  Name]],SiteDB6[[Site Name]:[Lat]],12,FALSE)</f>
        <v>20.172649383544901</v>
      </c>
      <c r="BU106" s="417">
        <f>VLOOKUP(WWWW[[#This Row],[Village  Name]],SiteDB6[[Site Name]:[Long]],13,FALSE)</f>
        <v>92.874351501464801</v>
      </c>
      <c r="BV106" s="417">
        <f>VLOOKUP(WWWW[[#This Row],[Village  Name]],SiteDB6[[Site Name]:[Pcode]],3,FALSE)</f>
        <v>196195</v>
      </c>
      <c r="BW106" s="425" t="str">
        <f t="shared" si="4"/>
        <v>Covered</v>
      </c>
      <c r="BX106" s="425"/>
      <c r="BY106" s="33"/>
      <c r="CA106" s="431"/>
      <c r="CB106" s="33"/>
      <c r="CC106" s="36"/>
      <c r="CE106" s="37"/>
      <c r="CN106" s="20"/>
    </row>
    <row r="107" spans="1:92" hidden="1">
      <c r="A107" s="412" t="s">
        <v>2380</v>
      </c>
      <c r="B107" s="412" t="s">
        <v>316</v>
      </c>
      <c r="C107" s="418" t="s">
        <v>316</v>
      </c>
      <c r="D107" s="418" t="s">
        <v>329</v>
      </c>
      <c r="E107" s="551" t="s">
        <v>2687</v>
      </c>
      <c r="F107" s="418" t="s">
        <v>297</v>
      </c>
      <c r="G107" s="551" t="str">
        <f>VLOOKUP(WWWW[[#This Row],[Village  Name]],SiteDB6[[Site Name]:[Location Type]],8,FALSE)</f>
        <v>Village</v>
      </c>
      <c r="H107" s="418" t="s">
        <v>431</v>
      </c>
      <c r="I107" s="420">
        <v>381</v>
      </c>
      <c r="J107" s="420">
        <v>2256</v>
      </c>
      <c r="K107" s="426">
        <v>42736</v>
      </c>
      <c r="L107" s="427">
        <v>44551</v>
      </c>
      <c r="M107" s="420"/>
      <c r="N107" s="420"/>
      <c r="O107" s="420"/>
      <c r="P107" s="420"/>
      <c r="Q107" s="420"/>
      <c r="R107" s="420"/>
      <c r="S107" s="420"/>
      <c r="T107" s="642"/>
      <c r="U107" s="420"/>
      <c r="V107" s="611" t="s">
        <v>132</v>
      </c>
      <c r="W107" s="420"/>
      <c r="X107" s="420"/>
      <c r="Y107" s="420"/>
      <c r="Z107" s="420"/>
      <c r="AA107" s="420"/>
      <c r="AB107" s="642"/>
      <c r="AC107" s="420"/>
      <c r="AD107" s="420"/>
      <c r="AE107" s="420"/>
      <c r="AF107" s="420"/>
      <c r="AG107" s="420"/>
      <c r="AH107" s="420"/>
      <c r="AI107" s="420"/>
      <c r="AJ107" s="420"/>
      <c r="AK107" s="420"/>
      <c r="AL107" s="420"/>
      <c r="AM107" s="642"/>
      <c r="AN107" s="420"/>
      <c r="AO107" s="420"/>
      <c r="AP10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7" s="419">
        <f>WWWW[[#This Row],[%Equitable and continuous access to sufficient quantity of safe drinking water]]*WWWW[[#This Row],[Total PoP ]]</f>
        <v>0</v>
      </c>
      <c r="AR10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7" s="419">
        <f>WWWW[[#This Row],[% Access to unimproved water points]]*WWWW[[#This Row],[Total PoP ]]</f>
        <v>0</v>
      </c>
      <c r="AT10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7" s="419">
        <f>WWWW[[#This Row],[HRP1]]/250</f>
        <v>0</v>
      </c>
      <c r="AW107" s="424">
        <f>1-WWWW[[#This Row],[% Equitable and continuous access to sufficient quantity of domestic water]]</f>
        <v>1</v>
      </c>
      <c r="AX107" s="419">
        <f>WWWW[[#This Row],[%equitable and continuous access to sufficient quantity of safe drinking and domestic water''s GAP]]*WWWW[[#This Row],[Total PoP ]]</f>
        <v>2256</v>
      </c>
      <c r="AY107" s="421">
        <f>IF(WWWW[[#This Row],[Total required water points]]-WWWW[[#This Row],['#Water points coverage]]&lt;0,0,WWWW[[#This Row],[Total required water points]]-WWWW[[#This Row],['#Water points coverage]])</f>
        <v>9</v>
      </c>
      <c r="AZ107" s="421">
        <f>ROUND(IF(WWWW[[#This Row],[Total PoP ]]&lt;250,1,WWWW[[#This Row],[Total PoP ]]/250),0)</f>
        <v>9</v>
      </c>
      <c r="BA10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7" s="419">
        <f>WWWW[[#This Row],[% people access to functioning Latrine]]*WWWW[[#This Row],[Total PoP ]]</f>
        <v>0</v>
      </c>
      <c r="BC107" s="421">
        <f>WWWW[[#This Row],['#_of_Functioning_latrines_in_school]]*50</f>
        <v>0</v>
      </c>
      <c r="BD107" s="421">
        <f>ROUND((WWWW[[#This Row],[Total PoP ]]/6),0)</f>
        <v>376</v>
      </c>
      <c r="BE107" s="421">
        <f>IF(WWWW[[#This Row],[Total required Latrines]]-(WWWW[[#This Row],['#_of_sanitary_fly-proof_HH_latrines]])&lt;0,0,WWWW[[#This Row],[Total required Latrines]]-(WWWW[[#This Row],['#_of_sanitary_fly-proof_HH_latrines]]))</f>
        <v>376</v>
      </c>
      <c r="BF107" s="72">
        <f>1-WWWW[[#This Row],[% people access to functioning Latrine]]</f>
        <v>1</v>
      </c>
      <c r="BG10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07" s="419">
        <f>IF(WWWW[[#This Row],['#_of_functional_handwashing_facilities_at_HH_level]]*6&gt;WWWW[[#This Row],[Total PoP ]],WWWW[[#This Row],[Total PoP ]],WWWW[[#This Row],['#_of_functional_handwashing_facilities_at_HH_level]]*6)</f>
        <v>0</v>
      </c>
      <c r="BI107" s="421">
        <f>IF(WWWW[[#This Row],['# people reached by regular dedicated hygiene promotion]]&gt;WWWW[[#This Row],['# People received regular supply of hygiene items]],WWWW[[#This Row],['# people reached by regular dedicated hygiene promotion]],WWWW[[#This Row],['# People received regular supply of hygiene items]])</f>
        <v>0</v>
      </c>
      <c r="BJ107" s="424">
        <f>IF(WWWW[[#This Row],[HRP3]]/WWWW[[#This Row],[Total PoP ]]&gt;100%,100%,WWWW[[#This Row],[HRP3]]/WWWW[[#This Row],[Total PoP ]])</f>
        <v>0</v>
      </c>
      <c r="BK107" s="423">
        <f>1-WWWW[[#This Row],[Hygiene Coverage%]]</f>
        <v>1</v>
      </c>
      <c r="BL107" s="422">
        <f>WWWW[[#This Row],['# people reached by regular dedicated hygiene promotion]]/WWWW[[#This Row],[Total PoP ]]</f>
        <v>0</v>
      </c>
      <c r="BM10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7" s="421">
        <f>WWWW[[#This Row],['#_of_affected_women_and_girls_receiving_a_sufficient_quantity_of_sanitary_pads]]</f>
        <v>0</v>
      </c>
      <c r="BO107" s="420">
        <f>IF(WWWW[[#This Row],['# People with access to soap]]&gt;WWWW[[#This Row],['# People with access to Sanity Pads]],WWWW[[#This Row],['# People with access to soap]],WWWW[[#This Row],['# People with access to Sanity Pads]])</f>
        <v>0</v>
      </c>
      <c r="BP107" s="419" t="str">
        <f>IF(OR(WWWW[[#This Row],['#of students in school]]="",WWWW[[#This Row],['#of students in school]]=0),"No","Yes")</f>
        <v>No</v>
      </c>
      <c r="BQ107" s="417" t="str">
        <f>VLOOKUP(WWWW[[#This Row],[Village  Name]],SiteDB6[[Site Name]:[Location Type 1]],9,FALSE)</f>
        <v>Village</v>
      </c>
      <c r="BR107" s="417" t="str">
        <f>VLOOKUP(WWWW[[#This Row],[Village  Name]],SiteDB6[[Site Name]:[Type of Accommodation]],10,FALSE)</f>
        <v>Village</v>
      </c>
      <c r="BS107" s="417">
        <f>VLOOKUP(WWWW[[#This Row],[Village  Name]],SiteDB6[[Site Name]:[Ethnic or GCA/NGCA]],11,FALSE)</f>
        <v>0</v>
      </c>
      <c r="BT107" s="417">
        <f>VLOOKUP(WWWW[[#This Row],[Village  Name]],SiteDB6[[Site Name]:[Lat]],12,FALSE)</f>
        <v>20.183790210000002</v>
      </c>
      <c r="BU107" s="417">
        <f>VLOOKUP(WWWW[[#This Row],[Village  Name]],SiteDB6[[Site Name]:[Long]],13,FALSE)</f>
        <v>92.864143369999994</v>
      </c>
      <c r="BV107" s="417">
        <f>VLOOKUP(WWWW[[#This Row],[Village  Name]],SiteDB6[[Site Name]:[Pcode]],3,FALSE)</f>
        <v>196197</v>
      </c>
      <c r="BW107" s="425" t="str">
        <f t="shared" si="4"/>
        <v>Covered</v>
      </c>
      <c r="BX107" s="425"/>
      <c r="BY107" s="33"/>
      <c r="CA107" s="431"/>
      <c r="CB107" s="33"/>
      <c r="CC107" s="36"/>
      <c r="CE107" s="37"/>
      <c r="CN107" s="20"/>
    </row>
    <row r="108" spans="1:92" hidden="1">
      <c r="A108" s="412" t="s">
        <v>2380</v>
      </c>
      <c r="B108" s="412" t="s">
        <v>316</v>
      </c>
      <c r="C108" s="418" t="s">
        <v>316</v>
      </c>
      <c r="D108" s="418" t="s">
        <v>329</v>
      </c>
      <c r="E108" s="551" t="s">
        <v>2687</v>
      </c>
      <c r="F108" s="418" t="s">
        <v>297</v>
      </c>
      <c r="G108" s="551" t="str">
        <f>VLOOKUP(WWWW[[#This Row],[Village  Name]],SiteDB6[[Site Name]:[Location Type]],8,FALSE)</f>
        <v>Village</v>
      </c>
      <c r="H108" s="418" t="s">
        <v>2628</v>
      </c>
      <c r="I108" s="420">
        <v>2100</v>
      </c>
      <c r="J108" s="420">
        <v>12993</v>
      </c>
      <c r="K108" s="426">
        <v>42736</v>
      </c>
      <c r="L108" s="427">
        <v>44551</v>
      </c>
      <c r="M108" s="420"/>
      <c r="N108" s="420"/>
      <c r="O108" s="420"/>
      <c r="P108" s="420"/>
      <c r="Q108" s="420"/>
      <c r="R108" s="420"/>
      <c r="S108" s="420"/>
      <c r="T108" s="642"/>
      <c r="U108" s="420"/>
      <c r="V108" s="611" t="s">
        <v>132</v>
      </c>
      <c r="W108" s="420"/>
      <c r="X108" s="420"/>
      <c r="Y108" s="420"/>
      <c r="Z108" s="420"/>
      <c r="AA108" s="420"/>
      <c r="AB108" s="642"/>
      <c r="AC108" s="420"/>
      <c r="AD108" s="420"/>
      <c r="AE108" s="420"/>
      <c r="AF108" s="420"/>
      <c r="AG108" s="420"/>
      <c r="AH108" s="420"/>
      <c r="AI108" s="420"/>
      <c r="AJ108" s="420"/>
      <c r="AK108" s="420"/>
      <c r="AL108" s="420"/>
      <c r="AM108" s="642"/>
      <c r="AN108" s="420"/>
      <c r="AO108" s="420"/>
      <c r="AP10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8" s="419">
        <f>WWWW[[#This Row],[%Equitable and continuous access to sufficient quantity of safe drinking water]]*WWWW[[#This Row],[Total PoP ]]</f>
        <v>0</v>
      </c>
      <c r="AR10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8" s="419">
        <f>WWWW[[#This Row],[% Access to unimproved water points]]*WWWW[[#This Row],[Total PoP ]]</f>
        <v>0</v>
      </c>
      <c r="AT10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8" s="419">
        <f>WWWW[[#This Row],[HRP1]]/250</f>
        <v>0</v>
      </c>
      <c r="AW108" s="424">
        <f>1-WWWW[[#This Row],[% Equitable and continuous access to sufficient quantity of domestic water]]</f>
        <v>1</v>
      </c>
      <c r="AX108" s="419">
        <f>WWWW[[#This Row],[%equitable and continuous access to sufficient quantity of safe drinking and domestic water''s GAP]]*WWWW[[#This Row],[Total PoP ]]</f>
        <v>12993</v>
      </c>
      <c r="AY108" s="421">
        <f>IF(WWWW[[#This Row],[Total required water points]]-WWWW[[#This Row],['#Water points coverage]]&lt;0,0,WWWW[[#This Row],[Total required water points]]-WWWW[[#This Row],['#Water points coverage]])</f>
        <v>52</v>
      </c>
      <c r="AZ108" s="421">
        <f>ROUND(IF(WWWW[[#This Row],[Total PoP ]]&lt;250,1,WWWW[[#This Row],[Total PoP ]]/250),0)</f>
        <v>52</v>
      </c>
      <c r="BA10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8" s="419">
        <f>WWWW[[#This Row],[% people access to functioning Latrine]]*WWWW[[#This Row],[Total PoP ]]</f>
        <v>0</v>
      </c>
      <c r="BC108" s="421">
        <f>WWWW[[#This Row],['#_of_Functioning_latrines_in_school]]*50</f>
        <v>0</v>
      </c>
      <c r="BD108" s="421">
        <f>ROUND((WWWW[[#This Row],[Total PoP ]]/6),0)</f>
        <v>2166</v>
      </c>
      <c r="BE108" s="421">
        <f>IF(WWWW[[#This Row],[Total required Latrines]]-(WWWW[[#This Row],['#_of_sanitary_fly-proof_HH_latrines]])&lt;0,0,WWWW[[#This Row],[Total required Latrines]]-(WWWW[[#This Row],['#_of_sanitary_fly-proof_HH_latrines]]))</f>
        <v>2166</v>
      </c>
      <c r="BF108" s="563">
        <f>1-WWWW[[#This Row],[% people access to functioning Latrine]]</f>
        <v>1</v>
      </c>
      <c r="BG10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08" s="419">
        <f>IF(WWWW[[#This Row],['#_of_functional_handwashing_facilities_at_HH_level]]*6&gt;WWWW[[#This Row],[Total PoP ]],WWWW[[#This Row],[Total PoP ]],WWWW[[#This Row],['#_of_functional_handwashing_facilities_at_HH_level]]*6)</f>
        <v>0</v>
      </c>
      <c r="BI108" s="421">
        <f>IF(WWWW[[#This Row],['# people reached by regular dedicated hygiene promotion]]&gt;WWWW[[#This Row],['# People received regular supply of hygiene items]],WWWW[[#This Row],['# people reached by regular dedicated hygiene promotion]],WWWW[[#This Row],['# People received regular supply of hygiene items]])</f>
        <v>0</v>
      </c>
      <c r="BJ108" s="424">
        <f>IF(WWWW[[#This Row],[HRP3]]/WWWW[[#This Row],[Total PoP ]]&gt;100%,100%,WWWW[[#This Row],[HRP3]]/WWWW[[#This Row],[Total PoP ]])</f>
        <v>0</v>
      </c>
      <c r="BK108" s="423">
        <f>1-WWWW[[#This Row],[Hygiene Coverage%]]</f>
        <v>1</v>
      </c>
      <c r="BL108" s="422">
        <f>WWWW[[#This Row],['# people reached by regular dedicated hygiene promotion]]/WWWW[[#This Row],[Total PoP ]]</f>
        <v>0</v>
      </c>
      <c r="BM10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8" s="421">
        <f>WWWW[[#This Row],['#_of_affected_women_and_girls_receiving_a_sufficient_quantity_of_sanitary_pads]]</f>
        <v>0</v>
      </c>
      <c r="BO108" s="420">
        <f>IF(WWWW[[#This Row],['# People with access to soap]]&gt;WWWW[[#This Row],['# People with access to Sanity Pads]],WWWW[[#This Row],['# People with access to soap]],WWWW[[#This Row],['# People with access to Sanity Pads]])</f>
        <v>0</v>
      </c>
      <c r="BP108" s="419" t="str">
        <f>IF(OR(WWWW[[#This Row],['#of students in school]]="",WWWW[[#This Row],['#of students in school]]=0),"No","Yes")</f>
        <v>No</v>
      </c>
      <c r="BQ108" s="417" t="str">
        <f>VLOOKUP(WWWW[[#This Row],[Village  Name]],SiteDB6[[Site Name]:[Location Type 1]],9,FALSE)</f>
        <v>Village</v>
      </c>
      <c r="BR108" s="417" t="str">
        <f>VLOOKUP(WWWW[[#This Row],[Village  Name]],SiteDB6[[Site Name]:[Type of Accommodation]],10,FALSE)</f>
        <v>Village</v>
      </c>
      <c r="BS108" s="417" t="str">
        <f>VLOOKUP(WWWW[[#This Row],[Village  Name]],SiteDB6[[Site Name]:[Ethnic or GCA/NGCA]],11,FALSE)</f>
        <v>Muslim</v>
      </c>
      <c r="BT108" s="417">
        <f>VLOOKUP(WWWW[[#This Row],[Village  Name]],SiteDB6[[Site Name]:[Lat]],12,FALSE)</f>
        <v>0</v>
      </c>
      <c r="BU108" s="417">
        <f>VLOOKUP(WWWW[[#This Row],[Village  Name]],SiteDB6[[Site Name]:[Long]],13,FALSE)</f>
        <v>0</v>
      </c>
      <c r="BV108" s="417">
        <f>VLOOKUP(WWWW[[#This Row],[Village  Name]],SiteDB6[[Site Name]:[Pcode]],3,FALSE)</f>
        <v>0</v>
      </c>
      <c r="BW108" s="425" t="str">
        <f t="shared" si="4"/>
        <v>Covered</v>
      </c>
      <c r="BX108" s="425"/>
      <c r="BY108" s="33"/>
      <c r="CA108" s="431"/>
      <c r="CB108" s="33"/>
      <c r="CC108" s="36"/>
      <c r="CE108" s="37"/>
      <c r="CN108" s="20"/>
    </row>
    <row r="109" spans="1:92" hidden="1">
      <c r="A109" s="412" t="s">
        <v>2380</v>
      </c>
      <c r="B109" s="412" t="s">
        <v>316</v>
      </c>
      <c r="C109" s="418" t="s">
        <v>316</v>
      </c>
      <c r="D109" s="418" t="s">
        <v>309</v>
      </c>
      <c r="E109" s="551" t="s">
        <v>2687</v>
      </c>
      <c r="F109" s="418" t="s">
        <v>314</v>
      </c>
      <c r="G109" s="551" t="str">
        <f>VLOOKUP(WWWW[[#This Row],[Village  Name]],SiteDB6[[Site Name]:[Location Type]],8,FALSE)</f>
        <v>Village</v>
      </c>
      <c r="H109" s="418" t="s">
        <v>1135</v>
      </c>
      <c r="I109" s="420">
        <v>325</v>
      </c>
      <c r="J109" s="420">
        <v>1923</v>
      </c>
      <c r="K109" s="426">
        <v>42736</v>
      </c>
      <c r="L109" s="427">
        <v>44551</v>
      </c>
      <c r="M109" s="420"/>
      <c r="N109" s="420"/>
      <c r="O109" s="420"/>
      <c r="P109" s="420"/>
      <c r="Q109" s="420"/>
      <c r="R109" s="420"/>
      <c r="S109" s="420"/>
      <c r="T109" s="642"/>
      <c r="U109" s="420"/>
      <c r="V109" s="611" t="s">
        <v>132</v>
      </c>
      <c r="W109" s="420"/>
      <c r="X109" s="420"/>
      <c r="Y109" s="420"/>
      <c r="Z109" s="420"/>
      <c r="AA109" s="420"/>
      <c r="AB109" s="642"/>
      <c r="AC109" s="420"/>
      <c r="AD109" s="420"/>
      <c r="AE109" s="420"/>
      <c r="AF109" s="420"/>
      <c r="AG109" s="420"/>
      <c r="AH109" s="420"/>
      <c r="AI109" s="420"/>
      <c r="AJ109" s="420"/>
      <c r="AK109" s="420"/>
      <c r="AL109" s="420"/>
      <c r="AM109" s="642"/>
      <c r="AN109" s="420"/>
      <c r="AO109" s="420"/>
      <c r="AP10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09" s="419">
        <f>WWWW[[#This Row],[%Equitable and continuous access to sufficient quantity of safe drinking water]]*WWWW[[#This Row],[Total PoP ]]</f>
        <v>0</v>
      </c>
      <c r="AR10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09" s="419">
        <f>WWWW[[#This Row],[% Access to unimproved water points]]*WWWW[[#This Row],[Total PoP ]]</f>
        <v>0</v>
      </c>
      <c r="AT10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0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09" s="419">
        <f>WWWW[[#This Row],[HRP1]]/250</f>
        <v>0</v>
      </c>
      <c r="AW109" s="424">
        <f>1-WWWW[[#This Row],[% Equitable and continuous access to sufficient quantity of domestic water]]</f>
        <v>1</v>
      </c>
      <c r="AX109" s="419">
        <f>WWWW[[#This Row],[%equitable and continuous access to sufficient quantity of safe drinking and domestic water''s GAP]]*WWWW[[#This Row],[Total PoP ]]</f>
        <v>1923</v>
      </c>
      <c r="AY109" s="421">
        <f>IF(WWWW[[#This Row],[Total required water points]]-WWWW[[#This Row],['#Water points coverage]]&lt;0,0,WWWW[[#This Row],[Total required water points]]-WWWW[[#This Row],['#Water points coverage]])</f>
        <v>8</v>
      </c>
      <c r="AZ109" s="421">
        <f>ROUND(IF(WWWW[[#This Row],[Total PoP ]]&lt;250,1,WWWW[[#This Row],[Total PoP ]]/250),0)</f>
        <v>8</v>
      </c>
      <c r="BA10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09" s="419">
        <f>WWWW[[#This Row],[% people access to functioning Latrine]]*WWWW[[#This Row],[Total PoP ]]</f>
        <v>0</v>
      </c>
      <c r="BC109" s="421">
        <f>WWWW[[#This Row],['#_of_Functioning_latrines_in_school]]*50</f>
        <v>0</v>
      </c>
      <c r="BD109" s="421">
        <f>ROUND((WWWW[[#This Row],[Total PoP ]]/6),0)</f>
        <v>321</v>
      </c>
      <c r="BE109" s="421">
        <f>IF(WWWW[[#This Row],[Total required Latrines]]-(WWWW[[#This Row],['#_of_sanitary_fly-proof_HH_latrines]])&lt;0,0,WWWW[[#This Row],[Total required Latrines]]-(WWWW[[#This Row],['#_of_sanitary_fly-proof_HH_latrines]]))</f>
        <v>321</v>
      </c>
      <c r="BF109" s="563">
        <f>1-WWWW[[#This Row],[% people access to functioning Latrine]]</f>
        <v>1</v>
      </c>
      <c r="BG10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09" s="419">
        <f>IF(WWWW[[#This Row],['#_of_functional_handwashing_facilities_at_HH_level]]*6&gt;WWWW[[#This Row],[Total PoP ]],WWWW[[#This Row],[Total PoP ]],WWWW[[#This Row],['#_of_functional_handwashing_facilities_at_HH_level]]*6)</f>
        <v>0</v>
      </c>
      <c r="BI109" s="421">
        <f>IF(WWWW[[#This Row],['# people reached by regular dedicated hygiene promotion]]&gt;WWWW[[#This Row],['# People received regular supply of hygiene items]],WWWW[[#This Row],['# people reached by regular dedicated hygiene promotion]],WWWW[[#This Row],['# People received regular supply of hygiene items]])</f>
        <v>0</v>
      </c>
      <c r="BJ109" s="424">
        <f>IF(WWWW[[#This Row],[HRP3]]/WWWW[[#This Row],[Total PoP ]]&gt;100%,100%,WWWW[[#This Row],[HRP3]]/WWWW[[#This Row],[Total PoP ]])</f>
        <v>0</v>
      </c>
      <c r="BK109" s="423">
        <f>1-WWWW[[#This Row],[Hygiene Coverage%]]</f>
        <v>1</v>
      </c>
      <c r="BL109" s="422">
        <f>WWWW[[#This Row],['# people reached by regular dedicated hygiene promotion]]/WWWW[[#This Row],[Total PoP ]]</f>
        <v>0</v>
      </c>
      <c r="BM10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09" s="421">
        <f>WWWW[[#This Row],['#_of_affected_women_and_girls_receiving_a_sufficient_quantity_of_sanitary_pads]]</f>
        <v>0</v>
      </c>
      <c r="BO109" s="420">
        <f>IF(WWWW[[#This Row],['# People with access to soap]]&gt;WWWW[[#This Row],['# People with access to Sanity Pads]],WWWW[[#This Row],['# People with access to soap]],WWWW[[#This Row],['# People with access to Sanity Pads]])</f>
        <v>0</v>
      </c>
      <c r="BP109" s="419" t="str">
        <f>IF(OR(WWWW[[#This Row],['#of students in school]]="",WWWW[[#This Row],['#of students in school]]=0),"No","Yes")</f>
        <v>No</v>
      </c>
      <c r="BQ109" s="417" t="str">
        <f>VLOOKUP(WWWW[[#This Row],[Village  Name]],SiteDB6[[Site Name]:[Location Type 1]],9,FALSE)</f>
        <v>Village</v>
      </c>
      <c r="BR109" s="417" t="str">
        <f>VLOOKUP(WWWW[[#This Row],[Village  Name]],SiteDB6[[Site Name]:[Type of Accommodation]],10,FALSE)</f>
        <v>Village</v>
      </c>
      <c r="BS109" s="417" t="str">
        <f>VLOOKUP(WWWW[[#This Row],[Village  Name]],SiteDB6[[Site Name]:[Ethnic or GCA/NGCA]],11,FALSE)</f>
        <v>Muslim</v>
      </c>
      <c r="BT109" s="417">
        <f>VLOOKUP(WWWW[[#This Row],[Village  Name]],SiteDB6[[Site Name]:[Lat]],12,FALSE)</f>
        <v>0</v>
      </c>
      <c r="BU109" s="417">
        <f>VLOOKUP(WWWW[[#This Row],[Village  Name]],SiteDB6[[Site Name]:[Long]],13,FALSE)</f>
        <v>0</v>
      </c>
      <c r="BV109" s="417">
        <f>VLOOKUP(WWWW[[#This Row],[Village  Name]],SiteDB6[[Site Name]:[Pcode]],3,FALSE)</f>
        <v>196999</v>
      </c>
      <c r="BW109" s="425" t="str">
        <f t="shared" si="4"/>
        <v>Covered</v>
      </c>
      <c r="BX109" s="425"/>
      <c r="BY109" s="33"/>
      <c r="CA109" s="431"/>
      <c r="CB109" s="33"/>
      <c r="CC109" s="36"/>
      <c r="CE109" s="37"/>
      <c r="CN109" s="20"/>
    </row>
    <row r="110" spans="1:92" hidden="1">
      <c r="A110" s="412" t="s">
        <v>2380</v>
      </c>
      <c r="B110" s="412" t="s">
        <v>316</v>
      </c>
      <c r="C110" s="418" t="s">
        <v>316</v>
      </c>
      <c r="D110" s="418" t="s">
        <v>309</v>
      </c>
      <c r="E110" s="551" t="s">
        <v>2687</v>
      </c>
      <c r="F110" s="418" t="s">
        <v>314</v>
      </c>
      <c r="G110" s="551" t="str">
        <f>VLOOKUP(WWWW[[#This Row],[Village  Name]],SiteDB6[[Site Name]:[Location Type]],8,FALSE)</f>
        <v>Village</v>
      </c>
      <c r="H110" s="418" t="s">
        <v>2629</v>
      </c>
      <c r="I110" s="420">
        <v>146</v>
      </c>
      <c r="J110" s="420">
        <v>801</v>
      </c>
      <c r="K110" s="426">
        <v>42736</v>
      </c>
      <c r="L110" s="427">
        <v>44551</v>
      </c>
      <c r="M110" s="420"/>
      <c r="N110" s="420"/>
      <c r="O110" s="420"/>
      <c r="P110" s="420"/>
      <c r="Q110" s="420"/>
      <c r="R110" s="420"/>
      <c r="S110" s="420"/>
      <c r="T110" s="642"/>
      <c r="U110" s="420"/>
      <c r="V110" s="611" t="s">
        <v>132</v>
      </c>
      <c r="W110" s="420"/>
      <c r="X110" s="420"/>
      <c r="Y110" s="420"/>
      <c r="Z110" s="420"/>
      <c r="AA110" s="420"/>
      <c r="AB110" s="642"/>
      <c r="AC110" s="420"/>
      <c r="AD110" s="420"/>
      <c r="AE110" s="420"/>
      <c r="AF110" s="420"/>
      <c r="AG110" s="420"/>
      <c r="AH110" s="420"/>
      <c r="AI110" s="420"/>
      <c r="AJ110" s="420"/>
      <c r="AK110" s="420"/>
      <c r="AL110" s="420"/>
      <c r="AM110" s="642"/>
      <c r="AN110" s="420"/>
      <c r="AO110" s="420"/>
      <c r="AP11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0" s="419">
        <f>WWWW[[#This Row],[%Equitable and continuous access to sufficient quantity of safe drinking water]]*WWWW[[#This Row],[Total PoP ]]</f>
        <v>0</v>
      </c>
      <c r="AR11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0" s="419">
        <f>WWWW[[#This Row],[% Access to unimproved water points]]*WWWW[[#This Row],[Total PoP ]]</f>
        <v>0</v>
      </c>
      <c r="AT11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0" s="419">
        <f>WWWW[[#This Row],[HRP1]]/250</f>
        <v>0</v>
      </c>
      <c r="AW110" s="424">
        <f>1-WWWW[[#This Row],[% Equitable and continuous access to sufficient quantity of domestic water]]</f>
        <v>1</v>
      </c>
      <c r="AX110" s="419">
        <f>WWWW[[#This Row],[%equitable and continuous access to sufficient quantity of safe drinking and domestic water''s GAP]]*WWWW[[#This Row],[Total PoP ]]</f>
        <v>801</v>
      </c>
      <c r="AY110" s="421">
        <f>IF(WWWW[[#This Row],[Total required water points]]-WWWW[[#This Row],['#Water points coverage]]&lt;0,0,WWWW[[#This Row],[Total required water points]]-WWWW[[#This Row],['#Water points coverage]])</f>
        <v>3</v>
      </c>
      <c r="AZ110" s="421">
        <f>ROUND(IF(WWWW[[#This Row],[Total PoP ]]&lt;250,1,WWWW[[#This Row],[Total PoP ]]/250),0)</f>
        <v>3</v>
      </c>
      <c r="BA11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0" s="419">
        <f>WWWW[[#This Row],[% people access to functioning Latrine]]*WWWW[[#This Row],[Total PoP ]]</f>
        <v>0</v>
      </c>
      <c r="BC110" s="421">
        <f>WWWW[[#This Row],['#_of_Functioning_latrines_in_school]]*50</f>
        <v>0</v>
      </c>
      <c r="BD110" s="421">
        <f>ROUND((WWWW[[#This Row],[Total PoP ]]/6),0)</f>
        <v>134</v>
      </c>
      <c r="BE110" s="421">
        <f>IF(WWWW[[#This Row],[Total required Latrines]]-(WWWW[[#This Row],['#_of_sanitary_fly-proof_HH_latrines]])&lt;0,0,WWWW[[#This Row],[Total required Latrines]]-(WWWW[[#This Row],['#_of_sanitary_fly-proof_HH_latrines]]))</f>
        <v>134</v>
      </c>
      <c r="BF110" s="563">
        <f>1-WWWW[[#This Row],[% people access to functioning Latrine]]</f>
        <v>1</v>
      </c>
      <c r="BG11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0" s="419">
        <f>IF(WWWW[[#This Row],['#_of_functional_handwashing_facilities_at_HH_level]]*6&gt;WWWW[[#This Row],[Total PoP ]],WWWW[[#This Row],[Total PoP ]],WWWW[[#This Row],['#_of_functional_handwashing_facilities_at_HH_level]]*6)</f>
        <v>0</v>
      </c>
      <c r="BI110" s="421">
        <f>IF(WWWW[[#This Row],['# people reached by regular dedicated hygiene promotion]]&gt;WWWW[[#This Row],['# People received regular supply of hygiene items]],WWWW[[#This Row],['# people reached by regular dedicated hygiene promotion]],WWWW[[#This Row],['# People received regular supply of hygiene items]])</f>
        <v>0</v>
      </c>
      <c r="BJ110" s="424">
        <f>IF(WWWW[[#This Row],[HRP3]]/WWWW[[#This Row],[Total PoP ]]&gt;100%,100%,WWWW[[#This Row],[HRP3]]/WWWW[[#This Row],[Total PoP ]])</f>
        <v>0</v>
      </c>
      <c r="BK110" s="423">
        <f>1-WWWW[[#This Row],[Hygiene Coverage%]]</f>
        <v>1</v>
      </c>
      <c r="BL110" s="422">
        <f>WWWW[[#This Row],['# people reached by regular dedicated hygiene promotion]]/WWWW[[#This Row],[Total PoP ]]</f>
        <v>0</v>
      </c>
      <c r="BM11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0" s="421">
        <f>WWWW[[#This Row],['#_of_affected_women_and_girls_receiving_a_sufficient_quantity_of_sanitary_pads]]</f>
        <v>0</v>
      </c>
      <c r="BO110" s="420">
        <f>IF(WWWW[[#This Row],['# People with access to soap]]&gt;WWWW[[#This Row],['# People with access to Sanity Pads]],WWWW[[#This Row],['# People with access to soap]],WWWW[[#This Row],['# People with access to Sanity Pads]])</f>
        <v>0</v>
      </c>
      <c r="BP110" s="419" t="str">
        <f>IF(OR(WWWW[[#This Row],['#of students in school]]="",WWWW[[#This Row],['#of students in school]]=0),"No","Yes")</f>
        <v>No</v>
      </c>
      <c r="BQ110" s="417" t="str">
        <f>VLOOKUP(WWWW[[#This Row],[Village  Name]],SiteDB6[[Site Name]:[Location Type 1]],9,FALSE)</f>
        <v>Village</v>
      </c>
      <c r="BR110" s="417" t="str">
        <f>VLOOKUP(WWWW[[#This Row],[Village  Name]],SiteDB6[[Site Name]:[Type of Accommodation]],10,FALSE)</f>
        <v>Village</v>
      </c>
      <c r="BS110" s="417">
        <f>VLOOKUP(WWWW[[#This Row],[Village  Name]],SiteDB6[[Site Name]:[Ethnic or GCA/NGCA]],11,FALSE)</f>
        <v>0</v>
      </c>
      <c r="BT110" s="417">
        <f>VLOOKUP(WWWW[[#This Row],[Village  Name]],SiteDB6[[Site Name]:[Lat]],12,FALSE)</f>
        <v>0</v>
      </c>
      <c r="BU110" s="417">
        <f>VLOOKUP(WWWW[[#This Row],[Village  Name]],SiteDB6[[Site Name]:[Long]],13,FALSE)</f>
        <v>0</v>
      </c>
      <c r="BV110" s="417">
        <f>VLOOKUP(WWWW[[#This Row],[Village  Name]],SiteDB6[[Site Name]:[Pcode]],3,FALSE)</f>
        <v>197017</v>
      </c>
      <c r="BW110" s="425" t="str">
        <f t="shared" si="4"/>
        <v>Covered</v>
      </c>
      <c r="BX110" s="425"/>
      <c r="BY110" s="33"/>
      <c r="CA110" s="431"/>
      <c r="CB110" s="33"/>
      <c r="CC110" s="36"/>
      <c r="CE110" s="37"/>
      <c r="CN110" s="20"/>
    </row>
    <row r="111" spans="1:92" hidden="1">
      <c r="A111" s="412" t="s">
        <v>2380</v>
      </c>
      <c r="B111" s="412" t="s">
        <v>316</v>
      </c>
      <c r="C111" s="418" t="s">
        <v>316</v>
      </c>
      <c r="D111" s="418" t="s">
        <v>309</v>
      </c>
      <c r="E111" s="551" t="s">
        <v>2687</v>
      </c>
      <c r="F111" s="418" t="s">
        <v>314</v>
      </c>
      <c r="G111" s="551" t="str">
        <f>VLOOKUP(WWWW[[#This Row],[Village  Name]],SiteDB6[[Site Name]:[Location Type]],8,FALSE)</f>
        <v>Village</v>
      </c>
      <c r="H111" s="418" t="s">
        <v>2630</v>
      </c>
      <c r="I111" s="420">
        <v>31</v>
      </c>
      <c r="J111" s="420">
        <v>156</v>
      </c>
      <c r="K111" s="426">
        <v>42736</v>
      </c>
      <c r="L111" s="427">
        <v>44551</v>
      </c>
      <c r="M111" s="420"/>
      <c r="N111" s="420"/>
      <c r="O111" s="420"/>
      <c r="P111" s="420"/>
      <c r="Q111" s="420"/>
      <c r="R111" s="420"/>
      <c r="S111" s="420"/>
      <c r="T111" s="642"/>
      <c r="U111" s="420"/>
      <c r="V111" s="611" t="s">
        <v>132</v>
      </c>
      <c r="W111" s="420"/>
      <c r="X111" s="420"/>
      <c r="Y111" s="420"/>
      <c r="Z111" s="420"/>
      <c r="AA111" s="420"/>
      <c r="AB111" s="642"/>
      <c r="AC111" s="420"/>
      <c r="AD111" s="420"/>
      <c r="AE111" s="420"/>
      <c r="AF111" s="420"/>
      <c r="AG111" s="420"/>
      <c r="AH111" s="420"/>
      <c r="AI111" s="420"/>
      <c r="AJ111" s="420"/>
      <c r="AK111" s="420"/>
      <c r="AL111" s="420"/>
      <c r="AM111" s="642"/>
      <c r="AN111" s="420"/>
      <c r="AO111" s="420"/>
      <c r="AP11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1" s="419">
        <f>WWWW[[#This Row],[%Equitable and continuous access to sufficient quantity of safe drinking water]]*WWWW[[#This Row],[Total PoP ]]</f>
        <v>0</v>
      </c>
      <c r="AR11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1" s="419">
        <f>WWWW[[#This Row],[% Access to unimproved water points]]*WWWW[[#This Row],[Total PoP ]]</f>
        <v>0</v>
      </c>
      <c r="AT11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1" s="419">
        <f>WWWW[[#This Row],[HRP1]]/250</f>
        <v>0</v>
      </c>
      <c r="AW111" s="424">
        <f>1-WWWW[[#This Row],[% Equitable and continuous access to sufficient quantity of domestic water]]</f>
        <v>1</v>
      </c>
      <c r="AX111" s="419">
        <f>WWWW[[#This Row],[%equitable and continuous access to sufficient quantity of safe drinking and domestic water''s GAP]]*WWWW[[#This Row],[Total PoP ]]</f>
        <v>156</v>
      </c>
      <c r="AY111" s="421">
        <f>IF(WWWW[[#This Row],[Total required water points]]-WWWW[[#This Row],['#Water points coverage]]&lt;0,0,WWWW[[#This Row],[Total required water points]]-WWWW[[#This Row],['#Water points coverage]])</f>
        <v>1</v>
      </c>
      <c r="AZ111" s="421">
        <f>ROUND(IF(WWWW[[#This Row],[Total PoP ]]&lt;250,1,WWWW[[#This Row],[Total PoP ]]/250),0)</f>
        <v>1</v>
      </c>
      <c r="BA11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1" s="419">
        <f>WWWW[[#This Row],[% people access to functioning Latrine]]*WWWW[[#This Row],[Total PoP ]]</f>
        <v>0</v>
      </c>
      <c r="BC111" s="421">
        <f>WWWW[[#This Row],['#_of_Functioning_latrines_in_school]]*50</f>
        <v>0</v>
      </c>
      <c r="BD111" s="421">
        <f>ROUND((WWWW[[#This Row],[Total PoP ]]/6),0)</f>
        <v>26</v>
      </c>
      <c r="BE111" s="421">
        <f>IF(WWWW[[#This Row],[Total required Latrines]]-(WWWW[[#This Row],['#_of_sanitary_fly-proof_HH_latrines]])&lt;0,0,WWWW[[#This Row],[Total required Latrines]]-(WWWW[[#This Row],['#_of_sanitary_fly-proof_HH_latrines]]))</f>
        <v>26</v>
      </c>
      <c r="BF111" s="563">
        <f>1-WWWW[[#This Row],[% people access to functioning Latrine]]</f>
        <v>1</v>
      </c>
      <c r="BG11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1" s="419">
        <f>IF(WWWW[[#This Row],['#_of_functional_handwashing_facilities_at_HH_level]]*6&gt;WWWW[[#This Row],[Total PoP ]],WWWW[[#This Row],[Total PoP ]],WWWW[[#This Row],['#_of_functional_handwashing_facilities_at_HH_level]]*6)</f>
        <v>0</v>
      </c>
      <c r="BI111" s="421">
        <f>IF(WWWW[[#This Row],['# people reached by regular dedicated hygiene promotion]]&gt;WWWW[[#This Row],['# People received regular supply of hygiene items]],WWWW[[#This Row],['# people reached by regular dedicated hygiene promotion]],WWWW[[#This Row],['# People received regular supply of hygiene items]])</f>
        <v>0</v>
      </c>
      <c r="BJ111" s="424">
        <f>IF(WWWW[[#This Row],[HRP3]]/WWWW[[#This Row],[Total PoP ]]&gt;100%,100%,WWWW[[#This Row],[HRP3]]/WWWW[[#This Row],[Total PoP ]])</f>
        <v>0</v>
      </c>
      <c r="BK111" s="423">
        <f>1-WWWW[[#This Row],[Hygiene Coverage%]]</f>
        <v>1</v>
      </c>
      <c r="BL111" s="422">
        <f>WWWW[[#This Row],['# people reached by regular dedicated hygiene promotion]]/WWWW[[#This Row],[Total PoP ]]</f>
        <v>0</v>
      </c>
      <c r="BM11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1" s="421">
        <f>WWWW[[#This Row],['#_of_affected_women_and_girls_receiving_a_sufficient_quantity_of_sanitary_pads]]</f>
        <v>0</v>
      </c>
      <c r="BO111" s="420">
        <f>IF(WWWW[[#This Row],['# People with access to soap]]&gt;WWWW[[#This Row],['# People with access to Sanity Pads]],WWWW[[#This Row],['# People with access to soap]],WWWW[[#This Row],['# People with access to Sanity Pads]])</f>
        <v>0</v>
      </c>
      <c r="BP111" s="419" t="str">
        <f>IF(OR(WWWW[[#This Row],['#of students in school]]="",WWWW[[#This Row],['#of students in school]]=0),"No","Yes")</f>
        <v>No</v>
      </c>
      <c r="BQ111" s="417" t="str">
        <f>VLOOKUP(WWWW[[#This Row],[Village  Name]],SiteDB6[[Site Name]:[Location Type 1]],9,FALSE)</f>
        <v>Village</v>
      </c>
      <c r="BR111" s="417" t="str">
        <f>VLOOKUP(WWWW[[#This Row],[Village  Name]],SiteDB6[[Site Name]:[Type of Accommodation]],10,FALSE)</f>
        <v>Village</v>
      </c>
      <c r="BS111" s="417">
        <f>VLOOKUP(WWWW[[#This Row],[Village  Name]],SiteDB6[[Site Name]:[Ethnic or GCA/NGCA]],11,FALSE)</f>
        <v>0</v>
      </c>
      <c r="BT111" s="417">
        <f>VLOOKUP(WWWW[[#This Row],[Village  Name]],SiteDB6[[Site Name]:[Lat]],12,FALSE)</f>
        <v>0</v>
      </c>
      <c r="BU111" s="417">
        <f>VLOOKUP(WWWW[[#This Row],[Village  Name]],SiteDB6[[Site Name]:[Long]],13,FALSE)</f>
        <v>0</v>
      </c>
      <c r="BV111" s="417">
        <f>VLOOKUP(WWWW[[#This Row],[Village  Name]],SiteDB6[[Site Name]:[Pcode]],3,FALSE)</f>
        <v>197022</v>
      </c>
      <c r="BW111" s="425" t="str">
        <f t="shared" si="4"/>
        <v>Covered</v>
      </c>
      <c r="BX111" s="425"/>
      <c r="BY111" s="33"/>
      <c r="CA111" s="431"/>
      <c r="CB111" s="33"/>
      <c r="CC111" s="36"/>
      <c r="CE111" s="37"/>
      <c r="CN111" s="20"/>
    </row>
    <row r="112" spans="1:92" hidden="1">
      <c r="A112" s="412" t="s">
        <v>2380</v>
      </c>
      <c r="B112" s="412" t="s">
        <v>316</v>
      </c>
      <c r="C112" s="418" t="s">
        <v>316</v>
      </c>
      <c r="D112" s="418" t="s">
        <v>309</v>
      </c>
      <c r="E112" s="551" t="s">
        <v>2687</v>
      </c>
      <c r="F112" s="418" t="s">
        <v>314</v>
      </c>
      <c r="G112" s="551" t="str">
        <f>VLOOKUP(WWWW[[#This Row],[Village  Name]],SiteDB6[[Site Name]:[Location Type]],8,FALSE)</f>
        <v>Village</v>
      </c>
      <c r="H112" s="418" t="s">
        <v>2631</v>
      </c>
      <c r="I112" s="420">
        <v>96</v>
      </c>
      <c r="J112" s="420">
        <v>329</v>
      </c>
      <c r="K112" s="426">
        <v>42736</v>
      </c>
      <c r="L112" s="427">
        <v>44551</v>
      </c>
      <c r="M112" s="420"/>
      <c r="N112" s="420"/>
      <c r="O112" s="420"/>
      <c r="P112" s="420"/>
      <c r="Q112" s="420"/>
      <c r="R112" s="420"/>
      <c r="S112" s="420"/>
      <c r="T112" s="642"/>
      <c r="U112" s="420"/>
      <c r="V112" s="611" t="s">
        <v>132</v>
      </c>
      <c r="W112" s="420"/>
      <c r="X112" s="420"/>
      <c r="Y112" s="420"/>
      <c r="Z112" s="420"/>
      <c r="AA112" s="420"/>
      <c r="AB112" s="642"/>
      <c r="AC112" s="420"/>
      <c r="AD112" s="420"/>
      <c r="AE112" s="420"/>
      <c r="AF112" s="420"/>
      <c r="AG112" s="420"/>
      <c r="AH112" s="420"/>
      <c r="AI112" s="420"/>
      <c r="AJ112" s="420"/>
      <c r="AK112" s="420"/>
      <c r="AL112" s="420"/>
      <c r="AM112" s="642"/>
      <c r="AN112" s="420"/>
      <c r="AO112" s="420"/>
      <c r="AP11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2" s="419">
        <f>WWWW[[#This Row],[%Equitable and continuous access to sufficient quantity of safe drinking water]]*WWWW[[#This Row],[Total PoP ]]</f>
        <v>0</v>
      </c>
      <c r="AR11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2" s="419">
        <f>WWWW[[#This Row],[% Access to unimproved water points]]*WWWW[[#This Row],[Total PoP ]]</f>
        <v>0</v>
      </c>
      <c r="AT11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2" s="419">
        <f>WWWW[[#This Row],[HRP1]]/250</f>
        <v>0</v>
      </c>
      <c r="AW112" s="424">
        <f>1-WWWW[[#This Row],[% Equitable and continuous access to sufficient quantity of domestic water]]</f>
        <v>1</v>
      </c>
      <c r="AX112" s="419">
        <f>WWWW[[#This Row],[%equitable and continuous access to sufficient quantity of safe drinking and domestic water''s GAP]]*WWWW[[#This Row],[Total PoP ]]</f>
        <v>329</v>
      </c>
      <c r="AY112" s="421">
        <f>IF(WWWW[[#This Row],[Total required water points]]-WWWW[[#This Row],['#Water points coverage]]&lt;0,0,WWWW[[#This Row],[Total required water points]]-WWWW[[#This Row],['#Water points coverage]])</f>
        <v>1</v>
      </c>
      <c r="AZ112" s="421">
        <f>ROUND(IF(WWWW[[#This Row],[Total PoP ]]&lt;250,1,WWWW[[#This Row],[Total PoP ]]/250),0)</f>
        <v>1</v>
      </c>
      <c r="BA11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2" s="419">
        <f>WWWW[[#This Row],[% people access to functioning Latrine]]*WWWW[[#This Row],[Total PoP ]]</f>
        <v>0</v>
      </c>
      <c r="BC112" s="421">
        <f>WWWW[[#This Row],['#_of_Functioning_latrines_in_school]]*50</f>
        <v>0</v>
      </c>
      <c r="BD112" s="421">
        <f>ROUND((WWWW[[#This Row],[Total PoP ]]/6),0)</f>
        <v>55</v>
      </c>
      <c r="BE112" s="421">
        <f>IF(WWWW[[#This Row],[Total required Latrines]]-(WWWW[[#This Row],['#_of_sanitary_fly-proof_HH_latrines]])&lt;0,0,WWWW[[#This Row],[Total required Latrines]]-(WWWW[[#This Row],['#_of_sanitary_fly-proof_HH_latrines]]))</f>
        <v>55</v>
      </c>
      <c r="BF112" s="563">
        <f>1-WWWW[[#This Row],[% people access to functioning Latrine]]</f>
        <v>1</v>
      </c>
      <c r="BG11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2" s="419">
        <f>IF(WWWW[[#This Row],['#_of_functional_handwashing_facilities_at_HH_level]]*6&gt;WWWW[[#This Row],[Total PoP ]],WWWW[[#This Row],[Total PoP ]],WWWW[[#This Row],['#_of_functional_handwashing_facilities_at_HH_level]]*6)</f>
        <v>0</v>
      </c>
      <c r="BI112" s="421">
        <f>IF(WWWW[[#This Row],['# people reached by regular dedicated hygiene promotion]]&gt;WWWW[[#This Row],['# People received regular supply of hygiene items]],WWWW[[#This Row],['# people reached by regular dedicated hygiene promotion]],WWWW[[#This Row],['# People received regular supply of hygiene items]])</f>
        <v>0</v>
      </c>
      <c r="BJ112" s="424">
        <f>IF(WWWW[[#This Row],[HRP3]]/WWWW[[#This Row],[Total PoP ]]&gt;100%,100%,WWWW[[#This Row],[HRP3]]/WWWW[[#This Row],[Total PoP ]])</f>
        <v>0</v>
      </c>
      <c r="BK112" s="423">
        <f>1-WWWW[[#This Row],[Hygiene Coverage%]]</f>
        <v>1</v>
      </c>
      <c r="BL112" s="422">
        <f>WWWW[[#This Row],['# people reached by regular dedicated hygiene promotion]]/WWWW[[#This Row],[Total PoP ]]</f>
        <v>0</v>
      </c>
      <c r="BM11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2" s="421">
        <f>WWWW[[#This Row],['#_of_affected_women_and_girls_receiving_a_sufficient_quantity_of_sanitary_pads]]</f>
        <v>0</v>
      </c>
      <c r="BO112" s="420">
        <f>IF(WWWW[[#This Row],['# People with access to soap]]&gt;WWWW[[#This Row],['# People with access to Sanity Pads]],WWWW[[#This Row],['# People with access to soap]],WWWW[[#This Row],['# People with access to Sanity Pads]])</f>
        <v>0</v>
      </c>
      <c r="BP112" s="419" t="str">
        <f>IF(OR(WWWW[[#This Row],['#of students in school]]="",WWWW[[#This Row],['#of students in school]]=0),"No","Yes")</f>
        <v>No</v>
      </c>
      <c r="BQ112" s="417" t="str">
        <f>VLOOKUP(WWWW[[#This Row],[Village  Name]],SiteDB6[[Site Name]:[Location Type 1]],9,FALSE)</f>
        <v>Village</v>
      </c>
      <c r="BR112" s="417" t="str">
        <f>VLOOKUP(WWWW[[#This Row],[Village  Name]],SiteDB6[[Site Name]:[Type of Accommodation]],10,FALSE)</f>
        <v>Village</v>
      </c>
      <c r="BS112" s="417">
        <f>VLOOKUP(WWWW[[#This Row],[Village  Name]],SiteDB6[[Site Name]:[Ethnic or GCA/NGCA]],11,FALSE)</f>
        <v>0</v>
      </c>
      <c r="BT112" s="417">
        <f>VLOOKUP(WWWW[[#This Row],[Village  Name]],SiteDB6[[Site Name]:[Lat]],12,FALSE)</f>
        <v>0</v>
      </c>
      <c r="BU112" s="417">
        <f>VLOOKUP(WWWW[[#This Row],[Village  Name]],SiteDB6[[Site Name]:[Long]],13,FALSE)</f>
        <v>0</v>
      </c>
      <c r="BV112" s="417">
        <f>VLOOKUP(WWWW[[#This Row],[Village  Name]],SiteDB6[[Site Name]:[Pcode]],3,FALSE)</f>
        <v>197020</v>
      </c>
      <c r="BW112" s="425" t="str">
        <f t="shared" si="4"/>
        <v>Covered</v>
      </c>
      <c r="BX112" s="425"/>
      <c r="BY112" s="33"/>
      <c r="CA112" s="431"/>
      <c r="CB112" s="33"/>
      <c r="CC112" s="36"/>
      <c r="CE112" s="37"/>
      <c r="CN112" s="20"/>
    </row>
    <row r="113" spans="1:92" hidden="1">
      <c r="A113" s="412" t="s">
        <v>2380</v>
      </c>
      <c r="B113" s="412" t="s">
        <v>316</v>
      </c>
      <c r="C113" s="418" t="s">
        <v>316</v>
      </c>
      <c r="D113" s="418" t="s">
        <v>309</v>
      </c>
      <c r="E113" s="551" t="s">
        <v>2687</v>
      </c>
      <c r="F113" s="418" t="s">
        <v>314</v>
      </c>
      <c r="G113" s="551" t="str">
        <f>VLOOKUP(WWWW[[#This Row],[Village  Name]],SiteDB6[[Site Name]:[Location Type]],8,FALSE)</f>
        <v>Village</v>
      </c>
      <c r="H113" s="418" t="s">
        <v>2632</v>
      </c>
      <c r="I113" s="420">
        <v>37</v>
      </c>
      <c r="J113" s="420">
        <v>119</v>
      </c>
      <c r="K113" s="426">
        <v>42736</v>
      </c>
      <c r="L113" s="427">
        <v>44551</v>
      </c>
      <c r="M113" s="420"/>
      <c r="N113" s="420"/>
      <c r="O113" s="420"/>
      <c r="P113" s="420"/>
      <c r="Q113" s="420"/>
      <c r="R113" s="420"/>
      <c r="S113" s="420"/>
      <c r="T113" s="642"/>
      <c r="U113" s="420"/>
      <c r="V113" s="611" t="s">
        <v>132</v>
      </c>
      <c r="W113" s="420"/>
      <c r="X113" s="420"/>
      <c r="Y113" s="420"/>
      <c r="Z113" s="420"/>
      <c r="AA113" s="420"/>
      <c r="AB113" s="642"/>
      <c r="AC113" s="420"/>
      <c r="AD113" s="420"/>
      <c r="AE113" s="420"/>
      <c r="AF113" s="420"/>
      <c r="AG113" s="420"/>
      <c r="AH113" s="420"/>
      <c r="AI113" s="420"/>
      <c r="AJ113" s="420"/>
      <c r="AK113" s="420"/>
      <c r="AL113" s="420"/>
      <c r="AM113" s="642"/>
      <c r="AN113" s="420"/>
      <c r="AO113" s="420"/>
      <c r="AP11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3" s="419">
        <f>WWWW[[#This Row],[%Equitable and continuous access to sufficient quantity of safe drinking water]]*WWWW[[#This Row],[Total PoP ]]</f>
        <v>0</v>
      </c>
      <c r="AR11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3" s="419">
        <f>WWWW[[#This Row],[% Access to unimproved water points]]*WWWW[[#This Row],[Total PoP ]]</f>
        <v>0</v>
      </c>
      <c r="AT11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3" s="419">
        <f>WWWW[[#This Row],[HRP1]]/250</f>
        <v>0</v>
      </c>
      <c r="AW113" s="424">
        <f>1-WWWW[[#This Row],[% Equitable and continuous access to sufficient quantity of domestic water]]</f>
        <v>1</v>
      </c>
      <c r="AX113" s="419">
        <f>WWWW[[#This Row],[%equitable and continuous access to sufficient quantity of safe drinking and domestic water''s GAP]]*WWWW[[#This Row],[Total PoP ]]</f>
        <v>119</v>
      </c>
      <c r="AY113" s="421">
        <f>IF(WWWW[[#This Row],[Total required water points]]-WWWW[[#This Row],['#Water points coverage]]&lt;0,0,WWWW[[#This Row],[Total required water points]]-WWWW[[#This Row],['#Water points coverage]])</f>
        <v>1</v>
      </c>
      <c r="AZ113" s="421">
        <f>ROUND(IF(WWWW[[#This Row],[Total PoP ]]&lt;250,1,WWWW[[#This Row],[Total PoP ]]/250),0)</f>
        <v>1</v>
      </c>
      <c r="BA11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3" s="419">
        <f>WWWW[[#This Row],[% people access to functioning Latrine]]*WWWW[[#This Row],[Total PoP ]]</f>
        <v>0</v>
      </c>
      <c r="BC113" s="421">
        <f>WWWW[[#This Row],['#_of_Functioning_latrines_in_school]]*50</f>
        <v>0</v>
      </c>
      <c r="BD113" s="421">
        <f>ROUND((WWWW[[#This Row],[Total PoP ]]/6),0)</f>
        <v>20</v>
      </c>
      <c r="BE113" s="421">
        <f>IF(WWWW[[#This Row],[Total required Latrines]]-(WWWW[[#This Row],['#_of_sanitary_fly-proof_HH_latrines]])&lt;0,0,WWWW[[#This Row],[Total required Latrines]]-(WWWW[[#This Row],['#_of_sanitary_fly-proof_HH_latrines]]))</f>
        <v>20</v>
      </c>
      <c r="BF113" s="563">
        <f>1-WWWW[[#This Row],[% people access to functioning Latrine]]</f>
        <v>1</v>
      </c>
      <c r="BG11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3" s="419">
        <f>IF(WWWW[[#This Row],['#_of_functional_handwashing_facilities_at_HH_level]]*6&gt;WWWW[[#This Row],[Total PoP ]],WWWW[[#This Row],[Total PoP ]],WWWW[[#This Row],['#_of_functional_handwashing_facilities_at_HH_level]]*6)</f>
        <v>0</v>
      </c>
      <c r="BI113" s="421">
        <f>IF(WWWW[[#This Row],['# people reached by regular dedicated hygiene promotion]]&gt;WWWW[[#This Row],['# People received regular supply of hygiene items]],WWWW[[#This Row],['# people reached by regular dedicated hygiene promotion]],WWWW[[#This Row],['# People received regular supply of hygiene items]])</f>
        <v>0</v>
      </c>
      <c r="BJ113" s="424">
        <f>IF(WWWW[[#This Row],[HRP3]]/WWWW[[#This Row],[Total PoP ]]&gt;100%,100%,WWWW[[#This Row],[HRP3]]/WWWW[[#This Row],[Total PoP ]])</f>
        <v>0</v>
      </c>
      <c r="BK113" s="423">
        <f>1-WWWW[[#This Row],[Hygiene Coverage%]]</f>
        <v>1</v>
      </c>
      <c r="BL113" s="422">
        <f>WWWW[[#This Row],['# people reached by regular dedicated hygiene promotion]]/WWWW[[#This Row],[Total PoP ]]</f>
        <v>0</v>
      </c>
      <c r="BM11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3" s="421">
        <f>WWWW[[#This Row],['#_of_affected_women_and_girls_receiving_a_sufficient_quantity_of_sanitary_pads]]</f>
        <v>0</v>
      </c>
      <c r="BO113" s="420">
        <f>IF(WWWW[[#This Row],['# People with access to soap]]&gt;WWWW[[#This Row],['# People with access to Sanity Pads]],WWWW[[#This Row],['# People with access to soap]],WWWW[[#This Row],['# People with access to Sanity Pads]])</f>
        <v>0</v>
      </c>
      <c r="BP113" s="419" t="str">
        <f>IF(OR(WWWW[[#This Row],['#of students in school]]="",WWWW[[#This Row],['#of students in school]]=0),"No","Yes")</f>
        <v>No</v>
      </c>
      <c r="BQ113" s="417" t="str">
        <f>VLOOKUP(WWWW[[#This Row],[Village  Name]],SiteDB6[[Site Name]:[Location Type 1]],9,FALSE)</f>
        <v>Village</v>
      </c>
      <c r="BR113" s="417" t="str">
        <f>VLOOKUP(WWWW[[#This Row],[Village  Name]],SiteDB6[[Site Name]:[Type of Accommodation]],10,FALSE)</f>
        <v>Village</v>
      </c>
      <c r="BS113" s="417">
        <f>VLOOKUP(WWWW[[#This Row],[Village  Name]],SiteDB6[[Site Name]:[Ethnic or GCA/NGCA]],11,FALSE)</f>
        <v>0</v>
      </c>
      <c r="BT113" s="417">
        <f>VLOOKUP(WWWW[[#This Row],[Village  Name]],SiteDB6[[Site Name]:[Lat]],12,FALSE)</f>
        <v>0</v>
      </c>
      <c r="BU113" s="417">
        <f>VLOOKUP(WWWW[[#This Row],[Village  Name]],SiteDB6[[Site Name]:[Long]],13,FALSE)</f>
        <v>0</v>
      </c>
      <c r="BV113" s="417">
        <f>VLOOKUP(WWWW[[#This Row],[Village  Name]],SiteDB6[[Site Name]:[Pcode]],3,FALSE)</f>
        <v>197027</v>
      </c>
      <c r="BW113" s="425" t="str">
        <f t="shared" si="4"/>
        <v>Covered</v>
      </c>
      <c r="BX113" s="425"/>
      <c r="BY113" s="33"/>
      <c r="CA113" s="431"/>
      <c r="CB113" s="33"/>
      <c r="CC113" s="36"/>
      <c r="CE113" s="37"/>
      <c r="CN113" s="20"/>
    </row>
    <row r="114" spans="1:92" hidden="1">
      <c r="A114" s="412" t="s">
        <v>2380</v>
      </c>
      <c r="B114" s="412" t="s">
        <v>316</v>
      </c>
      <c r="C114" s="418" t="s">
        <v>316</v>
      </c>
      <c r="D114" s="418" t="s">
        <v>309</v>
      </c>
      <c r="E114" s="551" t="s">
        <v>2687</v>
      </c>
      <c r="F114" s="418" t="s">
        <v>314</v>
      </c>
      <c r="G114" s="551" t="str">
        <f>VLOOKUP(WWWW[[#This Row],[Village  Name]],SiteDB6[[Site Name]:[Location Type]],8,FALSE)</f>
        <v>Village</v>
      </c>
      <c r="H114" s="418" t="s">
        <v>2633</v>
      </c>
      <c r="I114" s="420">
        <v>167</v>
      </c>
      <c r="J114" s="420">
        <v>1027</v>
      </c>
      <c r="K114" s="426">
        <v>42736</v>
      </c>
      <c r="L114" s="427">
        <v>44551</v>
      </c>
      <c r="M114" s="420"/>
      <c r="N114" s="420"/>
      <c r="O114" s="420"/>
      <c r="P114" s="420"/>
      <c r="Q114" s="420"/>
      <c r="R114" s="420"/>
      <c r="S114" s="420"/>
      <c r="T114" s="642"/>
      <c r="U114" s="420"/>
      <c r="V114" s="611" t="s">
        <v>132</v>
      </c>
      <c r="W114" s="420"/>
      <c r="X114" s="420"/>
      <c r="Y114" s="420"/>
      <c r="Z114" s="420"/>
      <c r="AA114" s="420"/>
      <c r="AB114" s="642"/>
      <c r="AC114" s="420"/>
      <c r="AD114" s="420"/>
      <c r="AE114" s="420"/>
      <c r="AF114" s="420"/>
      <c r="AG114" s="420"/>
      <c r="AH114" s="420"/>
      <c r="AI114" s="420"/>
      <c r="AJ114" s="420"/>
      <c r="AK114" s="420"/>
      <c r="AL114" s="420"/>
      <c r="AM114" s="642"/>
      <c r="AN114" s="420"/>
      <c r="AO114" s="420"/>
      <c r="AP11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4" s="419">
        <f>WWWW[[#This Row],[%Equitable and continuous access to sufficient quantity of safe drinking water]]*WWWW[[#This Row],[Total PoP ]]</f>
        <v>0</v>
      </c>
      <c r="AR11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4" s="419">
        <f>WWWW[[#This Row],[% Access to unimproved water points]]*WWWW[[#This Row],[Total PoP ]]</f>
        <v>0</v>
      </c>
      <c r="AT11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4" s="419">
        <f>WWWW[[#This Row],[HRP1]]/250</f>
        <v>0</v>
      </c>
      <c r="AW114" s="424">
        <f>1-WWWW[[#This Row],[% Equitable and continuous access to sufficient quantity of domestic water]]</f>
        <v>1</v>
      </c>
      <c r="AX114" s="419">
        <f>WWWW[[#This Row],[%equitable and continuous access to sufficient quantity of safe drinking and domestic water''s GAP]]*WWWW[[#This Row],[Total PoP ]]</f>
        <v>1027</v>
      </c>
      <c r="AY114" s="421">
        <f>IF(WWWW[[#This Row],[Total required water points]]-WWWW[[#This Row],['#Water points coverage]]&lt;0,0,WWWW[[#This Row],[Total required water points]]-WWWW[[#This Row],['#Water points coverage]])</f>
        <v>4</v>
      </c>
      <c r="AZ114" s="421">
        <f>ROUND(IF(WWWW[[#This Row],[Total PoP ]]&lt;250,1,WWWW[[#This Row],[Total PoP ]]/250),0)</f>
        <v>4</v>
      </c>
      <c r="BA11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4" s="419">
        <f>WWWW[[#This Row],[% people access to functioning Latrine]]*WWWW[[#This Row],[Total PoP ]]</f>
        <v>0</v>
      </c>
      <c r="BC114" s="421">
        <f>WWWW[[#This Row],['#_of_Functioning_latrines_in_school]]*50</f>
        <v>0</v>
      </c>
      <c r="BD114" s="421">
        <f>ROUND((WWWW[[#This Row],[Total PoP ]]/6),0)</f>
        <v>171</v>
      </c>
      <c r="BE114" s="421">
        <f>IF(WWWW[[#This Row],[Total required Latrines]]-(WWWW[[#This Row],['#_of_sanitary_fly-proof_HH_latrines]])&lt;0,0,WWWW[[#This Row],[Total required Latrines]]-(WWWW[[#This Row],['#_of_sanitary_fly-proof_HH_latrines]]))</f>
        <v>171</v>
      </c>
      <c r="BF114" s="563">
        <f>1-WWWW[[#This Row],[% people access to functioning Latrine]]</f>
        <v>1</v>
      </c>
      <c r="BG11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4" s="419">
        <f>IF(WWWW[[#This Row],['#_of_functional_handwashing_facilities_at_HH_level]]*6&gt;WWWW[[#This Row],[Total PoP ]],WWWW[[#This Row],[Total PoP ]],WWWW[[#This Row],['#_of_functional_handwashing_facilities_at_HH_level]]*6)</f>
        <v>0</v>
      </c>
      <c r="BI114" s="421">
        <f>IF(WWWW[[#This Row],['# people reached by regular dedicated hygiene promotion]]&gt;WWWW[[#This Row],['# People received regular supply of hygiene items]],WWWW[[#This Row],['# people reached by regular dedicated hygiene promotion]],WWWW[[#This Row],['# People received regular supply of hygiene items]])</f>
        <v>0</v>
      </c>
      <c r="BJ114" s="424">
        <f>IF(WWWW[[#This Row],[HRP3]]/WWWW[[#This Row],[Total PoP ]]&gt;100%,100%,WWWW[[#This Row],[HRP3]]/WWWW[[#This Row],[Total PoP ]])</f>
        <v>0</v>
      </c>
      <c r="BK114" s="423">
        <f>1-WWWW[[#This Row],[Hygiene Coverage%]]</f>
        <v>1</v>
      </c>
      <c r="BL114" s="422">
        <f>WWWW[[#This Row],['# people reached by regular dedicated hygiene promotion]]/WWWW[[#This Row],[Total PoP ]]</f>
        <v>0</v>
      </c>
      <c r="BM11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4" s="421">
        <f>WWWW[[#This Row],['#_of_affected_women_and_girls_receiving_a_sufficient_quantity_of_sanitary_pads]]</f>
        <v>0</v>
      </c>
      <c r="BO114" s="420">
        <f>IF(WWWW[[#This Row],['# People with access to soap]]&gt;WWWW[[#This Row],['# People with access to Sanity Pads]],WWWW[[#This Row],['# People with access to soap]],WWWW[[#This Row],['# People with access to Sanity Pads]])</f>
        <v>0</v>
      </c>
      <c r="BP114" s="419" t="str">
        <f>IF(OR(WWWW[[#This Row],['#of students in school]]="",WWWW[[#This Row],['#of students in school]]=0),"No","Yes")</f>
        <v>No</v>
      </c>
      <c r="BQ114" s="417" t="str">
        <f>VLOOKUP(WWWW[[#This Row],[Village  Name]],SiteDB6[[Site Name]:[Location Type 1]],9,FALSE)</f>
        <v>Village</v>
      </c>
      <c r="BR114" s="417" t="str">
        <f>VLOOKUP(WWWW[[#This Row],[Village  Name]],SiteDB6[[Site Name]:[Type of Accommodation]],10,FALSE)</f>
        <v>Village</v>
      </c>
      <c r="BS114" s="417">
        <f>VLOOKUP(WWWW[[#This Row],[Village  Name]],SiteDB6[[Site Name]:[Ethnic or GCA/NGCA]],11,FALSE)</f>
        <v>0</v>
      </c>
      <c r="BT114" s="417">
        <f>VLOOKUP(WWWW[[#This Row],[Village  Name]],SiteDB6[[Site Name]:[Lat]],12,FALSE)</f>
        <v>0</v>
      </c>
      <c r="BU114" s="417">
        <f>VLOOKUP(WWWW[[#This Row],[Village  Name]],SiteDB6[[Site Name]:[Long]],13,FALSE)</f>
        <v>0</v>
      </c>
      <c r="BV114" s="417">
        <f>VLOOKUP(WWWW[[#This Row],[Village  Name]],SiteDB6[[Site Name]:[Pcode]],3,FALSE)</f>
        <v>197028</v>
      </c>
      <c r="BW114" s="425" t="str">
        <f t="shared" si="4"/>
        <v>Covered</v>
      </c>
      <c r="BX114" s="425"/>
      <c r="BY114" s="33"/>
      <c r="CA114" s="431"/>
      <c r="CB114" s="33"/>
      <c r="CC114" s="36"/>
      <c r="CE114" s="37"/>
      <c r="CN114" s="20"/>
    </row>
    <row r="115" spans="1:92" hidden="1">
      <c r="A115" s="412" t="s">
        <v>2380</v>
      </c>
      <c r="B115" s="412" t="s">
        <v>316</v>
      </c>
      <c r="C115" s="418" t="s">
        <v>316</v>
      </c>
      <c r="D115" s="418" t="s">
        <v>309</v>
      </c>
      <c r="E115" s="551" t="s">
        <v>2687</v>
      </c>
      <c r="F115" s="418" t="s">
        <v>314</v>
      </c>
      <c r="G115" s="551" t="str">
        <f>VLOOKUP(WWWW[[#This Row],[Village  Name]],SiteDB6[[Site Name]:[Location Type]],8,FALSE)</f>
        <v>Village</v>
      </c>
      <c r="H115" s="418" t="s">
        <v>2634</v>
      </c>
      <c r="I115" s="420">
        <v>90</v>
      </c>
      <c r="J115" s="420">
        <v>414</v>
      </c>
      <c r="K115" s="426">
        <v>42736</v>
      </c>
      <c r="L115" s="427">
        <v>44551</v>
      </c>
      <c r="M115" s="420"/>
      <c r="N115" s="420"/>
      <c r="O115" s="420"/>
      <c r="P115" s="420"/>
      <c r="Q115" s="420"/>
      <c r="R115" s="420"/>
      <c r="S115" s="420"/>
      <c r="T115" s="642"/>
      <c r="U115" s="420"/>
      <c r="V115" s="611" t="s">
        <v>132</v>
      </c>
      <c r="W115" s="420"/>
      <c r="X115" s="420"/>
      <c r="Y115" s="420"/>
      <c r="Z115" s="420"/>
      <c r="AA115" s="420"/>
      <c r="AB115" s="642"/>
      <c r="AC115" s="420"/>
      <c r="AD115" s="420"/>
      <c r="AE115" s="420"/>
      <c r="AF115" s="420"/>
      <c r="AG115" s="420"/>
      <c r="AH115" s="420"/>
      <c r="AI115" s="420"/>
      <c r="AJ115" s="420"/>
      <c r="AK115" s="420"/>
      <c r="AL115" s="420"/>
      <c r="AM115" s="642"/>
      <c r="AN115" s="420"/>
      <c r="AO115" s="420"/>
      <c r="AP11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5" s="419">
        <f>WWWW[[#This Row],[%Equitable and continuous access to sufficient quantity of safe drinking water]]*WWWW[[#This Row],[Total PoP ]]</f>
        <v>0</v>
      </c>
      <c r="AR11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5" s="419">
        <f>WWWW[[#This Row],[% Access to unimproved water points]]*WWWW[[#This Row],[Total PoP ]]</f>
        <v>0</v>
      </c>
      <c r="AT11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5" s="419">
        <f>WWWW[[#This Row],[HRP1]]/250</f>
        <v>0</v>
      </c>
      <c r="AW115" s="424">
        <f>1-WWWW[[#This Row],[% Equitable and continuous access to sufficient quantity of domestic water]]</f>
        <v>1</v>
      </c>
      <c r="AX115" s="419">
        <f>WWWW[[#This Row],[%equitable and continuous access to sufficient quantity of safe drinking and domestic water''s GAP]]*WWWW[[#This Row],[Total PoP ]]</f>
        <v>414</v>
      </c>
      <c r="AY115" s="421">
        <f>IF(WWWW[[#This Row],[Total required water points]]-WWWW[[#This Row],['#Water points coverage]]&lt;0,0,WWWW[[#This Row],[Total required water points]]-WWWW[[#This Row],['#Water points coverage]])</f>
        <v>2</v>
      </c>
      <c r="AZ115" s="421">
        <f>ROUND(IF(WWWW[[#This Row],[Total PoP ]]&lt;250,1,WWWW[[#This Row],[Total PoP ]]/250),0)</f>
        <v>2</v>
      </c>
      <c r="BA11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5" s="419">
        <f>WWWW[[#This Row],[% people access to functioning Latrine]]*WWWW[[#This Row],[Total PoP ]]</f>
        <v>0</v>
      </c>
      <c r="BC115" s="421">
        <f>WWWW[[#This Row],['#_of_Functioning_latrines_in_school]]*50</f>
        <v>0</v>
      </c>
      <c r="BD115" s="421">
        <f>ROUND((WWWW[[#This Row],[Total PoP ]]/6),0)</f>
        <v>69</v>
      </c>
      <c r="BE115" s="421">
        <f>IF(WWWW[[#This Row],[Total required Latrines]]-(WWWW[[#This Row],['#_of_sanitary_fly-proof_HH_latrines]])&lt;0,0,WWWW[[#This Row],[Total required Latrines]]-(WWWW[[#This Row],['#_of_sanitary_fly-proof_HH_latrines]]))</f>
        <v>69</v>
      </c>
      <c r="BF115" s="563">
        <f>1-WWWW[[#This Row],[% people access to functioning Latrine]]</f>
        <v>1</v>
      </c>
      <c r="BG11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5" s="419">
        <f>IF(WWWW[[#This Row],['#_of_functional_handwashing_facilities_at_HH_level]]*6&gt;WWWW[[#This Row],[Total PoP ]],WWWW[[#This Row],[Total PoP ]],WWWW[[#This Row],['#_of_functional_handwashing_facilities_at_HH_level]]*6)</f>
        <v>0</v>
      </c>
      <c r="BI115" s="421">
        <f>IF(WWWW[[#This Row],['# people reached by regular dedicated hygiene promotion]]&gt;WWWW[[#This Row],['# People received regular supply of hygiene items]],WWWW[[#This Row],['# people reached by regular dedicated hygiene promotion]],WWWW[[#This Row],['# People received regular supply of hygiene items]])</f>
        <v>0</v>
      </c>
      <c r="BJ115" s="424">
        <f>IF(WWWW[[#This Row],[HRP3]]/WWWW[[#This Row],[Total PoP ]]&gt;100%,100%,WWWW[[#This Row],[HRP3]]/WWWW[[#This Row],[Total PoP ]])</f>
        <v>0</v>
      </c>
      <c r="BK115" s="423">
        <f>1-WWWW[[#This Row],[Hygiene Coverage%]]</f>
        <v>1</v>
      </c>
      <c r="BL115" s="422">
        <f>WWWW[[#This Row],['# people reached by regular dedicated hygiene promotion]]/WWWW[[#This Row],[Total PoP ]]</f>
        <v>0</v>
      </c>
      <c r="BM11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5" s="421">
        <f>WWWW[[#This Row],['#_of_affected_women_and_girls_receiving_a_sufficient_quantity_of_sanitary_pads]]</f>
        <v>0</v>
      </c>
      <c r="BO115" s="420">
        <f>IF(WWWW[[#This Row],['# People with access to soap]]&gt;WWWW[[#This Row],['# People with access to Sanity Pads]],WWWW[[#This Row],['# People with access to soap]],WWWW[[#This Row],['# People with access to Sanity Pads]])</f>
        <v>0</v>
      </c>
      <c r="BP115" s="419" t="str">
        <f>IF(OR(WWWW[[#This Row],['#of students in school]]="",WWWW[[#This Row],['#of students in school]]=0),"No","Yes")</f>
        <v>No</v>
      </c>
      <c r="BQ115" s="417" t="str">
        <f>VLOOKUP(WWWW[[#This Row],[Village  Name]],SiteDB6[[Site Name]:[Location Type 1]],9,FALSE)</f>
        <v>Village</v>
      </c>
      <c r="BR115" s="417" t="str">
        <f>VLOOKUP(WWWW[[#This Row],[Village  Name]],SiteDB6[[Site Name]:[Type of Accommodation]],10,FALSE)</f>
        <v>Village</v>
      </c>
      <c r="BS115" s="417">
        <f>VLOOKUP(WWWW[[#This Row],[Village  Name]],SiteDB6[[Site Name]:[Ethnic or GCA/NGCA]],11,FALSE)</f>
        <v>0</v>
      </c>
      <c r="BT115" s="417">
        <f>VLOOKUP(WWWW[[#This Row],[Village  Name]],SiteDB6[[Site Name]:[Lat]],12,FALSE)</f>
        <v>0</v>
      </c>
      <c r="BU115" s="417">
        <f>VLOOKUP(WWWW[[#This Row],[Village  Name]],SiteDB6[[Site Name]:[Long]],13,FALSE)</f>
        <v>0</v>
      </c>
      <c r="BV115" s="417">
        <f>VLOOKUP(WWWW[[#This Row],[Village  Name]],SiteDB6[[Site Name]:[Pcode]],3,FALSE)</f>
        <v>197034</v>
      </c>
      <c r="BW115" s="425" t="str">
        <f t="shared" si="4"/>
        <v>Covered</v>
      </c>
      <c r="BX115" s="425"/>
      <c r="BY115" s="33"/>
      <c r="CA115" s="431"/>
      <c r="CB115" s="33"/>
      <c r="CC115" s="36"/>
      <c r="CE115" s="37"/>
      <c r="CN115" s="20"/>
    </row>
    <row r="116" spans="1:92" hidden="1">
      <c r="A116" s="412" t="s">
        <v>2380</v>
      </c>
      <c r="B116" s="412" t="s">
        <v>316</v>
      </c>
      <c r="C116" s="418" t="s">
        <v>316</v>
      </c>
      <c r="D116" s="418" t="s">
        <v>309</v>
      </c>
      <c r="E116" s="551" t="s">
        <v>2687</v>
      </c>
      <c r="F116" s="418" t="s">
        <v>314</v>
      </c>
      <c r="G116" s="551" t="str">
        <f>VLOOKUP(WWWW[[#This Row],[Village  Name]],SiteDB6[[Site Name]:[Location Type]],8,FALSE)</f>
        <v>Village</v>
      </c>
      <c r="H116" s="418" t="s">
        <v>2635</v>
      </c>
      <c r="I116" s="420">
        <v>78</v>
      </c>
      <c r="J116" s="420">
        <v>308</v>
      </c>
      <c r="K116" s="426">
        <v>42736</v>
      </c>
      <c r="L116" s="427">
        <v>44551</v>
      </c>
      <c r="M116" s="420"/>
      <c r="N116" s="420"/>
      <c r="O116" s="420"/>
      <c r="P116" s="420"/>
      <c r="Q116" s="420"/>
      <c r="R116" s="420"/>
      <c r="S116" s="420"/>
      <c r="T116" s="642"/>
      <c r="U116" s="420"/>
      <c r="V116" s="611" t="s">
        <v>132</v>
      </c>
      <c r="W116" s="420"/>
      <c r="X116" s="420"/>
      <c r="Y116" s="420"/>
      <c r="Z116" s="420"/>
      <c r="AA116" s="420"/>
      <c r="AB116" s="642"/>
      <c r="AC116" s="420"/>
      <c r="AD116" s="420"/>
      <c r="AE116" s="420"/>
      <c r="AF116" s="420"/>
      <c r="AG116" s="420"/>
      <c r="AH116" s="420"/>
      <c r="AI116" s="420"/>
      <c r="AJ116" s="420"/>
      <c r="AK116" s="420"/>
      <c r="AL116" s="420"/>
      <c r="AM116" s="642"/>
      <c r="AN116" s="420"/>
      <c r="AO116" s="420"/>
      <c r="AP11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6" s="419">
        <f>WWWW[[#This Row],[%Equitable and continuous access to sufficient quantity of safe drinking water]]*WWWW[[#This Row],[Total PoP ]]</f>
        <v>0</v>
      </c>
      <c r="AR11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6" s="419">
        <f>WWWW[[#This Row],[% Access to unimproved water points]]*WWWW[[#This Row],[Total PoP ]]</f>
        <v>0</v>
      </c>
      <c r="AT11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6" s="419">
        <f>WWWW[[#This Row],[HRP1]]/250</f>
        <v>0</v>
      </c>
      <c r="AW116" s="424">
        <f>1-WWWW[[#This Row],[% Equitable and continuous access to sufficient quantity of domestic water]]</f>
        <v>1</v>
      </c>
      <c r="AX116" s="419">
        <f>WWWW[[#This Row],[%equitable and continuous access to sufficient quantity of safe drinking and domestic water''s GAP]]*WWWW[[#This Row],[Total PoP ]]</f>
        <v>308</v>
      </c>
      <c r="AY116" s="421">
        <f>IF(WWWW[[#This Row],[Total required water points]]-WWWW[[#This Row],['#Water points coverage]]&lt;0,0,WWWW[[#This Row],[Total required water points]]-WWWW[[#This Row],['#Water points coverage]])</f>
        <v>1</v>
      </c>
      <c r="AZ116" s="421">
        <f>ROUND(IF(WWWW[[#This Row],[Total PoP ]]&lt;250,1,WWWW[[#This Row],[Total PoP ]]/250),0)</f>
        <v>1</v>
      </c>
      <c r="BA11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6" s="419">
        <f>WWWW[[#This Row],[% people access to functioning Latrine]]*WWWW[[#This Row],[Total PoP ]]</f>
        <v>0</v>
      </c>
      <c r="BC116" s="421">
        <f>WWWW[[#This Row],['#_of_Functioning_latrines_in_school]]*50</f>
        <v>0</v>
      </c>
      <c r="BD116" s="421">
        <f>ROUND((WWWW[[#This Row],[Total PoP ]]/6),0)</f>
        <v>51</v>
      </c>
      <c r="BE116" s="421">
        <f>IF(WWWW[[#This Row],[Total required Latrines]]-(WWWW[[#This Row],['#_of_sanitary_fly-proof_HH_latrines]])&lt;0,0,WWWW[[#This Row],[Total required Latrines]]-(WWWW[[#This Row],['#_of_sanitary_fly-proof_HH_latrines]]))</f>
        <v>51</v>
      </c>
      <c r="BF116" s="563">
        <f>1-WWWW[[#This Row],[% people access to functioning Latrine]]</f>
        <v>1</v>
      </c>
      <c r="BG11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6" s="419">
        <f>IF(WWWW[[#This Row],['#_of_functional_handwashing_facilities_at_HH_level]]*6&gt;WWWW[[#This Row],[Total PoP ]],WWWW[[#This Row],[Total PoP ]],WWWW[[#This Row],['#_of_functional_handwashing_facilities_at_HH_level]]*6)</f>
        <v>0</v>
      </c>
      <c r="BI116" s="421">
        <f>IF(WWWW[[#This Row],['# people reached by regular dedicated hygiene promotion]]&gt;WWWW[[#This Row],['# People received regular supply of hygiene items]],WWWW[[#This Row],['# people reached by regular dedicated hygiene promotion]],WWWW[[#This Row],['# People received regular supply of hygiene items]])</f>
        <v>0</v>
      </c>
      <c r="BJ116" s="424">
        <f>IF(WWWW[[#This Row],[HRP3]]/WWWW[[#This Row],[Total PoP ]]&gt;100%,100%,WWWW[[#This Row],[HRP3]]/WWWW[[#This Row],[Total PoP ]])</f>
        <v>0</v>
      </c>
      <c r="BK116" s="423">
        <f>1-WWWW[[#This Row],[Hygiene Coverage%]]</f>
        <v>1</v>
      </c>
      <c r="BL116" s="422">
        <f>WWWW[[#This Row],['# people reached by regular dedicated hygiene promotion]]/WWWW[[#This Row],[Total PoP ]]</f>
        <v>0</v>
      </c>
      <c r="BM11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6" s="421">
        <f>WWWW[[#This Row],['#_of_affected_women_and_girls_receiving_a_sufficient_quantity_of_sanitary_pads]]</f>
        <v>0</v>
      </c>
      <c r="BO116" s="420">
        <f>IF(WWWW[[#This Row],['# People with access to soap]]&gt;WWWW[[#This Row],['# People with access to Sanity Pads]],WWWW[[#This Row],['# People with access to soap]],WWWW[[#This Row],['# People with access to Sanity Pads]])</f>
        <v>0</v>
      </c>
      <c r="BP116" s="419" t="str">
        <f>IF(OR(WWWW[[#This Row],['#of students in school]]="",WWWW[[#This Row],['#of students in school]]=0),"No","Yes")</f>
        <v>No</v>
      </c>
      <c r="BQ116" s="417" t="str">
        <f>VLOOKUP(WWWW[[#This Row],[Village  Name]],SiteDB6[[Site Name]:[Location Type 1]],9,FALSE)</f>
        <v>Village</v>
      </c>
      <c r="BR116" s="417" t="str">
        <f>VLOOKUP(WWWW[[#This Row],[Village  Name]],SiteDB6[[Site Name]:[Type of Accommodation]],10,FALSE)</f>
        <v>Village</v>
      </c>
      <c r="BS116" s="417">
        <f>VLOOKUP(WWWW[[#This Row],[Village  Name]],SiteDB6[[Site Name]:[Ethnic or GCA/NGCA]],11,FALSE)</f>
        <v>0</v>
      </c>
      <c r="BT116" s="417">
        <f>VLOOKUP(WWWW[[#This Row],[Village  Name]],SiteDB6[[Site Name]:[Lat]],12,FALSE)</f>
        <v>0</v>
      </c>
      <c r="BU116" s="417">
        <f>VLOOKUP(WWWW[[#This Row],[Village  Name]],SiteDB6[[Site Name]:[Long]],13,FALSE)</f>
        <v>0</v>
      </c>
      <c r="BV116" s="417">
        <f>VLOOKUP(WWWW[[#This Row],[Village  Name]],SiteDB6[[Site Name]:[Pcode]],3,FALSE)</f>
        <v>197036</v>
      </c>
      <c r="BW116" s="425" t="str">
        <f t="shared" si="4"/>
        <v>Covered</v>
      </c>
      <c r="BX116" s="425"/>
      <c r="BY116" s="33"/>
      <c r="CA116" s="431"/>
      <c r="CB116" s="33"/>
      <c r="CC116" s="36"/>
      <c r="CE116" s="37"/>
      <c r="CN116" s="20"/>
    </row>
    <row r="117" spans="1:92" hidden="1">
      <c r="A117" s="412" t="s">
        <v>2380</v>
      </c>
      <c r="B117" s="412" t="s">
        <v>316</v>
      </c>
      <c r="C117" s="418" t="s">
        <v>316</v>
      </c>
      <c r="D117" s="418" t="s">
        <v>309</v>
      </c>
      <c r="E117" s="551" t="s">
        <v>2687</v>
      </c>
      <c r="F117" s="418" t="s">
        <v>314</v>
      </c>
      <c r="G117" s="551" t="str">
        <f>VLOOKUP(WWWW[[#This Row],[Village  Name]],SiteDB6[[Site Name]:[Location Type]],8,FALSE)</f>
        <v>Village</v>
      </c>
      <c r="H117" s="418" t="s">
        <v>2636</v>
      </c>
      <c r="I117" s="420">
        <v>85</v>
      </c>
      <c r="J117" s="420">
        <v>413</v>
      </c>
      <c r="K117" s="426">
        <v>42736</v>
      </c>
      <c r="L117" s="427">
        <v>44551</v>
      </c>
      <c r="M117" s="420"/>
      <c r="N117" s="420"/>
      <c r="O117" s="420"/>
      <c r="P117" s="420"/>
      <c r="Q117" s="420"/>
      <c r="R117" s="420"/>
      <c r="S117" s="420"/>
      <c r="T117" s="642"/>
      <c r="U117" s="420"/>
      <c r="V117" s="611" t="s">
        <v>132</v>
      </c>
      <c r="W117" s="420"/>
      <c r="X117" s="420"/>
      <c r="Y117" s="420"/>
      <c r="Z117" s="420"/>
      <c r="AA117" s="420"/>
      <c r="AB117" s="642"/>
      <c r="AC117" s="420"/>
      <c r="AD117" s="420"/>
      <c r="AE117" s="420"/>
      <c r="AF117" s="420"/>
      <c r="AG117" s="420"/>
      <c r="AH117" s="420"/>
      <c r="AI117" s="420"/>
      <c r="AJ117" s="420"/>
      <c r="AK117" s="420"/>
      <c r="AL117" s="420"/>
      <c r="AM117" s="642"/>
      <c r="AN117" s="420"/>
      <c r="AO117" s="420"/>
      <c r="AP11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7" s="419">
        <f>WWWW[[#This Row],[%Equitable and continuous access to sufficient quantity of safe drinking water]]*WWWW[[#This Row],[Total PoP ]]</f>
        <v>0</v>
      </c>
      <c r="AR11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7" s="419">
        <f>WWWW[[#This Row],[% Access to unimproved water points]]*WWWW[[#This Row],[Total PoP ]]</f>
        <v>0</v>
      </c>
      <c r="AT11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7" s="419">
        <f>WWWW[[#This Row],[HRP1]]/250</f>
        <v>0</v>
      </c>
      <c r="AW117" s="424">
        <f>1-WWWW[[#This Row],[% Equitable and continuous access to sufficient quantity of domestic water]]</f>
        <v>1</v>
      </c>
      <c r="AX117" s="419">
        <f>WWWW[[#This Row],[%equitable and continuous access to sufficient quantity of safe drinking and domestic water''s GAP]]*WWWW[[#This Row],[Total PoP ]]</f>
        <v>413</v>
      </c>
      <c r="AY117" s="421">
        <f>IF(WWWW[[#This Row],[Total required water points]]-WWWW[[#This Row],['#Water points coverage]]&lt;0,0,WWWW[[#This Row],[Total required water points]]-WWWW[[#This Row],['#Water points coverage]])</f>
        <v>2</v>
      </c>
      <c r="AZ117" s="421">
        <f>ROUND(IF(WWWW[[#This Row],[Total PoP ]]&lt;250,1,WWWW[[#This Row],[Total PoP ]]/250),0)</f>
        <v>2</v>
      </c>
      <c r="BA11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7" s="419">
        <f>WWWW[[#This Row],[% people access to functioning Latrine]]*WWWW[[#This Row],[Total PoP ]]</f>
        <v>0</v>
      </c>
      <c r="BC117" s="421">
        <f>WWWW[[#This Row],['#_of_Functioning_latrines_in_school]]*50</f>
        <v>0</v>
      </c>
      <c r="BD117" s="421">
        <f>ROUND((WWWW[[#This Row],[Total PoP ]]/6),0)</f>
        <v>69</v>
      </c>
      <c r="BE117" s="421">
        <f>IF(WWWW[[#This Row],[Total required Latrines]]-(WWWW[[#This Row],['#_of_sanitary_fly-proof_HH_latrines]])&lt;0,0,WWWW[[#This Row],[Total required Latrines]]-(WWWW[[#This Row],['#_of_sanitary_fly-proof_HH_latrines]]))</f>
        <v>69</v>
      </c>
      <c r="BF117" s="563">
        <f>1-WWWW[[#This Row],[% people access to functioning Latrine]]</f>
        <v>1</v>
      </c>
      <c r="BG11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7" s="419">
        <f>IF(WWWW[[#This Row],['#_of_functional_handwashing_facilities_at_HH_level]]*6&gt;WWWW[[#This Row],[Total PoP ]],WWWW[[#This Row],[Total PoP ]],WWWW[[#This Row],['#_of_functional_handwashing_facilities_at_HH_level]]*6)</f>
        <v>0</v>
      </c>
      <c r="BI117" s="421">
        <f>IF(WWWW[[#This Row],['# people reached by regular dedicated hygiene promotion]]&gt;WWWW[[#This Row],['# People received regular supply of hygiene items]],WWWW[[#This Row],['# people reached by regular dedicated hygiene promotion]],WWWW[[#This Row],['# People received regular supply of hygiene items]])</f>
        <v>0</v>
      </c>
      <c r="BJ117" s="424">
        <f>IF(WWWW[[#This Row],[HRP3]]/WWWW[[#This Row],[Total PoP ]]&gt;100%,100%,WWWW[[#This Row],[HRP3]]/WWWW[[#This Row],[Total PoP ]])</f>
        <v>0</v>
      </c>
      <c r="BK117" s="423">
        <f>1-WWWW[[#This Row],[Hygiene Coverage%]]</f>
        <v>1</v>
      </c>
      <c r="BL117" s="422">
        <f>WWWW[[#This Row],['# people reached by regular dedicated hygiene promotion]]/WWWW[[#This Row],[Total PoP ]]</f>
        <v>0</v>
      </c>
      <c r="BM11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7" s="421">
        <f>WWWW[[#This Row],['#_of_affected_women_and_girls_receiving_a_sufficient_quantity_of_sanitary_pads]]</f>
        <v>0</v>
      </c>
      <c r="BO117" s="420">
        <f>IF(WWWW[[#This Row],['# People with access to soap]]&gt;WWWW[[#This Row],['# People with access to Sanity Pads]],WWWW[[#This Row],['# People with access to soap]],WWWW[[#This Row],['# People with access to Sanity Pads]])</f>
        <v>0</v>
      </c>
      <c r="BP117" s="419" t="str">
        <f>IF(OR(WWWW[[#This Row],['#of students in school]]="",WWWW[[#This Row],['#of students in school]]=0),"No","Yes")</f>
        <v>No</v>
      </c>
      <c r="BQ117" s="417" t="str">
        <f>VLOOKUP(WWWW[[#This Row],[Village  Name]],SiteDB6[[Site Name]:[Location Type 1]],9,FALSE)</f>
        <v>Village</v>
      </c>
      <c r="BR117" s="417" t="str">
        <f>VLOOKUP(WWWW[[#This Row],[Village  Name]],SiteDB6[[Site Name]:[Type of Accommodation]],10,FALSE)</f>
        <v>Village</v>
      </c>
      <c r="BS117" s="417">
        <f>VLOOKUP(WWWW[[#This Row],[Village  Name]],SiteDB6[[Site Name]:[Ethnic or GCA/NGCA]],11,FALSE)</f>
        <v>0</v>
      </c>
      <c r="BT117" s="417">
        <f>VLOOKUP(WWWW[[#This Row],[Village  Name]],SiteDB6[[Site Name]:[Lat]],12,FALSE)</f>
        <v>0</v>
      </c>
      <c r="BU117" s="417">
        <f>VLOOKUP(WWWW[[#This Row],[Village  Name]],SiteDB6[[Site Name]:[Long]],13,FALSE)</f>
        <v>0</v>
      </c>
      <c r="BV117" s="417">
        <f>VLOOKUP(WWWW[[#This Row],[Village  Name]],SiteDB6[[Site Name]:[Pcode]],3,FALSE)</f>
        <v>197033</v>
      </c>
      <c r="BW117" s="425" t="str">
        <f t="shared" si="4"/>
        <v>Covered</v>
      </c>
      <c r="BX117" s="425"/>
      <c r="BY117" s="33"/>
      <c r="CA117" s="431"/>
      <c r="CB117" s="33"/>
      <c r="CC117" s="36"/>
      <c r="CE117" s="37"/>
      <c r="CN117" s="20"/>
    </row>
    <row r="118" spans="1:92" hidden="1">
      <c r="A118" s="412" t="s">
        <v>2380</v>
      </c>
      <c r="B118" s="412" t="s">
        <v>316</v>
      </c>
      <c r="C118" s="418" t="s">
        <v>316</v>
      </c>
      <c r="D118" s="418" t="s">
        <v>309</v>
      </c>
      <c r="E118" s="551" t="s">
        <v>2687</v>
      </c>
      <c r="F118" s="418" t="s">
        <v>314</v>
      </c>
      <c r="G118" s="551" t="str">
        <f>VLOOKUP(WWWW[[#This Row],[Village  Name]],SiteDB6[[Site Name]:[Location Type]],8,FALSE)</f>
        <v>Village</v>
      </c>
      <c r="H118" s="418" t="s">
        <v>2637</v>
      </c>
      <c r="I118" s="420">
        <v>353</v>
      </c>
      <c r="J118" s="420">
        <v>2111</v>
      </c>
      <c r="K118" s="426">
        <v>42736</v>
      </c>
      <c r="L118" s="427">
        <v>44551</v>
      </c>
      <c r="M118" s="420"/>
      <c r="N118" s="420"/>
      <c r="O118" s="420"/>
      <c r="P118" s="420"/>
      <c r="Q118" s="420"/>
      <c r="R118" s="420"/>
      <c r="S118" s="420"/>
      <c r="T118" s="642"/>
      <c r="U118" s="420"/>
      <c r="V118" s="611" t="s">
        <v>132</v>
      </c>
      <c r="W118" s="420"/>
      <c r="X118" s="420"/>
      <c r="Y118" s="420"/>
      <c r="Z118" s="420"/>
      <c r="AA118" s="420"/>
      <c r="AB118" s="642"/>
      <c r="AC118" s="420"/>
      <c r="AD118" s="420"/>
      <c r="AE118" s="420"/>
      <c r="AF118" s="420"/>
      <c r="AG118" s="420"/>
      <c r="AH118" s="420"/>
      <c r="AI118" s="420"/>
      <c r="AJ118" s="420"/>
      <c r="AK118" s="420"/>
      <c r="AL118" s="420"/>
      <c r="AM118" s="642"/>
      <c r="AN118" s="420"/>
      <c r="AO118" s="420"/>
      <c r="AP11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8" s="419">
        <f>WWWW[[#This Row],[%Equitable and continuous access to sufficient quantity of safe drinking water]]*WWWW[[#This Row],[Total PoP ]]</f>
        <v>0</v>
      </c>
      <c r="AR11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8" s="419">
        <f>WWWW[[#This Row],[% Access to unimproved water points]]*WWWW[[#This Row],[Total PoP ]]</f>
        <v>0</v>
      </c>
      <c r="AT11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8" s="419">
        <f>WWWW[[#This Row],[HRP1]]/250</f>
        <v>0</v>
      </c>
      <c r="AW118" s="424">
        <f>1-WWWW[[#This Row],[% Equitable and continuous access to sufficient quantity of domestic water]]</f>
        <v>1</v>
      </c>
      <c r="AX118" s="419">
        <f>WWWW[[#This Row],[%equitable and continuous access to sufficient quantity of safe drinking and domestic water''s GAP]]*WWWW[[#This Row],[Total PoP ]]</f>
        <v>2111</v>
      </c>
      <c r="AY118" s="421">
        <f>IF(WWWW[[#This Row],[Total required water points]]-WWWW[[#This Row],['#Water points coverage]]&lt;0,0,WWWW[[#This Row],[Total required water points]]-WWWW[[#This Row],['#Water points coverage]])</f>
        <v>8</v>
      </c>
      <c r="AZ118" s="421">
        <f>ROUND(IF(WWWW[[#This Row],[Total PoP ]]&lt;250,1,WWWW[[#This Row],[Total PoP ]]/250),0)</f>
        <v>8</v>
      </c>
      <c r="BA11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8" s="419">
        <f>WWWW[[#This Row],[% people access to functioning Latrine]]*WWWW[[#This Row],[Total PoP ]]</f>
        <v>0</v>
      </c>
      <c r="BC118" s="421">
        <f>WWWW[[#This Row],['#_of_Functioning_latrines_in_school]]*50</f>
        <v>0</v>
      </c>
      <c r="BD118" s="421">
        <f>ROUND((WWWW[[#This Row],[Total PoP ]]/6),0)</f>
        <v>352</v>
      </c>
      <c r="BE118" s="421">
        <f>IF(WWWW[[#This Row],[Total required Latrines]]-(WWWW[[#This Row],['#_of_sanitary_fly-proof_HH_latrines]])&lt;0,0,WWWW[[#This Row],[Total required Latrines]]-(WWWW[[#This Row],['#_of_sanitary_fly-proof_HH_latrines]]))</f>
        <v>352</v>
      </c>
      <c r="BF118" s="563">
        <f>1-WWWW[[#This Row],[% people access to functioning Latrine]]</f>
        <v>1</v>
      </c>
      <c r="BG11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8" s="419">
        <f>IF(WWWW[[#This Row],['#_of_functional_handwashing_facilities_at_HH_level]]*6&gt;WWWW[[#This Row],[Total PoP ]],WWWW[[#This Row],[Total PoP ]],WWWW[[#This Row],['#_of_functional_handwashing_facilities_at_HH_level]]*6)</f>
        <v>0</v>
      </c>
      <c r="BI118" s="421">
        <f>IF(WWWW[[#This Row],['# people reached by regular dedicated hygiene promotion]]&gt;WWWW[[#This Row],['# People received regular supply of hygiene items]],WWWW[[#This Row],['# people reached by regular dedicated hygiene promotion]],WWWW[[#This Row],['# People received regular supply of hygiene items]])</f>
        <v>0</v>
      </c>
      <c r="BJ118" s="424">
        <f>IF(WWWW[[#This Row],[HRP3]]/WWWW[[#This Row],[Total PoP ]]&gt;100%,100%,WWWW[[#This Row],[HRP3]]/WWWW[[#This Row],[Total PoP ]])</f>
        <v>0</v>
      </c>
      <c r="BK118" s="423">
        <f>1-WWWW[[#This Row],[Hygiene Coverage%]]</f>
        <v>1</v>
      </c>
      <c r="BL118" s="422">
        <f>WWWW[[#This Row],['# people reached by regular dedicated hygiene promotion]]/WWWW[[#This Row],[Total PoP ]]</f>
        <v>0</v>
      </c>
      <c r="BM11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8" s="421">
        <f>WWWW[[#This Row],['#_of_affected_women_and_girls_receiving_a_sufficient_quantity_of_sanitary_pads]]</f>
        <v>0</v>
      </c>
      <c r="BO118" s="420">
        <f>IF(WWWW[[#This Row],['# People with access to soap]]&gt;WWWW[[#This Row],['# People with access to Sanity Pads]],WWWW[[#This Row],['# People with access to soap]],WWWW[[#This Row],['# People with access to Sanity Pads]])</f>
        <v>0</v>
      </c>
      <c r="BP118" s="419" t="str">
        <f>IF(OR(WWWW[[#This Row],['#of students in school]]="",WWWW[[#This Row],['#of students in school]]=0),"No","Yes")</f>
        <v>No</v>
      </c>
      <c r="BQ118" s="417" t="str">
        <f>VLOOKUP(WWWW[[#This Row],[Village  Name]],SiteDB6[[Site Name]:[Location Type 1]],9,FALSE)</f>
        <v>Village</v>
      </c>
      <c r="BR118" s="417" t="str">
        <f>VLOOKUP(WWWW[[#This Row],[Village  Name]],SiteDB6[[Site Name]:[Type of Accommodation]],10,FALSE)</f>
        <v>Village</v>
      </c>
      <c r="BS118" s="417">
        <f>VLOOKUP(WWWW[[#This Row],[Village  Name]],SiteDB6[[Site Name]:[Ethnic or GCA/NGCA]],11,FALSE)</f>
        <v>0</v>
      </c>
      <c r="BT118" s="417">
        <f>VLOOKUP(WWWW[[#This Row],[Village  Name]],SiteDB6[[Site Name]:[Lat]],12,FALSE)</f>
        <v>0</v>
      </c>
      <c r="BU118" s="417">
        <f>VLOOKUP(WWWW[[#This Row],[Village  Name]],SiteDB6[[Site Name]:[Long]],13,FALSE)</f>
        <v>0</v>
      </c>
      <c r="BV118" s="417">
        <f>VLOOKUP(WWWW[[#This Row],[Village  Name]],SiteDB6[[Site Name]:[Pcode]],3,FALSE)</f>
        <v>197040</v>
      </c>
      <c r="BW118" s="425" t="str">
        <f t="shared" si="4"/>
        <v>Covered</v>
      </c>
      <c r="BX118" s="425"/>
      <c r="BY118" s="33"/>
      <c r="CA118" s="431"/>
      <c r="CB118" s="33"/>
      <c r="CC118" s="36"/>
      <c r="CE118" s="37"/>
      <c r="CN118" s="20"/>
    </row>
    <row r="119" spans="1:92" hidden="1">
      <c r="A119" s="412" t="s">
        <v>2380</v>
      </c>
      <c r="B119" s="412" t="s">
        <v>316</v>
      </c>
      <c r="C119" s="418" t="s">
        <v>316</v>
      </c>
      <c r="D119" s="418" t="s">
        <v>309</v>
      </c>
      <c r="E119" s="551" t="s">
        <v>2687</v>
      </c>
      <c r="F119" s="418" t="s">
        <v>314</v>
      </c>
      <c r="G119" s="551" t="str">
        <f>VLOOKUP(WWWW[[#This Row],[Village  Name]],SiteDB6[[Site Name]:[Location Type]],8,FALSE)</f>
        <v>Village</v>
      </c>
      <c r="H119" s="418" t="s">
        <v>2638</v>
      </c>
      <c r="I119" s="420">
        <v>295</v>
      </c>
      <c r="J119" s="420">
        <v>1698</v>
      </c>
      <c r="K119" s="426">
        <v>42736</v>
      </c>
      <c r="L119" s="427">
        <v>44551</v>
      </c>
      <c r="M119" s="420"/>
      <c r="N119" s="420"/>
      <c r="O119" s="420"/>
      <c r="P119" s="420"/>
      <c r="Q119" s="420"/>
      <c r="R119" s="420"/>
      <c r="S119" s="420"/>
      <c r="T119" s="642"/>
      <c r="U119" s="420"/>
      <c r="V119" s="611" t="s">
        <v>132</v>
      </c>
      <c r="W119" s="420"/>
      <c r="X119" s="420"/>
      <c r="Y119" s="420"/>
      <c r="Z119" s="420"/>
      <c r="AA119" s="420"/>
      <c r="AB119" s="642"/>
      <c r="AC119" s="420"/>
      <c r="AD119" s="420"/>
      <c r="AE119" s="420"/>
      <c r="AF119" s="420"/>
      <c r="AG119" s="420"/>
      <c r="AH119" s="420"/>
      <c r="AI119" s="420"/>
      <c r="AJ119" s="420"/>
      <c r="AK119" s="420"/>
      <c r="AL119" s="420"/>
      <c r="AM119" s="642"/>
      <c r="AN119" s="420"/>
      <c r="AO119" s="420"/>
      <c r="AP11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19" s="419">
        <f>WWWW[[#This Row],[%Equitable and continuous access to sufficient quantity of safe drinking water]]*WWWW[[#This Row],[Total PoP ]]</f>
        <v>0</v>
      </c>
      <c r="AR11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19" s="419">
        <f>WWWW[[#This Row],[% Access to unimproved water points]]*WWWW[[#This Row],[Total PoP ]]</f>
        <v>0</v>
      </c>
      <c r="AT11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1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19" s="419">
        <f>WWWW[[#This Row],[HRP1]]/250</f>
        <v>0</v>
      </c>
      <c r="AW119" s="424">
        <f>1-WWWW[[#This Row],[% Equitable and continuous access to sufficient quantity of domestic water]]</f>
        <v>1</v>
      </c>
      <c r="AX119" s="419">
        <f>WWWW[[#This Row],[%equitable and continuous access to sufficient quantity of safe drinking and domestic water''s GAP]]*WWWW[[#This Row],[Total PoP ]]</f>
        <v>1698</v>
      </c>
      <c r="AY119" s="421">
        <f>IF(WWWW[[#This Row],[Total required water points]]-WWWW[[#This Row],['#Water points coverage]]&lt;0,0,WWWW[[#This Row],[Total required water points]]-WWWW[[#This Row],['#Water points coverage]])</f>
        <v>7</v>
      </c>
      <c r="AZ119" s="421">
        <f>ROUND(IF(WWWW[[#This Row],[Total PoP ]]&lt;250,1,WWWW[[#This Row],[Total PoP ]]/250),0)</f>
        <v>7</v>
      </c>
      <c r="BA11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19" s="419">
        <f>WWWW[[#This Row],[% people access to functioning Latrine]]*WWWW[[#This Row],[Total PoP ]]</f>
        <v>0</v>
      </c>
      <c r="BC119" s="421">
        <f>WWWW[[#This Row],['#_of_Functioning_latrines_in_school]]*50</f>
        <v>0</v>
      </c>
      <c r="BD119" s="421">
        <f>ROUND((WWWW[[#This Row],[Total PoP ]]/6),0)</f>
        <v>283</v>
      </c>
      <c r="BE119" s="421">
        <f>IF(WWWW[[#This Row],[Total required Latrines]]-(WWWW[[#This Row],['#_of_sanitary_fly-proof_HH_latrines]])&lt;0,0,WWWW[[#This Row],[Total required Latrines]]-(WWWW[[#This Row],['#_of_sanitary_fly-proof_HH_latrines]]))</f>
        <v>283</v>
      </c>
      <c r="BF119" s="563">
        <f>1-WWWW[[#This Row],[% people access to functioning Latrine]]</f>
        <v>1</v>
      </c>
      <c r="BG11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19" s="419">
        <f>IF(WWWW[[#This Row],['#_of_functional_handwashing_facilities_at_HH_level]]*6&gt;WWWW[[#This Row],[Total PoP ]],WWWW[[#This Row],[Total PoP ]],WWWW[[#This Row],['#_of_functional_handwashing_facilities_at_HH_level]]*6)</f>
        <v>0</v>
      </c>
      <c r="BI119" s="421">
        <f>IF(WWWW[[#This Row],['# people reached by regular dedicated hygiene promotion]]&gt;WWWW[[#This Row],['# People received regular supply of hygiene items]],WWWW[[#This Row],['# people reached by regular dedicated hygiene promotion]],WWWW[[#This Row],['# People received regular supply of hygiene items]])</f>
        <v>0</v>
      </c>
      <c r="BJ119" s="424">
        <f>IF(WWWW[[#This Row],[HRP3]]/WWWW[[#This Row],[Total PoP ]]&gt;100%,100%,WWWW[[#This Row],[HRP3]]/WWWW[[#This Row],[Total PoP ]])</f>
        <v>0</v>
      </c>
      <c r="BK119" s="423">
        <f>1-WWWW[[#This Row],[Hygiene Coverage%]]</f>
        <v>1</v>
      </c>
      <c r="BL119" s="422">
        <f>WWWW[[#This Row],['# people reached by regular dedicated hygiene promotion]]/WWWW[[#This Row],[Total PoP ]]</f>
        <v>0</v>
      </c>
      <c r="BM11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19" s="421">
        <f>WWWW[[#This Row],['#_of_affected_women_and_girls_receiving_a_sufficient_quantity_of_sanitary_pads]]</f>
        <v>0</v>
      </c>
      <c r="BO119" s="420">
        <f>IF(WWWW[[#This Row],['# People with access to soap]]&gt;WWWW[[#This Row],['# People with access to Sanity Pads]],WWWW[[#This Row],['# People with access to soap]],WWWW[[#This Row],['# People with access to Sanity Pads]])</f>
        <v>0</v>
      </c>
      <c r="BP119" s="419" t="str">
        <f>IF(OR(WWWW[[#This Row],['#of students in school]]="",WWWW[[#This Row],['#of students in school]]=0),"No","Yes")</f>
        <v>No</v>
      </c>
      <c r="BQ119" s="417" t="str">
        <f>VLOOKUP(WWWW[[#This Row],[Village  Name]],SiteDB6[[Site Name]:[Location Type 1]],9,FALSE)</f>
        <v>Village</v>
      </c>
      <c r="BR119" s="417" t="str">
        <f>VLOOKUP(WWWW[[#This Row],[Village  Name]],SiteDB6[[Site Name]:[Type of Accommodation]],10,FALSE)</f>
        <v>Village</v>
      </c>
      <c r="BS119" s="417">
        <f>VLOOKUP(WWWW[[#This Row],[Village  Name]],SiteDB6[[Site Name]:[Ethnic or GCA/NGCA]],11,FALSE)</f>
        <v>0</v>
      </c>
      <c r="BT119" s="417">
        <f>VLOOKUP(WWWW[[#This Row],[Village  Name]],SiteDB6[[Site Name]:[Lat]],12,FALSE)</f>
        <v>0</v>
      </c>
      <c r="BU119" s="417">
        <f>VLOOKUP(WWWW[[#This Row],[Village  Name]],SiteDB6[[Site Name]:[Long]],13,FALSE)</f>
        <v>0</v>
      </c>
      <c r="BV119" s="417">
        <f>VLOOKUP(WWWW[[#This Row],[Village  Name]],SiteDB6[[Site Name]:[Pcode]],3,FALSE)</f>
        <v>197039</v>
      </c>
      <c r="BW119" s="425" t="str">
        <f t="shared" si="4"/>
        <v>Covered</v>
      </c>
      <c r="BX119" s="425"/>
      <c r="BY119" s="33"/>
      <c r="CA119" s="431"/>
      <c r="CB119" s="33"/>
      <c r="CC119" s="36"/>
      <c r="CE119" s="37"/>
      <c r="CN119" s="20"/>
    </row>
    <row r="120" spans="1:92" hidden="1">
      <c r="A120" s="412" t="s">
        <v>2380</v>
      </c>
      <c r="B120" s="412" t="s">
        <v>316</v>
      </c>
      <c r="C120" s="418" t="s">
        <v>316</v>
      </c>
      <c r="D120" s="418" t="s">
        <v>309</v>
      </c>
      <c r="E120" s="551" t="s">
        <v>2687</v>
      </c>
      <c r="F120" s="418" t="s">
        <v>314</v>
      </c>
      <c r="G120" s="551" t="str">
        <f>VLOOKUP(WWWW[[#This Row],[Village  Name]],SiteDB6[[Site Name]:[Location Type]],8,FALSE)</f>
        <v>Village</v>
      </c>
      <c r="H120" s="418" t="s">
        <v>2639</v>
      </c>
      <c r="I120" s="420">
        <v>140</v>
      </c>
      <c r="J120" s="420">
        <v>985</v>
      </c>
      <c r="K120" s="426">
        <v>42736</v>
      </c>
      <c r="L120" s="427">
        <v>44551</v>
      </c>
      <c r="M120" s="420"/>
      <c r="N120" s="420"/>
      <c r="O120" s="420"/>
      <c r="P120" s="420"/>
      <c r="Q120" s="420"/>
      <c r="R120" s="420"/>
      <c r="S120" s="420"/>
      <c r="T120" s="642"/>
      <c r="U120" s="420"/>
      <c r="V120" s="611" t="s">
        <v>132</v>
      </c>
      <c r="W120" s="420"/>
      <c r="X120" s="420"/>
      <c r="Y120" s="420"/>
      <c r="Z120" s="420"/>
      <c r="AA120" s="420"/>
      <c r="AB120" s="642"/>
      <c r="AC120" s="420"/>
      <c r="AD120" s="420"/>
      <c r="AE120" s="420"/>
      <c r="AF120" s="420"/>
      <c r="AG120" s="420"/>
      <c r="AH120" s="420"/>
      <c r="AI120" s="420"/>
      <c r="AJ120" s="420"/>
      <c r="AK120" s="420"/>
      <c r="AL120" s="420"/>
      <c r="AM120" s="642"/>
      <c r="AN120" s="420"/>
      <c r="AO120" s="420"/>
      <c r="AP12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0" s="419">
        <f>WWWW[[#This Row],[%Equitable and continuous access to sufficient quantity of safe drinking water]]*WWWW[[#This Row],[Total PoP ]]</f>
        <v>0</v>
      </c>
      <c r="AR12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0" s="419">
        <f>WWWW[[#This Row],[% Access to unimproved water points]]*WWWW[[#This Row],[Total PoP ]]</f>
        <v>0</v>
      </c>
      <c r="AT12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0" s="419">
        <f>WWWW[[#This Row],[HRP1]]/250</f>
        <v>0</v>
      </c>
      <c r="AW120" s="424">
        <f>1-WWWW[[#This Row],[% Equitable and continuous access to sufficient quantity of domestic water]]</f>
        <v>1</v>
      </c>
      <c r="AX120" s="419">
        <f>WWWW[[#This Row],[%equitable and continuous access to sufficient quantity of safe drinking and domestic water''s GAP]]*WWWW[[#This Row],[Total PoP ]]</f>
        <v>985</v>
      </c>
      <c r="AY120" s="421">
        <f>IF(WWWW[[#This Row],[Total required water points]]-WWWW[[#This Row],['#Water points coverage]]&lt;0,0,WWWW[[#This Row],[Total required water points]]-WWWW[[#This Row],['#Water points coverage]])</f>
        <v>4</v>
      </c>
      <c r="AZ120" s="421">
        <f>ROUND(IF(WWWW[[#This Row],[Total PoP ]]&lt;250,1,WWWW[[#This Row],[Total PoP ]]/250),0)</f>
        <v>4</v>
      </c>
      <c r="BA12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0" s="419">
        <f>WWWW[[#This Row],[% people access to functioning Latrine]]*WWWW[[#This Row],[Total PoP ]]</f>
        <v>0</v>
      </c>
      <c r="BC120" s="421">
        <f>WWWW[[#This Row],['#_of_Functioning_latrines_in_school]]*50</f>
        <v>0</v>
      </c>
      <c r="BD120" s="421">
        <f>ROUND((WWWW[[#This Row],[Total PoP ]]/6),0)</f>
        <v>164</v>
      </c>
      <c r="BE120" s="421">
        <f>IF(WWWW[[#This Row],[Total required Latrines]]-(WWWW[[#This Row],['#_of_sanitary_fly-proof_HH_latrines]])&lt;0,0,WWWW[[#This Row],[Total required Latrines]]-(WWWW[[#This Row],['#_of_sanitary_fly-proof_HH_latrines]]))</f>
        <v>164</v>
      </c>
      <c r="BF120" s="563">
        <f>1-WWWW[[#This Row],[% people access to functioning Latrine]]</f>
        <v>1</v>
      </c>
      <c r="BG12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0" s="419">
        <f>IF(WWWW[[#This Row],['#_of_functional_handwashing_facilities_at_HH_level]]*6&gt;WWWW[[#This Row],[Total PoP ]],WWWW[[#This Row],[Total PoP ]],WWWW[[#This Row],['#_of_functional_handwashing_facilities_at_HH_level]]*6)</f>
        <v>0</v>
      </c>
      <c r="BI120" s="421">
        <f>IF(WWWW[[#This Row],['# people reached by regular dedicated hygiene promotion]]&gt;WWWW[[#This Row],['# People received regular supply of hygiene items]],WWWW[[#This Row],['# people reached by regular dedicated hygiene promotion]],WWWW[[#This Row],['# People received regular supply of hygiene items]])</f>
        <v>0</v>
      </c>
      <c r="BJ120" s="424">
        <f>IF(WWWW[[#This Row],[HRP3]]/WWWW[[#This Row],[Total PoP ]]&gt;100%,100%,WWWW[[#This Row],[HRP3]]/WWWW[[#This Row],[Total PoP ]])</f>
        <v>0</v>
      </c>
      <c r="BK120" s="423">
        <f>1-WWWW[[#This Row],[Hygiene Coverage%]]</f>
        <v>1</v>
      </c>
      <c r="BL120" s="422">
        <f>WWWW[[#This Row],['# people reached by regular dedicated hygiene promotion]]/WWWW[[#This Row],[Total PoP ]]</f>
        <v>0</v>
      </c>
      <c r="BM12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0" s="421">
        <f>WWWW[[#This Row],['#_of_affected_women_and_girls_receiving_a_sufficient_quantity_of_sanitary_pads]]</f>
        <v>0</v>
      </c>
      <c r="BO120" s="420">
        <f>IF(WWWW[[#This Row],['# People with access to soap]]&gt;WWWW[[#This Row],['# People with access to Sanity Pads]],WWWW[[#This Row],['# People with access to soap]],WWWW[[#This Row],['# People with access to Sanity Pads]])</f>
        <v>0</v>
      </c>
      <c r="BP120" s="419" t="str">
        <f>IF(OR(WWWW[[#This Row],['#of students in school]]="",WWWW[[#This Row],['#of students in school]]=0),"No","Yes")</f>
        <v>No</v>
      </c>
      <c r="BQ120" s="417" t="str">
        <f>VLOOKUP(WWWW[[#This Row],[Village  Name]],SiteDB6[[Site Name]:[Location Type 1]],9,FALSE)</f>
        <v>Village</v>
      </c>
      <c r="BR120" s="417" t="str">
        <f>VLOOKUP(WWWW[[#This Row],[Village  Name]],SiteDB6[[Site Name]:[Type of Accommodation]],10,FALSE)</f>
        <v>Village</v>
      </c>
      <c r="BS120" s="417">
        <f>VLOOKUP(WWWW[[#This Row],[Village  Name]],SiteDB6[[Site Name]:[Ethnic or GCA/NGCA]],11,FALSE)</f>
        <v>0</v>
      </c>
      <c r="BT120" s="417">
        <f>VLOOKUP(WWWW[[#This Row],[Village  Name]],SiteDB6[[Site Name]:[Lat]],12,FALSE)</f>
        <v>0</v>
      </c>
      <c r="BU120" s="417">
        <f>VLOOKUP(WWWW[[#This Row],[Village  Name]],SiteDB6[[Site Name]:[Long]],13,FALSE)</f>
        <v>0</v>
      </c>
      <c r="BV120" s="417">
        <f>VLOOKUP(WWWW[[#This Row],[Village  Name]],SiteDB6[[Site Name]:[Pcode]],3,FALSE)</f>
        <v>197041</v>
      </c>
      <c r="BW120" s="425" t="str">
        <f t="shared" si="4"/>
        <v>Covered</v>
      </c>
      <c r="BX120" s="425"/>
      <c r="BY120" s="33"/>
      <c r="CA120" s="431"/>
      <c r="CB120" s="33"/>
      <c r="CC120" s="36"/>
      <c r="CE120" s="37"/>
      <c r="CN120" s="20"/>
    </row>
    <row r="121" spans="1:92" hidden="1">
      <c r="A121" s="412" t="s">
        <v>2380</v>
      </c>
      <c r="B121" s="412" t="s">
        <v>316</v>
      </c>
      <c r="C121" s="418" t="s">
        <v>316</v>
      </c>
      <c r="D121" s="418" t="s">
        <v>309</v>
      </c>
      <c r="E121" s="551" t="s">
        <v>2687</v>
      </c>
      <c r="F121" s="418" t="s">
        <v>314</v>
      </c>
      <c r="G121" s="551" t="str">
        <f>VLOOKUP(WWWW[[#This Row],[Village  Name]],SiteDB6[[Site Name]:[Location Type]],8,FALSE)</f>
        <v>Village</v>
      </c>
      <c r="H121" s="418" t="s">
        <v>2640</v>
      </c>
      <c r="I121" s="420">
        <v>157</v>
      </c>
      <c r="J121" s="420">
        <v>735</v>
      </c>
      <c r="K121" s="426">
        <v>42736</v>
      </c>
      <c r="L121" s="427">
        <v>44551</v>
      </c>
      <c r="M121" s="420"/>
      <c r="N121" s="420"/>
      <c r="O121" s="420"/>
      <c r="P121" s="420"/>
      <c r="Q121" s="420"/>
      <c r="R121" s="420"/>
      <c r="S121" s="420"/>
      <c r="T121" s="642"/>
      <c r="U121" s="420"/>
      <c r="V121" s="611" t="s">
        <v>132</v>
      </c>
      <c r="W121" s="420"/>
      <c r="X121" s="420"/>
      <c r="Y121" s="420"/>
      <c r="Z121" s="420"/>
      <c r="AA121" s="420"/>
      <c r="AB121" s="642"/>
      <c r="AC121" s="420"/>
      <c r="AD121" s="420"/>
      <c r="AE121" s="420"/>
      <c r="AF121" s="420"/>
      <c r="AG121" s="420"/>
      <c r="AH121" s="420"/>
      <c r="AI121" s="420"/>
      <c r="AJ121" s="420"/>
      <c r="AK121" s="420"/>
      <c r="AL121" s="420"/>
      <c r="AM121" s="642"/>
      <c r="AN121" s="420"/>
      <c r="AO121" s="420"/>
      <c r="AP12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1" s="419">
        <f>WWWW[[#This Row],[%Equitable and continuous access to sufficient quantity of safe drinking water]]*WWWW[[#This Row],[Total PoP ]]</f>
        <v>0</v>
      </c>
      <c r="AR12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1" s="419">
        <f>WWWW[[#This Row],[% Access to unimproved water points]]*WWWW[[#This Row],[Total PoP ]]</f>
        <v>0</v>
      </c>
      <c r="AT12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1" s="419">
        <f>WWWW[[#This Row],[HRP1]]/250</f>
        <v>0</v>
      </c>
      <c r="AW121" s="424">
        <f>1-WWWW[[#This Row],[% Equitable and continuous access to sufficient quantity of domestic water]]</f>
        <v>1</v>
      </c>
      <c r="AX121" s="419">
        <f>WWWW[[#This Row],[%equitable and continuous access to sufficient quantity of safe drinking and domestic water''s GAP]]*WWWW[[#This Row],[Total PoP ]]</f>
        <v>735</v>
      </c>
      <c r="AY121" s="421">
        <f>IF(WWWW[[#This Row],[Total required water points]]-WWWW[[#This Row],['#Water points coverage]]&lt;0,0,WWWW[[#This Row],[Total required water points]]-WWWW[[#This Row],['#Water points coverage]])</f>
        <v>3</v>
      </c>
      <c r="AZ121" s="421">
        <f>ROUND(IF(WWWW[[#This Row],[Total PoP ]]&lt;250,1,WWWW[[#This Row],[Total PoP ]]/250),0)</f>
        <v>3</v>
      </c>
      <c r="BA12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1" s="419">
        <f>WWWW[[#This Row],[% people access to functioning Latrine]]*WWWW[[#This Row],[Total PoP ]]</f>
        <v>0</v>
      </c>
      <c r="BC121" s="421">
        <f>WWWW[[#This Row],['#_of_Functioning_latrines_in_school]]*50</f>
        <v>0</v>
      </c>
      <c r="BD121" s="421">
        <f>ROUND((WWWW[[#This Row],[Total PoP ]]/6),0)</f>
        <v>123</v>
      </c>
      <c r="BE121" s="421">
        <f>IF(WWWW[[#This Row],[Total required Latrines]]-(WWWW[[#This Row],['#_of_sanitary_fly-proof_HH_latrines]])&lt;0,0,WWWW[[#This Row],[Total required Latrines]]-(WWWW[[#This Row],['#_of_sanitary_fly-proof_HH_latrines]]))</f>
        <v>123</v>
      </c>
      <c r="BF121" s="563">
        <f>1-WWWW[[#This Row],[% people access to functioning Latrine]]</f>
        <v>1</v>
      </c>
      <c r="BG12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1" s="419">
        <f>IF(WWWW[[#This Row],['#_of_functional_handwashing_facilities_at_HH_level]]*6&gt;WWWW[[#This Row],[Total PoP ]],WWWW[[#This Row],[Total PoP ]],WWWW[[#This Row],['#_of_functional_handwashing_facilities_at_HH_level]]*6)</f>
        <v>0</v>
      </c>
      <c r="BI121" s="421">
        <f>IF(WWWW[[#This Row],['# people reached by regular dedicated hygiene promotion]]&gt;WWWW[[#This Row],['# People received regular supply of hygiene items]],WWWW[[#This Row],['# people reached by regular dedicated hygiene promotion]],WWWW[[#This Row],['# People received regular supply of hygiene items]])</f>
        <v>0</v>
      </c>
      <c r="BJ121" s="424">
        <f>IF(WWWW[[#This Row],[HRP3]]/WWWW[[#This Row],[Total PoP ]]&gt;100%,100%,WWWW[[#This Row],[HRP3]]/WWWW[[#This Row],[Total PoP ]])</f>
        <v>0</v>
      </c>
      <c r="BK121" s="423">
        <f>1-WWWW[[#This Row],[Hygiene Coverage%]]</f>
        <v>1</v>
      </c>
      <c r="BL121" s="422">
        <f>WWWW[[#This Row],['# people reached by regular dedicated hygiene promotion]]/WWWW[[#This Row],[Total PoP ]]</f>
        <v>0</v>
      </c>
      <c r="BM12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1" s="421">
        <f>WWWW[[#This Row],['#_of_affected_women_and_girls_receiving_a_sufficient_quantity_of_sanitary_pads]]</f>
        <v>0</v>
      </c>
      <c r="BO121" s="420">
        <f>IF(WWWW[[#This Row],['# People with access to soap]]&gt;WWWW[[#This Row],['# People with access to Sanity Pads]],WWWW[[#This Row],['# People with access to soap]],WWWW[[#This Row],['# People with access to Sanity Pads]])</f>
        <v>0</v>
      </c>
      <c r="BP121" s="419" t="str">
        <f>IF(OR(WWWW[[#This Row],['#of students in school]]="",WWWW[[#This Row],['#of students in school]]=0),"No","Yes")</f>
        <v>No</v>
      </c>
      <c r="BQ121" s="417" t="str">
        <f>VLOOKUP(WWWW[[#This Row],[Village  Name]],SiteDB6[[Site Name]:[Location Type 1]],9,FALSE)</f>
        <v>Village</v>
      </c>
      <c r="BR121" s="417" t="str">
        <f>VLOOKUP(WWWW[[#This Row],[Village  Name]],SiteDB6[[Site Name]:[Type of Accommodation]],10,FALSE)</f>
        <v>Village</v>
      </c>
      <c r="BS121" s="417">
        <f>VLOOKUP(WWWW[[#This Row],[Village  Name]],SiteDB6[[Site Name]:[Ethnic or GCA/NGCA]],11,FALSE)</f>
        <v>0</v>
      </c>
      <c r="BT121" s="417">
        <f>VLOOKUP(WWWW[[#This Row],[Village  Name]],SiteDB6[[Site Name]:[Lat]],12,FALSE)</f>
        <v>0</v>
      </c>
      <c r="BU121" s="417">
        <f>VLOOKUP(WWWW[[#This Row],[Village  Name]],SiteDB6[[Site Name]:[Long]],13,FALSE)</f>
        <v>0</v>
      </c>
      <c r="BV121" s="417">
        <f>VLOOKUP(WWWW[[#This Row],[Village  Name]],SiteDB6[[Site Name]:[Pcode]],3,FALSE)</f>
        <v>197042</v>
      </c>
      <c r="BW121" s="425" t="str">
        <f t="shared" si="4"/>
        <v>Covered</v>
      </c>
      <c r="BX121" s="425"/>
      <c r="BY121" s="33"/>
      <c r="CA121" s="431"/>
      <c r="CB121" s="33"/>
      <c r="CC121" s="36"/>
      <c r="CE121" s="37"/>
      <c r="CN121" s="20"/>
    </row>
    <row r="122" spans="1:92" hidden="1">
      <c r="A122" s="412" t="s">
        <v>2380</v>
      </c>
      <c r="B122" s="412" t="s">
        <v>316</v>
      </c>
      <c r="C122" s="418" t="s">
        <v>316</v>
      </c>
      <c r="D122" s="418" t="s">
        <v>309</v>
      </c>
      <c r="E122" s="551" t="s">
        <v>2687</v>
      </c>
      <c r="F122" s="418" t="s">
        <v>314</v>
      </c>
      <c r="G122" s="551" t="str">
        <f>VLOOKUP(WWWW[[#This Row],[Village  Name]],SiteDB6[[Site Name]:[Location Type]],8,FALSE)</f>
        <v>Village</v>
      </c>
      <c r="H122" s="418" t="s">
        <v>2641</v>
      </c>
      <c r="I122" s="420">
        <v>35</v>
      </c>
      <c r="J122" s="420">
        <v>142</v>
      </c>
      <c r="K122" s="426">
        <v>42736</v>
      </c>
      <c r="L122" s="427">
        <v>44551</v>
      </c>
      <c r="M122" s="420"/>
      <c r="N122" s="420"/>
      <c r="O122" s="420"/>
      <c r="P122" s="420"/>
      <c r="Q122" s="420"/>
      <c r="R122" s="420"/>
      <c r="S122" s="420"/>
      <c r="T122" s="642"/>
      <c r="U122" s="420"/>
      <c r="V122" s="611" t="s">
        <v>132</v>
      </c>
      <c r="W122" s="420"/>
      <c r="X122" s="420"/>
      <c r="Y122" s="420"/>
      <c r="Z122" s="420"/>
      <c r="AA122" s="420"/>
      <c r="AB122" s="642"/>
      <c r="AC122" s="420"/>
      <c r="AD122" s="420"/>
      <c r="AE122" s="420"/>
      <c r="AF122" s="420"/>
      <c r="AG122" s="420"/>
      <c r="AH122" s="420"/>
      <c r="AI122" s="420"/>
      <c r="AJ122" s="420"/>
      <c r="AK122" s="420"/>
      <c r="AL122" s="420"/>
      <c r="AM122" s="642"/>
      <c r="AN122" s="420"/>
      <c r="AO122" s="420"/>
      <c r="AP12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2" s="419">
        <f>WWWW[[#This Row],[%Equitable and continuous access to sufficient quantity of safe drinking water]]*WWWW[[#This Row],[Total PoP ]]</f>
        <v>0</v>
      </c>
      <c r="AR12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2" s="419">
        <f>WWWW[[#This Row],[% Access to unimproved water points]]*WWWW[[#This Row],[Total PoP ]]</f>
        <v>0</v>
      </c>
      <c r="AT12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2" s="419">
        <f>WWWW[[#This Row],[HRP1]]/250</f>
        <v>0</v>
      </c>
      <c r="AW122" s="424">
        <f>1-WWWW[[#This Row],[% Equitable and continuous access to sufficient quantity of domestic water]]</f>
        <v>1</v>
      </c>
      <c r="AX122" s="419">
        <f>WWWW[[#This Row],[%equitable and continuous access to sufficient quantity of safe drinking and domestic water''s GAP]]*WWWW[[#This Row],[Total PoP ]]</f>
        <v>142</v>
      </c>
      <c r="AY122" s="421">
        <f>IF(WWWW[[#This Row],[Total required water points]]-WWWW[[#This Row],['#Water points coverage]]&lt;0,0,WWWW[[#This Row],[Total required water points]]-WWWW[[#This Row],['#Water points coverage]])</f>
        <v>1</v>
      </c>
      <c r="AZ122" s="421">
        <f>ROUND(IF(WWWW[[#This Row],[Total PoP ]]&lt;250,1,WWWW[[#This Row],[Total PoP ]]/250),0)</f>
        <v>1</v>
      </c>
      <c r="BA12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2" s="419">
        <f>WWWW[[#This Row],[% people access to functioning Latrine]]*WWWW[[#This Row],[Total PoP ]]</f>
        <v>0</v>
      </c>
      <c r="BC122" s="421">
        <f>WWWW[[#This Row],['#_of_Functioning_latrines_in_school]]*50</f>
        <v>0</v>
      </c>
      <c r="BD122" s="421">
        <f>ROUND((WWWW[[#This Row],[Total PoP ]]/6),0)</f>
        <v>24</v>
      </c>
      <c r="BE122" s="421">
        <f>IF(WWWW[[#This Row],[Total required Latrines]]-(WWWW[[#This Row],['#_of_sanitary_fly-proof_HH_latrines]])&lt;0,0,WWWW[[#This Row],[Total required Latrines]]-(WWWW[[#This Row],['#_of_sanitary_fly-proof_HH_latrines]]))</f>
        <v>24</v>
      </c>
      <c r="BF122" s="563">
        <f>1-WWWW[[#This Row],[% people access to functioning Latrine]]</f>
        <v>1</v>
      </c>
      <c r="BG12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2" s="419">
        <f>IF(WWWW[[#This Row],['#_of_functional_handwashing_facilities_at_HH_level]]*6&gt;WWWW[[#This Row],[Total PoP ]],WWWW[[#This Row],[Total PoP ]],WWWW[[#This Row],['#_of_functional_handwashing_facilities_at_HH_level]]*6)</f>
        <v>0</v>
      </c>
      <c r="BI122" s="421">
        <f>IF(WWWW[[#This Row],['# people reached by regular dedicated hygiene promotion]]&gt;WWWW[[#This Row],['# People received regular supply of hygiene items]],WWWW[[#This Row],['# people reached by regular dedicated hygiene promotion]],WWWW[[#This Row],['# People received regular supply of hygiene items]])</f>
        <v>0</v>
      </c>
      <c r="BJ122" s="424">
        <f>IF(WWWW[[#This Row],[HRP3]]/WWWW[[#This Row],[Total PoP ]]&gt;100%,100%,WWWW[[#This Row],[HRP3]]/WWWW[[#This Row],[Total PoP ]])</f>
        <v>0</v>
      </c>
      <c r="BK122" s="423">
        <f>1-WWWW[[#This Row],[Hygiene Coverage%]]</f>
        <v>1</v>
      </c>
      <c r="BL122" s="422">
        <f>WWWW[[#This Row],['# people reached by regular dedicated hygiene promotion]]/WWWW[[#This Row],[Total PoP ]]</f>
        <v>0</v>
      </c>
      <c r="BM12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2" s="421">
        <f>WWWW[[#This Row],['#_of_affected_women_and_girls_receiving_a_sufficient_quantity_of_sanitary_pads]]</f>
        <v>0</v>
      </c>
      <c r="BO122" s="420">
        <f>IF(WWWW[[#This Row],['# People with access to soap]]&gt;WWWW[[#This Row],['# People with access to Sanity Pads]],WWWW[[#This Row],['# People with access to soap]],WWWW[[#This Row],['# People with access to Sanity Pads]])</f>
        <v>0</v>
      </c>
      <c r="BP122" s="419" t="str">
        <f>IF(OR(WWWW[[#This Row],['#of students in school]]="",WWWW[[#This Row],['#of students in school]]=0),"No","Yes")</f>
        <v>No</v>
      </c>
      <c r="BQ122" s="417" t="str">
        <f>VLOOKUP(WWWW[[#This Row],[Village  Name]],SiteDB6[[Site Name]:[Location Type 1]],9,FALSE)</f>
        <v>Village</v>
      </c>
      <c r="BR122" s="417" t="str">
        <f>VLOOKUP(WWWW[[#This Row],[Village  Name]],SiteDB6[[Site Name]:[Type of Accommodation]],10,FALSE)</f>
        <v>Village</v>
      </c>
      <c r="BS122" s="417">
        <f>VLOOKUP(WWWW[[#This Row],[Village  Name]],SiteDB6[[Site Name]:[Ethnic or GCA/NGCA]],11,FALSE)</f>
        <v>0</v>
      </c>
      <c r="BT122" s="417">
        <f>VLOOKUP(WWWW[[#This Row],[Village  Name]],SiteDB6[[Site Name]:[Lat]],12,FALSE)</f>
        <v>0</v>
      </c>
      <c r="BU122" s="417">
        <f>VLOOKUP(WWWW[[#This Row],[Village  Name]],SiteDB6[[Site Name]:[Long]],13,FALSE)</f>
        <v>0</v>
      </c>
      <c r="BV122" s="417">
        <f>VLOOKUP(WWWW[[#This Row],[Village  Name]],SiteDB6[[Site Name]:[Pcode]],3,FALSE)</f>
        <v>197043</v>
      </c>
      <c r="BW122" s="425" t="str">
        <f t="shared" si="4"/>
        <v>Covered</v>
      </c>
      <c r="BX122" s="425"/>
      <c r="BY122" s="33"/>
      <c r="CA122" s="431"/>
      <c r="CB122" s="33"/>
      <c r="CC122" s="36"/>
      <c r="CE122" s="37"/>
      <c r="CN122" s="20"/>
    </row>
    <row r="123" spans="1:92" hidden="1">
      <c r="A123" s="412" t="s">
        <v>2380</v>
      </c>
      <c r="B123" s="412" t="s">
        <v>316</v>
      </c>
      <c r="C123" s="418" t="s">
        <v>316</v>
      </c>
      <c r="D123" s="418" t="s">
        <v>309</v>
      </c>
      <c r="E123" s="551" t="s">
        <v>2687</v>
      </c>
      <c r="F123" s="418" t="s">
        <v>314</v>
      </c>
      <c r="G123" s="551" t="str">
        <f>VLOOKUP(WWWW[[#This Row],[Village  Name]],SiteDB6[[Site Name]:[Location Type]],8,FALSE)</f>
        <v>Village</v>
      </c>
      <c r="H123" s="418" t="s">
        <v>2642</v>
      </c>
      <c r="I123" s="420">
        <v>148</v>
      </c>
      <c r="J123" s="420">
        <v>630</v>
      </c>
      <c r="K123" s="426">
        <v>42736</v>
      </c>
      <c r="L123" s="427">
        <v>44551</v>
      </c>
      <c r="M123" s="420"/>
      <c r="N123" s="420"/>
      <c r="O123" s="420"/>
      <c r="P123" s="420"/>
      <c r="Q123" s="420"/>
      <c r="R123" s="420"/>
      <c r="S123" s="420"/>
      <c r="T123" s="642"/>
      <c r="U123" s="420"/>
      <c r="V123" s="611" t="s">
        <v>132</v>
      </c>
      <c r="W123" s="420"/>
      <c r="X123" s="420"/>
      <c r="Y123" s="420"/>
      <c r="Z123" s="420"/>
      <c r="AA123" s="420"/>
      <c r="AB123" s="642"/>
      <c r="AC123" s="420"/>
      <c r="AD123" s="420"/>
      <c r="AE123" s="420"/>
      <c r="AF123" s="420"/>
      <c r="AG123" s="420"/>
      <c r="AH123" s="420"/>
      <c r="AI123" s="420"/>
      <c r="AJ123" s="420"/>
      <c r="AK123" s="420"/>
      <c r="AL123" s="420"/>
      <c r="AM123" s="642"/>
      <c r="AN123" s="420"/>
      <c r="AO123" s="420"/>
      <c r="AP12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3" s="419">
        <f>WWWW[[#This Row],[%Equitable and continuous access to sufficient quantity of safe drinking water]]*WWWW[[#This Row],[Total PoP ]]</f>
        <v>0</v>
      </c>
      <c r="AR12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3" s="419">
        <f>WWWW[[#This Row],[% Access to unimproved water points]]*WWWW[[#This Row],[Total PoP ]]</f>
        <v>0</v>
      </c>
      <c r="AT12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3" s="419">
        <f>WWWW[[#This Row],[HRP1]]/250</f>
        <v>0</v>
      </c>
      <c r="AW123" s="424">
        <f>1-WWWW[[#This Row],[% Equitable and continuous access to sufficient quantity of domestic water]]</f>
        <v>1</v>
      </c>
      <c r="AX123" s="419">
        <f>WWWW[[#This Row],[%equitable and continuous access to sufficient quantity of safe drinking and domestic water''s GAP]]*WWWW[[#This Row],[Total PoP ]]</f>
        <v>630</v>
      </c>
      <c r="AY123" s="421">
        <f>IF(WWWW[[#This Row],[Total required water points]]-WWWW[[#This Row],['#Water points coverage]]&lt;0,0,WWWW[[#This Row],[Total required water points]]-WWWW[[#This Row],['#Water points coverage]])</f>
        <v>3</v>
      </c>
      <c r="AZ123" s="421">
        <f>ROUND(IF(WWWW[[#This Row],[Total PoP ]]&lt;250,1,WWWW[[#This Row],[Total PoP ]]/250),0)</f>
        <v>3</v>
      </c>
      <c r="BA12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3" s="419">
        <f>WWWW[[#This Row],[% people access to functioning Latrine]]*WWWW[[#This Row],[Total PoP ]]</f>
        <v>0</v>
      </c>
      <c r="BC123" s="421">
        <f>WWWW[[#This Row],['#_of_Functioning_latrines_in_school]]*50</f>
        <v>0</v>
      </c>
      <c r="BD123" s="421">
        <f>ROUND((WWWW[[#This Row],[Total PoP ]]/6),0)</f>
        <v>105</v>
      </c>
      <c r="BE123" s="421">
        <f>IF(WWWW[[#This Row],[Total required Latrines]]-(WWWW[[#This Row],['#_of_sanitary_fly-proof_HH_latrines]])&lt;0,0,WWWW[[#This Row],[Total required Latrines]]-(WWWW[[#This Row],['#_of_sanitary_fly-proof_HH_latrines]]))</f>
        <v>105</v>
      </c>
      <c r="BF123" s="563">
        <f>1-WWWW[[#This Row],[% people access to functioning Latrine]]</f>
        <v>1</v>
      </c>
      <c r="BG12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3" s="419">
        <f>IF(WWWW[[#This Row],['#_of_functional_handwashing_facilities_at_HH_level]]*6&gt;WWWW[[#This Row],[Total PoP ]],WWWW[[#This Row],[Total PoP ]],WWWW[[#This Row],['#_of_functional_handwashing_facilities_at_HH_level]]*6)</f>
        <v>0</v>
      </c>
      <c r="BI123" s="421">
        <f>IF(WWWW[[#This Row],['# people reached by regular dedicated hygiene promotion]]&gt;WWWW[[#This Row],['# People received regular supply of hygiene items]],WWWW[[#This Row],['# people reached by regular dedicated hygiene promotion]],WWWW[[#This Row],['# People received regular supply of hygiene items]])</f>
        <v>0</v>
      </c>
      <c r="BJ123" s="424">
        <f>IF(WWWW[[#This Row],[HRP3]]/WWWW[[#This Row],[Total PoP ]]&gt;100%,100%,WWWW[[#This Row],[HRP3]]/WWWW[[#This Row],[Total PoP ]])</f>
        <v>0</v>
      </c>
      <c r="BK123" s="423">
        <f>1-WWWW[[#This Row],[Hygiene Coverage%]]</f>
        <v>1</v>
      </c>
      <c r="BL123" s="422">
        <f>WWWW[[#This Row],['# people reached by regular dedicated hygiene promotion]]/WWWW[[#This Row],[Total PoP ]]</f>
        <v>0</v>
      </c>
      <c r="BM12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3" s="421">
        <f>WWWW[[#This Row],['#_of_affected_women_and_girls_receiving_a_sufficient_quantity_of_sanitary_pads]]</f>
        <v>0</v>
      </c>
      <c r="BO123" s="420">
        <f>IF(WWWW[[#This Row],['# People with access to soap]]&gt;WWWW[[#This Row],['# People with access to Sanity Pads]],WWWW[[#This Row],['# People with access to soap]],WWWW[[#This Row],['# People with access to Sanity Pads]])</f>
        <v>0</v>
      </c>
      <c r="BP123" s="419" t="str">
        <f>IF(OR(WWWW[[#This Row],['#of students in school]]="",WWWW[[#This Row],['#of students in school]]=0),"No","Yes")</f>
        <v>No</v>
      </c>
      <c r="BQ123" s="417" t="str">
        <f>VLOOKUP(WWWW[[#This Row],[Village  Name]],SiteDB6[[Site Name]:[Location Type 1]],9,FALSE)</f>
        <v>Village</v>
      </c>
      <c r="BR123" s="417" t="str">
        <f>VLOOKUP(WWWW[[#This Row],[Village  Name]],SiteDB6[[Site Name]:[Type of Accommodation]],10,FALSE)</f>
        <v>Village</v>
      </c>
      <c r="BS123" s="417">
        <f>VLOOKUP(WWWW[[#This Row],[Village  Name]],SiteDB6[[Site Name]:[Ethnic or GCA/NGCA]],11,FALSE)</f>
        <v>0</v>
      </c>
      <c r="BT123" s="417">
        <f>VLOOKUP(WWWW[[#This Row],[Village  Name]],SiteDB6[[Site Name]:[Lat]],12,FALSE)</f>
        <v>0</v>
      </c>
      <c r="BU123" s="417">
        <f>VLOOKUP(WWWW[[#This Row],[Village  Name]],SiteDB6[[Site Name]:[Long]],13,FALSE)</f>
        <v>0</v>
      </c>
      <c r="BV123" s="417">
        <f>VLOOKUP(WWWW[[#This Row],[Village  Name]],SiteDB6[[Site Name]:[Pcode]],3,FALSE)</f>
        <v>197089</v>
      </c>
      <c r="BW123" s="425" t="str">
        <f t="shared" si="4"/>
        <v>Covered</v>
      </c>
      <c r="BX123" s="425"/>
      <c r="BY123" s="33"/>
      <c r="CA123" s="431"/>
      <c r="CB123" s="33"/>
      <c r="CC123" s="36"/>
      <c r="CE123" s="37"/>
      <c r="CN123" s="20"/>
    </row>
    <row r="124" spans="1:92" hidden="1">
      <c r="A124" s="412" t="s">
        <v>2380</v>
      </c>
      <c r="B124" s="412" t="s">
        <v>316</v>
      </c>
      <c r="C124" s="418" t="s">
        <v>316</v>
      </c>
      <c r="D124" s="418" t="s">
        <v>309</v>
      </c>
      <c r="E124" s="551" t="s">
        <v>2687</v>
      </c>
      <c r="F124" s="418" t="s">
        <v>314</v>
      </c>
      <c r="G124" s="551" t="str">
        <f>VLOOKUP(WWWW[[#This Row],[Village  Name]],SiteDB6[[Site Name]:[Location Type]],8,FALSE)</f>
        <v>Village</v>
      </c>
      <c r="H124" s="418" t="s">
        <v>2643</v>
      </c>
      <c r="I124" s="420">
        <v>135</v>
      </c>
      <c r="J124" s="420">
        <v>593</v>
      </c>
      <c r="K124" s="426">
        <v>42736</v>
      </c>
      <c r="L124" s="427">
        <v>44551</v>
      </c>
      <c r="M124" s="420"/>
      <c r="N124" s="420"/>
      <c r="O124" s="420"/>
      <c r="P124" s="420"/>
      <c r="Q124" s="420"/>
      <c r="R124" s="420"/>
      <c r="S124" s="420"/>
      <c r="T124" s="642"/>
      <c r="U124" s="420"/>
      <c r="V124" s="611" t="s">
        <v>132</v>
      </c>
      <c r="W124" s="420"/>
      <c r="X124" s="420"/>
      <c r="Y124" s="420"/>
      <c r="Z124" s="420"/>
      <c r="AA124" s="420"/>
      <c r="AB124" s="642"/>
      <c r="AC124" s="420"/>
      <c r="AD124" s="420"/>
      <c r="AE124" s="420"/>
      <c r="AF124" s="420"/>
      <c r="AG124" s="420"/>
      <c r="AH124" s="420"/>
      <c r="AI124" s="420"/>
      <c r="AJ124" s="420"/>
      <c r="AK124" s="420"/>
      <c r="AL124" s="420"/>
      <c r="AM124" s="642"/>
      <c r="AN124" s="420"/>
      <c r="AO124" s="420"/>
      <c r="AP12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4" s="419">
        <f>WWWW[[#This Row],[%Equitable and continuous access to sufficient quantity of safe drinking water]]*WWWW[[#This Row],[Total PoP ]]</f>
        <v>0</v>
      </c>
      <c r="AR12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4" s="419">
        <f>WWWW[[#This Row],[% Access to unimproved water points]]*WWWW[[#This Row],[Total PoP ]]</f>
        <v>0</v>
      </c>
      <c r="AT12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4" s="419">
        <f>WWWW[[#This Row],[HRP1]]/250</f>
        <v>0</v>
      </c>
      <c r="AW124" s="424">
        <f>1-WWWW[[#This Row],[% Equitable and continuous access to sufficient quantity of domestic water]]</f>
        <v>1</v>
      </c>
      <c r="AX124" s="419">
        <f>WWWW[[#This Row],[%equitable and continuous access to sufficient quantity of safe drinking and domestic water''s GAP]]*WWWW[[#This Row],[Total PoP ]]</f>
        <v>593</v>
      </c>
      <c r="AY124" s="421">
        <f>IF(WWWW[[#This Row],[Total required water points]]-WWWW[[#This Row],['#Water points coverage]]&lt;0,0,WWWW[[#This Row],[Total required water points]]-WWWW[[#This Row],['#Water points coverage]])</f>
        <v>2</v>
      </c>
      <c r="AZ124" s="421">
        <f>ROUND(IF(WWWW[[#This Row],[Total PoP ]]&lt;250,1,WWWW[[#This Row],[Total PoP ]]/250),0)</f>
        <v>2</v>
      </c>
      <c r="BA12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4" s="419">
        <f>WWWW[[#This Row],[% people access to functioning Latrine]]*WWWW[[#This Row],[Total PoP ]]</f>
        <v>0</v>
      </c>
      <c r="BC124" s="421">
        <f>WWWW[[#This Row],['#_of_Functioning_latrines_in_school]]*50</f>
        <v>0</v>
      </c>
      <c r="BD124" s="421">
        <f>ROUND((WWWW[[#This Row],[Total PoP ]]/6),0)</f>
        <v>99</v>
      </c>
      <c r="BE124" s="421">
        <f>IF(WWWW[[#This Row],[Total required Latrines]]-(WWWW[[#This Row],['#_of_sanitary_fly-proof_HH_latrines]])&lt;0,0,WWWW[[#This Row],[Total required Latrines]]-(WWWW[[#This Row],['#_of_sanitary_fly-proof_HH_latrines]]))</f>
        <v>99</v>
      </c>
      <c r="BF124" s="563">
        <f>1-WWWW[[#This Row],[% people access to functioning Latrine]]</f>
        <v>1</v>
      </c>
      <c r="BG12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4" s="419">
        <f>IF(WWWW[[#This Row],['#_of_functional_handwashing_facilities_at_HH_level]]*6&gt;WWWW[[#This Row],[Total PoP ]],WWWW[[#This Row],[Total PoP ]],WWWW[[#This Row],['#_of_functional_handwashing_facilities_at_HH_level]]*6)</f>
        <v>0</v>
      </c>
      <c r="BI124" s="421">
        <f>IF(WWWW[[#This Row],['# people reached by regular dedicated hygiene promotion]]&gt;WWWW[[#This Row],['# People received regular supply of hygiene items]],WWWW[[#This Row],['# people reached by regular dedicated hygiene promotion]],WWWW[[#This Row],['# People received regular supply of hygiene items]])</f>
        <v>0</v>
      </c>
      <c r="BJ124" s="424">
        <f>IF(WWWW[[#This Row],[HRP3]]/WWWW[[#This Row],[Total PoP ]]&gt;100%,100%,WWWW[[#This Row],[HRP3]]/WWWW[[#This Row],[Total PoP ]])</f>
        <v>0</v>
      </c>
      <c r="BK124" s="423">
        <f>1-WWWW[[#This Row],[Hygiene Coverage%]]</f>
        <v>1</v>
      </c>
      <c r="BL124" s="422">
        <f>WWWW[[#This Row],['# people reached by regular dedicated hygiene promotion]]/WWWW[[#This Row],[Total PoP ]]</f>
        <v>0</v>
      </c>
      <c r="BM12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4" s="421">
        <f>WWWW[[#This Row],['#_of_affected_women_and_girls_receiving_a_sufficient_quantity_of_sanitary_pads]]</f>
        <v>0</v>
      </c>
      <c r="BO124" s="420">
        <f>IF(WWWW[[#This Row],['# People with access to soap]]&gt;WWWW[[#This Row],['# People with access to Sanity Pads]],WWWW[[#This Row],['# People with access to soap]],WWWW[[#This Row],['# People with access to Sanity Pads]])</f>
        <v>0</v>
      </c>
      <c r="BP124" s="419" t="str">
        <f>IF(OR(WWWW[[#This Row],['#of students in school]]="",WWWW[[#This Row],['#of students in school]]=0),"No","Yes")</f>
        <v>No</v>
      </c>
      <c r="BQ124" s="417" t="str">
        <f>VLOOKUP(WWWW[[#This Row],[Village  Name]],SiteDB6[[Site Name]:[Location Type 1]],9,FALSE)</f>
        <v>Village</v>
      </c>
      <c r="BR124" s="417" t="str">
        <f>VLOOKUP(WWWW[[#This Row],[Village  Name]],SiteDB6[[Site Name]:[Type of Accommodation]],10,FALSE)</f>
        <v>Village</v>
      </c>
      <c r="BS124" s="417">
        <f>VLOOKUP(WWWW[[#This Row],[Village  Name]],SiteDB6[[Site Name]:[Ethnic or GCA/NGCA]],11,FALSE)</f>
        <v>0</v>
      </c>
      <c r="BT124" s="417">
        <f>VLOOKUP(WWWW[[#This Row],[Village  Name]],SiteDB6[[Site Name]:[Lat]],12,FALSE)</f>
        <v>0</v>
      </c>
      <c r="BU124" s="417">
        <f>VLOOKUP(WWWW[[#This Row],[Village  Name]],SiteDB6[[Site Name]:[Long]],13,FALSE)</f>
        <v>0</v>
      </c>
      <c r="BV124" s="417">
        <f>VLOOKUP(WWWW[[#This Row],[Village  Name]],SiteDB6[[Site Name]:[Pcode]],3,FALSE)</f>
        <v>197090</v>
      </c>
      <c r="BW124" s="425" t="str">
        <f t="shared" si="4"/>
        <v>Covered</v>
      </c>
      <c r="BX124" s="425"/>
      <c r="BY124" s="33"/>
      <c r="CA124" s="431"/>
      <c r="CB124" s="33"/>
      <c r="CC124" s="36"/>
      <c r="CE124" s="37"/>
      <c r="CN124" s="20"/>
    </row>
    <row r="125" spans="1:92" hidden="1">
      <c r="A125" s="412" t="s">
        <v>2380</v>
      </c>
      <c r="B125" s="412" t="s">
        <v>316</v>
      </c>
      <c r="C125" s="418" t="s">
        <v>316</v>
      </c>
      <c r="D125" s="418" t="s">
        <v>309</v>
      </c>
      <c r="E125" s="551" t="s">
        <v>2687</v>
      </c>
      <c r="F125" s="418" t="s">
        <v>314</v>
      </c>
      <c r="G125" s="551" t="str">
        <f>VLOOKUP(WWWW[[#This Row],[Village  Name]],SiteDB6[[Site Name]:[Location Type]],8,FALSE)</f>
        <v>Village</v>
      </c>
      <c r="H125" s="418" t="s">
        <v>878</v>
      </c>
      <c r="I125" s="420">
        <v>139</v>
      </c>
      <c r="J125" s="420">
        <v>585</v>
      </c>
      <c r="K125" s="426">
        <v>42736</v>
      </c>
      <c r="L125" s="427">
        <v>44551</v>
      </c>
      <c r="M125" s="420"/>
      <c r="N125" s="420"/>
      <c r="O125" s="420"/>
      <c r="P125" s="420"/>
      <c r="Q125" s="420"/>
      <c r="R125" s="420"/>
      <c r="S125" s="420"/>
      <c r="T125" s="642"/>
      <c r="U125" s="420"/>
      <c r="V125" s="611" t="s">
        <v>132</v>
      </c>
      <c r="W125" s="420"/>
      <c r="X125" s="420"/>
      <c r="Y125" s="420"/>
      <c r="Z125" s="420"/>
      <c r="AA125" s="420"/>
      <c r="AB125" s="642"/>
      <c r="AC125" s="420"/>
      <c r="AD125" s="420"/>
      <c r="AE125" s="420"/>
      <c r="AF125" s="420"/>
      <c r="AG125" s="420"/>
      <c r="AH125" s="420"/>
      <c r="AI125" s="420"/>
      <c r="AJ125" s="420"/>
      <c r="AK125" s="420"/>
      <c r="AL125" s="420"/>
      <c r="AM125" s="642"/>
      <c r="AN125" s="420"/>
      <c r="AO125" s="420"/>
      <c r="AP12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5" s="419">
        <f>WWWW[[#This Row],[%Equitable and continuous access to sufficient quantity of safe drinking water]]*WWWW[[#This Row],[Total PoP ]]</f>
        <v>0</v>
      </c>
      <c r="AR12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5" s="419">
        <f>WWWW[[#This Row],[% Access to unimproved water points]]*WWWW[[#This Row],[Total PoP ]]</f>
        <v>0</v>
      </c>
      <c r="AT12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5" s="419">
        <f>WWWW[[#This Row],[HRP1]]/250</f>
        <v>0</v>
      </c>
      <c r="AW125" s="424">
        <f>1-WWWW[[#This Row],[% Equitable and continuous access to sufficient quantity of domestic water]]</f>
        <v>1</v>
      </c>
      <c r="AX125" s="419">
        <f>WWWW[[#This Row],[%equitable and continuous access to sufficient quantity of safe drinking and domestic water''s GAP]]*WWWW[[#This Row],[Total PoP ]]</f>
        <v>585</v>
      </c>
      <c r="AY125" s="421">
        <f>IF(WWWW[[#This Row],[Total required water points]]-WWWW[[#This Row],['#Water points coverage]]&lt;0,0,WWWW[[#This Row],[Total required water points]]-WWWW[[#This Row],['#Water points coverage]])</f>
        <v>2</v>
      </c>
      <c r="AZ125" s="421">
        <f>ROUND(IF(WWWW[[#This Row],[Total PoP ]]&lt;250,1,WWWW[[#This Row],[Total PoP ]]/250),0)</f>
        <v>2</v>
      </c>
      <c r="BA12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5" s="419">
        <f>WWWW[[#This Row],[% people access to functioning Latrine]]*WWWW[[#This Row],[Total PoP ]]</f>
        <v>0</v>
      </c>
      <c r="BC125" s="421">
        <f>WWWW[[#This Row],['#_of_Functioning_latrines_in_school]]*50</f>
        <v>0</v>
      </c>
      <c r="BD125" s="421">
        <f>ROUND((WWWW[[#This Row],[Total PoP ]]/6),0)</f>
        <v>98</v>
      </c>
      <c r="BE125" s="421">
        <f>IF(WWWW[[#This Row],[Total required Latrines]]-(WWWW[[#This Row],['#_of_sanitary_fly-proof_HH_latrines]])&lt;0,0,WWWW[[#This Row],[Total required Latrines]]-(WWWW[[#This Row],['#_of_sanitary_fly-proof_HH_latrines]]))</f>
        <v>98</v>
      </c>
      <c r="BF125" s="563">
        <f>1-WWWW[[#This Row],[% people access to functioning Latrine]]</f>
        <v>1</v>
      </c>
      <c r="BG12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5" s="419">
        <f>IF(WWWW[[#This Row],['#_of_functional_handwashing_facilities_at_HH_level]]*6&gt;WWWW[[#This Row],[Total PoP ]],WWWW[[#This Row],[Total PoP ]],WWWW[[#This Row],['#_of_functional_handwashing_facilities_at_HH_level]]*6)</f>
        <v>0</v>
      </c>
      <c r="BI125" s="421">
        <f>IF(WWWW[[#This Row],['# people reached by regular dedicated hygiene promotion]]&gt;WWWW[[#This Row],['# People received regular supply of hygiene items]],WWWW[[#This Row],['# people reached by regular dedicated hygiene promotion]],WWWW[[#This Row],['# People received regular supply of hygiene items]])</f>
        <v>0</v>
      </c>
      <c r="BJ125" s="424">
        <f>IF(WWWW[[#This Row],[HRP3]]/WWWW[[#This Row],[Total PoP ]]&gt;100%,100%,WWWW[[#This Row],[HRP3]]/WWWW[[#This Row],[Total PoP ]])</f>
        <v>0</v>
      </c>
      <c r="BK125" s="423">
        <f>1-WWWW[[#This Row],[Hygiene Coverage%]]</f>
        <v>1</v>
      </c>
      <c r="BL125" s="422">
        <f>WWWW[[#This Row],['# people reached by regular dedicated hygiene promotion]]/WWWW[[#This Row],[Total PoP ]]</f>
        <v>0</v>
      </c>
      <c r="BM12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5" s="421">
        <f>WWWW[[#This Row],['#_of_affected_women_and_girls_receiving_a_sufficient_quantity_of_sanitary_pads]]</f>
        <v>0</v>
      </c>
      <c r="BO125" s="420">
        <f>IF(WWWW[[#This Row],['# People with access to soap]]&gt;WWWW[[#This Row],['# People with access to Sanity Pads]],WWWW[[#This Row],['# People with access to soap]],WWWW[[#This Row],['# People with access to Sanity Pads]])</f>
        <v>0</v>
      </c>
      <c r="BP125" s="419" t="str">
        <f>IF(OR(WWWW[[#This Row],['#of students in school]]="",WWWW[[#This Row],['#of students in school]]=0),"No","Yes")</f>
        <v>No</v>
      </c>
      <c r="BQ125" s="417" t="str">
        <f>VLOOKUP(WWWW[[#This Row],[Village  Name]],SiteDB6[[Site Name]:[Location Type 1]],9,FALSE)</f>
        <v>Village</v>
      </c>
      <c r="BR125" s="417" t="str">
        <f>VLOOKUP(WWWW[[#This Row],[Village  Name]],SiteDB6[[Site Name]:[Type of Accommodation]],10,FALSE)</f>
        <v>Village</v>
      </c>
      <c r="BS125" s="417">
        <f>VLOOKUP(WWWW[[#This Row],[Village  Name]],SiteDB6[[Site Name]:[Ethnic or GCA/NGCA]],11,FALSE)</f>
        <v>0</v>
      </c>
      <c r="BT125" s="417">
        <f>VLOOKUP(WWWW[[#This Row],[Village  Name]],SiteDB6[[Site Name]:[Lat]],12,FALSE)</f>
        <v>0</v>
      </c>
      <c r="BU125" s="417">
        <f>VLOOKUP(WWWW[[#This Row],[Village  Name]],SiteDB6[[Site Name]:[Long]],13,FALSE)</f>
        <v>0</v>
      </c>
      <c r="BV125" s="417">
        <f>VLOOKUP(WWWW[[#This Row],[Village  Name]],SiteDB6[[Site Name]:[Pcode]],3,FALSE)</f>
        <v>197149</v>
      </c>
      <c r="BW125" s="425" t="str">
        <f t="shared" si="4"/>
        <v>Covered</v>
      </c>
      <c r="BX125" s="425"/>
      <c r="BY125" s="33"/>
      <c r="CA125" s="431"/>
      <c r="CB125" s="33"/>
      <c r="CC125" s="36"/>
      <c r="CE125" s="37"/>
      <c r="CN125" s="20"/>
    </row>
    <row r="126" spans="1:92" hidden="1">
      <c r="A126" s="412" t="s">
        <v>2380</v>
      </c>
      <c r="B126" s="412" t="s">
        <v>316</v>
      </c>
      <c r="C126" s="418" t="s">
        <v>316</v>
      </c>
      <c r="D126" s="418" t="s">
        <v>309</v>
      </c>
      <c r="E126" s="551" t="s">
        <v>2687</v>
      </c>
      <c r="F126" s="418" t="s">
        <v>314</v>
      </c>
      <c r="G126" s="551" t="str">
        <f>VLOOKUP(WWWW[[#This Row],[Village  Name]],SiteDB6[[Site Name]:[Location Type]],8,FALSE)</f>
        <v>Village</v>
      </c>
      <c r="H126" s="418" t="s">
        <v>897</v>
      </c>
      <c r="I126" s="420">
        <v>408</v>
      </c>
      <c r="J126" s="420">
        <v>2009</v>
      </c>
      <c r="K126" s="426">
        <v>42736</v>
      </c>
      <c r="L126" s="427">
        <v>44551</v>
      </c>
      <c r="M126" s="420"/>
      <c r="N126" s="420"/>
      <c r="O126" s="420"/>
      <c r="P126" s="420"/>
      <c r="Q126" s="420"/>
      <c r="R126" s="420"/>
      <c r="S126" s="420"/>
      <c r="T126" s="642"/>
      <c r="U126" s="420"/>
      <c r="V126" s="611" t="s">
        <v>132</v>
      </c>
      <c r="W126" s="420"/>
      <c r="X126" s="420"/>
      <c r="Y126" s="420"/>
      <c r="Z126" s="420"/>
      <c r="AA126" s="420"/>
      <c r="AB126" s="642"/>
      <c r="AC126" s="420"/>
      <c r="AD126" s="420"/>
      <c r="AE126" s="420"/>
      <c r="AF126" s="420"/>
      <c r="AG126" s="420"/>
      <c r="AH126" s="420"/>
      <c r="AI126" s="420"/>
      <c r="AJ126" s="420"/>
      <c r="AK126" s="420"/>
      <c r="AL126" s="420"/>
      <c r="AM126" s="642"/>
      <c r="AN126" s="420"/>
      <c r="AO126" s="420"/>
      <c r="AP12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6" s="419">
        <f>WWWW[[#This Row],[%Equitable and continuous access to sufficient quantity of safe drinking water]]*WWWW[[#This Row],[Total PoP ]]</f>
        <v>0</v>
      </c>
      <c r="AR12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6" s="419">
        <f>WWWW[[#This Row],[% Access to unimproved water points]]*WWWW[[#This Row],[Total PoP ]]</f>
        <v>0</v>
      </c>
      <c r="AT12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6" s="419">
        <f>WWWW[[#This Row],[HRP1]]/250</f>
        <v>0</v>
      </c>
      <c r="AW126" s="424">
        <f>1-WWWW[[#This Row],[% Equitable and continuous access to sufficient quantity of domestic water]]</f>
        <v>1</v>
      </c>
      <c r="AX126" s="419">
        <f>WWWW[[#This Row],[%equitable and continuous access to sufficient quantity of safe drinking and domestic water''s GAP]]*WWWW[[#This Row],[Total PoP ]]</f>
        <v>2009</v>
      </c>
      <c r="AY126" s="421">
        <f>IF(WWWW[[#This Row],[Total required water points]]-WWWW[[#This Row],['#Water points coverage]]&lt;0,0,WWWW[[#This Row],[Total required water points]]-WWWW[[#This Row],['#Water points coverage]])</f>
        <v>8</v>
      </c>
      <c r="AZ126" s="421">
        <f>ROUND(IF(WWWW[[#This Row],[Total PoP ]]&lt;250,1,WWWW[[#This Row],[Total PoP ]]/250),0)</f>
        <v>8</v>
      </c>
      <c r="BA12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6" s="419">
        <f>WWWW[[#This Row],[% people access to functioning Latrine]]*WWWW[[#This Row],[Total PoP ]]</f>
        <v>0</v>
      </c>
      <c r="BC126" s="421">
        <f>WWWW[[#This Row],['#_of_Functioning_latrines_in_school]]*50</f>
        <v>0</v>
      </c>
      <c r="BD126" s="421">
        <f>ROUND((WWWW[[#This Row],[Total PoP ]]/6),0)</f>
        <v>335</v>
      </c>
      <c r="BE126" s="421">
        <f>IF(WWWW[[#This Row],[Total required Latrines]]-(WWWW[[#This Row],['#_of_sanitary_fly-proof_HH_latrines]])&lt;0,0,WWWW[[#This Row],[Total required Latrines]]-(WWWW[[#This Row],['#_of_sanitary_fly-proof_HH_latrines]]))</f>
        <v>335</v>
      </c>
      <c r="BF126" s="563">
        <f>1-WWWW[[#This Row],[% people access to functioning Latrine]]</f>
        <v>1</v>
      </c>
      <c r="BG12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6" s="419">
        <f>IF(WWWW[[#This Row],['#_of_functional_handwashing_facilities_at_HH_level]]*6&gt;WWWW[[#This Row],[Total PoP ]],WWWW[[#This Row],[Total PoP ]],WWWW[[#This Row],['#_of_functional_handwashing_facilities_at_HH_level]]*6)</f>
        <v>0</v>
      </c>
      <c r="BI126" s="421">
        <f>IF(WWWW[[#This Row],['# people reached by regular dedicated hygiene promotion]]&gt;WWWW[[#This Row],['# People received regular supply of hygiene items]],WWWW[[#This Row],['# people reached by regular dedicated hygiene promotion]],WWWW[[#This Row],['# People received regular supply of hygiene items]])</f>
        <v>0</v>
      </c>
      <c r="BJ126" s="424">
        <f>IF(WWWW[[#This Row],[HRP3]]/WWWW[[#This Row],[Total PoP ]]&gt;100%,100%,WWWW[[#This Row],[HRP3]]/WWWW[[#This Row],[Total PoP ]])</f>
        <v>0</v>
      </c>
      <c r="BK126" s="423">
        <f>1-WWWW[[#This Row],[Hygiene Coverage%]]</f>
        <v>1</v>
      </c>
      <c r="BL126" s="422">
        <f>WWWW[[#This Row],['# people reached by regular dedicated hygiene promotion]]/WWWW[[#This Row],[Total PoP ]]</f>
        <v>0</v>
      </c>
      <c r="BM12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6" s="421">
        <f>WWWW[[#This Row],['#_of_affected_women_and_girls_receiving_a_sufficient_quantity_of_sanitary_pads]]</f>
        <v>0</v>
      </c>
      <c r="BO126" s="420">
        <f>IF(WWWW[[#This Row],['# People with access to soap]]&gt;WWWW[[#This Row],['# People with access to Sanity Pads]],WWWW[[#This Row],['# People with access to soap]],WWWW[[#This Row],['# People with access to Sanity Pads]])</f>
        <v>0</v>
      </c>
      <c r="BP126" s="419" t="str">
        <f>IF(OR(WWWW[[#This Row],['#of students in school]]="",WWWW[[#This Row],['#of students in school]]=0),"No","Yes")</f>
        <v>No</v>
      </c>
      <c r="BQ126" s="417" t="str">
        <f>VLOOKUP(WWWW[[#This Row],[Village  Name]],SiteDB6[[Site Name]:[Location Type 1]],9,FALSE)</f>
        <v>Village</v>
      </c>
      <c r="BR126" s="417" t="str">
        <f>VLOOKUP(WWWW[[#This Row],[Village  Name]],SiteDB6[[Site Name]:[Type of Accommodation]],10,FALSE)</f>
        <v>Returned</v>
      </c>
      <c r="BS126" s="417" t="str">
        <f>VLOOKUP(WWWW[[#This Row],[Village  Name]],SiteDB6[[Site Name]:[Ethnic or GCA/NGCA]],11,FALSE)</f>
        <v>Muslim</v>
      </c>
      <c r="BT126" s="417">
        <f>VLOOKUP(WWWW[[#This Row],[Village  Name]],SiteDB6[[Site Name]:[Lat]],12,FALSE)</f>
        <v>20.480898</v>
      </c>
      <c r="BU126" s="417">
        <f>VLOOKUP(WWWW[[#This Row],[Village  Name]],SiteDB6[[Site Name]:[Long]],13,FALSE)</f>
        <v>93.299485000000004</v>
      </c>
      <c r="BV126" s="417" t="str">
        <f>VLOOKUP(WWWW[[#This Row],[Village  Name]],SiteDB6[[Site Name]:[Pcode]],3,FALSE)</f>
        <v>MMR012CMP006</v>
      </c>
      <c r="BW126" s="425" t="str">
        <f t="shared" si="4"/>
        <v>Covered</v>
      </c>
      <c r="BX126" s="425"/>
      <c r="BY126" s="33"/>
      <c r="CA126" s="431"/>
      <c r="CB126" s="33"/>
      <c r="CC126" s="36"/>
      <c r="CE126" s="37"/>
      <c r="CN126" s="20"/>
    </row>
    <row r="127" spans="1:92" hidden="1">
      <c r="A127" s="412" t="s">
        <v>2380</v>
      </c>
      <c r="B127" s="412" t="s">
        <v>316</v>
      </c>
      <c r="C127" s="418" t="s">
        <v>316</v>
      </c>
      <c r="D127" s="418" t="s">
        <v>309</v>
      </c>
      <c r="E127" s="551" t="s">
        <v>2687</v>
      </c>
      <c r="F127" s="418" t="s">
        <v>314</v>
      </c>
      <c r="G127" s="551" t="str">
        <f>VLOOKUP(WWWW[[#This Row],[Village  Name]],SiteDB6[[Site Name]:[Location Type]],8,FALSE)</f>
        <v>Village</v>
      </c>
      <c r="H127" s="418" t="s">
        <v>2644</v>
      </c>
      <c r="I127" s="420">
        <v>47</v>
      </c>
      <c r="J127" s="420">
        <v>190</v>
      </c>
      <c r="K127" s="426">
        <v>42736</v>
      </c>
      <c r="L127" s="427">
        <v>44551</v>
      </c>
      <c r="M127" s="420"/>
      <c r="N127" s="420"/>
      <c r="O127" s="420"/>
      <c r="P127" s="420"/>
      <c r="Q127" s="420"/>
      <c r="R127" s="420"/>
      <c r="S127" s="420"/>
      <c r="T127" s="642"/>
      <c r="U127" s="420"/>
      <c r="V127" s="611" t="s">
        <v>132</v>
      </c>
      <c r="W127" s="420"/>
      <c r="X127" s="420"/>
      <c r="Y127" s="420"/>
      <c r="Z127" s="420"/>
      <c r="AA127" s="420"/>
      <c r="AB127" s="642"/>
      <c r="AC127" s="420"/>
      <c r="AD127" s="420"/>
      <c r="AE127" s="420"/>
      <c r="AF127" s="420"/>
      <c r="AG127" s="420"/>
      <c r="AH127" s="420"/>
      <c r="AI127" s="420"/>
      <c r="AJ127" s="420"/>
      <c r="AK127" s="420"/>
      <c r="AL127" s="420"/>
      <c r="AM127" s="642"/>
      <c r="AN127" s="420"/>
      <c r="AO127" s="420"/>
      <c r="AP12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7" s="419">
        <f>WWWW[[#This Row],[%Equitable and continuous access to sufficient quantity of safe drinking water]]*WWWW[[#This Row],[Total PoP ]]</f>
        <v>0</v>
      </c>
      <c r="AR12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7" s="419">
        <f>WWWW[[#This Row],[% Access to unimproved water points]]*WWWW[[#This Row],[Total PoP ]]</f>
        <v>0</v>
      </c>
      <c r="AT12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7" s="419">
        <f>WWWW[[#This Row],[HRP1]]/250</f>
        <v>0</v>
      </c>
      <c r="AW127" s="424">
        <f>1-WWWW[[#This Row],[% Equitable and continuous access to sufficient quantity of domestic water]]</f>
        <v>1</v>
      </c>
      <c r="AX127" s="419">
        <f>WWWW[[#This Row],[%equitable and continuous access to sufficient quantity of safe drinking and domestic water''s GAP]]*WWWW[[#This Row],[Total PoP ]]</f>
        <v>190</v>
      </c>
      <c r="AY127" s="421">
        <f>IF(WWWW[[#This Row],[Total required water points]]-WWWW[[#This Row],['#Water points coverage]]&lt;0,0,WWWW[[#This Row],[Total required water points]]-WWWW[[#This Row],['#Water points coverage]])</f>
        <v>1</v>
      </c>
      <c r="AZ127" s="421">
        <f>ROUND(IF(WWWW[[#This Row],[Total PoP ]]&lt;250,1,WWWW[[#This Row],[Total PoP ]]/250),0)</f>
        <v>1</v>
      </c>
      <c r="BA12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7" s="419">
        <f>WWWW[[#This Row],[% people access to functioning Latrine]]*WWWW[[#This Row],[Total PoP ]]</f>
        <v>0</v>
      </c>
      <c r="BC127" s="421">
        <f>WWWW[[#This Row],['#_of_Functioning_latrines_in_school]]*50</f>
        <v>0</v>
      </c>
      <c r="BD127" s="421">
        <f>ROUND((WWWW[[#This Row],[Total PoP ]]/6),0)</f>
        <v>32</v>
      </c>
      <c r="BE127" s="421">
        <f>IF(WWWW[[#This Row],[Total required Latrines]]-(WWWW[[#This Row],['#_of_sanitary_fly-proof_HH_latrines]])&lt;0,0,WWWW[[#This Row],[Total required Latrines]]-(WWWW[[#This Row],['#_of_sanitary_fly-proof_HH_latrines]]))</f>
        <v>32</v>
      </c>
      <c r="BF127" s="563">
        <f>1-WWWW[[#This Row],[% people access to functioning Latrine]]</f>
        <v>1</v>
      </c>
      <c r="BG12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7" s="419">
        <f>IF(WWWW[[#This Row],['#_of_functional_handwashing_facilities_at_HH_level]]*6&gt;WWWW[[#This Row],[Total PoP ]],WWWW[[#This Row],[Total PoP ]],WWWW[[#This Row],['#_of_functional_handwashing_facilities_at_HH_level]]*6)</f>
        <v>0</v>
      </c>
      <c r="BI127" s="421">
        <f>IF(WWWW[[#This Row],['# people reached by regular dedicated hygiene promotion]]&gt;WWWW[[#This Row],['# People received regular supply of hygiene items]],WWWW[[#This Row],['# people reached by regular dedicated hygiene promotion]],WWWW[[#This Row],['# People received regular supply of hygiene items]])</f>
        <v>0</v>
      </c>
      <c r="BJ127" s="424">
        <f>IF(WWWW[[#This Row],[HRP3]]/WWWW[[#This Row],[Total PoP ]]&gt;100%,100%,WWWW[[#This Row],[HRP3]]/WWWW[[#This Row],[Total PoP ]])</f>
        <v>0</v>
      </c>
      <c r="BK127" s="423">
        <f>1-WWWW[[#This Row],[Hygiene Coverage%]]</f>
        <v>1</v>
      </c>
      <c r="BL127" s="422">
        <f>WWWW[[#This Row],['# people reached by regular dedicated hygiene promotion]]/WWWW[[#This Row],[Total PoP ]]</f>
        <v>0</v>
      </c>
      <c r="BM12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7" s="421">
        <f>WWWW[[#This Row],['#_of_affected_women_and_girls_receiving_a_sufficient_quantity_of_sanitary_pads]]</f>
        <v>0</v>
      </c>
      <c r="BO127" s="420">
        <f>IF(WWWW[[#This Row],['# People with access to soap]]&gt;WWWW[[#This Row],['# People with access to Sanity Pads]],WWWW[[#This Row],['# People with access to soap]],WWWW[[#This Row],['# People with access to Sanity Pads]])</f>
        <v>0</v>
      </c>
      <c r="BP127" s="419" t="str">
        <f>IF(OR(WWWW[[#This Row],['#of students in school]]="",WWWW[[#This Row],['#of students in school]]=0),"No","Yes")</f>
        <v>No</v>
      </c>
      <c r="BQ127" s="417" t="str">
        <f>VLOOKUP(WWWW[[#This Row],[Village  Name]],SiteDB6[[Site Name]:[Location Type 1]],9,FALSE)</f>
        <v>Village</v>
      </c>
      <c r="BR127" s="417" t="str">
        <f>VLOOKUP(WWWW[[#This Row],[Village  Name]],SiteDB6[[Site Name]:[Type of Accommodation]],10,FALSE)</f>
        <v>Village</v>
      </c>
      <c r="BS127" s="417">
        <f>VLOOKUP(WWWW[[#This Row],[Village  Name]],SiteDB6[[Site Name]:[Ethnic or GCA/NGCA]],11,FALSE)</f>
        <v>0</v>
      </c>
      <c r="BT127" s="417">
        <f>VLOOKUP(WWWW[[#This Row],[Village  Name]],SiteDB6[[Site Name]:[Lat]],12,FALSE)</f>
        <v>0</v>
      </c>
      <c r="BU127" s="417">
        <f>VLOOKUP(WWWW[[#This Row],[Village  Name]],SiteDB6[[Site Name]:[Long]],13,FALSE)</f>
        <v>0</v>
      </c>
      <c r="BV127" s="417">
        <f>VLOOKUP(WWWW[[#This Row],[Village  Name]],SiteDB6[[Site Name]:[Pcode]],3,FALSE)</f>
        <v>0</v>
      </c>
      <c r="BW127" s="425" t="str">
        <f t="shared" si="4"/>
        <v>Covered</v>
      </c>
      <c r="BX127" s="425"/>
      <c r="BY127" s="33"/>
      <c r="CA127" s="431"/>
      <c r="CB127" s="33"/>
      <c r="CC127" s="36"/>
      <c r="CE127" s="37"/>
      <c r="CN127" s="20"/>
    </row>
    <row r="128" spans="1:92" hidden="1">
      <c r="A128" s="412" t="s">
        <v>2380</v>
      </c>
      <c r="B128" s="412" t="s">
        <v>316</v>
      </c>
      <c r="C128" s="418" t="s">
        <v>316</v>
      </c>
      <c r="D128" s="418" t="s">
        <v>309</v>
      </c>
      <c r="E128" s="551" t="s">
        <v>2687</v>
      </c>
      <c r="F128" s="418" t="s">
        <v>314</v>
      </c>
      <c r="G128" s="551" t="str">
        <f>VLOOKUP(WWWW[[#This Row],[Village  Name]],SiteDB6[[Site Name]:[Location Type]],8,FALSE)</f>
        <v>Village</v>
      </c>
      <c r="H128" s="418" t="s">
        <v>2645</v>
      </c>
      <c r="I128" s="420">
        <v>150</v>
      </c>
      <c r="J128" s="420">
        <v>532</v>
      </c>
      <c r="K128" s="426">
        <v>42736</v>
      </c>
      <c r="L128" s="427">
        <v>44551</v>
      </c>
      <c r="M128" s="420"/>
      <c r="N128" s="420"/>
      <c r="O128" s="420"/>
      <c r="P128" s="420"/>
      <c r="Q128" s="420"/>
      <c r="R128" s="420"/>
      <c r="S128" s="420"/>
      <c r="T128" s="642"/>
      <c r="U128" s="420"/>
      <c r="V128" s="611" t="s">
        <v>132</v>
      </c>
      <c r="W128" s="420"/>
      <c r="X128" s="420"/>
      <c r="Y128" s="420"/>
      <c r="Z128" s="420"/>
      <c r="AA128" s="420"/>
      <c r="AB128" s="642"/>
      <c r="AC128" s="420"/>
      <c r="AD128" s="420"/>
      <c r="AE128" s="420"/>
      <c r="AF128" s="420"/>
      <c r="AG128" s="420"/>
      <c r="AH128" s="420"/>
      <c r="AI128" s="420"/>
      <c r="AJ128" s="420"/>
      <c r="AK128" s="420"/>
      <c r="AL128" s="420"/>
      <c r="AM128" s="642"/>
      <c r="AN128" s="420"/>
      <c r="AO128" s="420"/>
      <c r="AP12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8" s="419">
        <f>WWWW[[#This Row],[%Equitable and continuous access to sufficient quantity of safe drinking water]]*WWWW[[#This Row],[Total PoP ]]</f>
        <v>0</v>
      </c>
      <c r="AR12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8" s="419">
        <f>WWWW[[#This Row],[% Access to unimproved water points]]*WWWW[[#This Row],[Total PoP ]]</f>
        <v>0</v>
      </c>
      <c r="AT12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8" s="419">
        <f>WWWW[[#This Row],[HRP1]]/250</f>
        <v>0</v>
      </c>
      <c r="AW128" s="424">
        <f>1-WWWW[[#This Row],[% Equitable and continuous access to sufficient quantity of domestic water]]</f>
        <v>1</v>
      </c>
      <c r="AX128" s="419">
        <f>WWWW[[#This Row],[%equitable and continuous access to sufficient quantity of safe drinking and domestic water''s GAP]]*WWWW[[#This Row],[Total PoP ]]</f>
        <v>532</v>
      </c>
      <c r="AY128" s="421">
        <f>IF(WWWW[[#This Row],[Total required water points]]-WWWW[[#This Row],['#Water points coverage]]&lt;0,0,WWWW[[#This Row],[Total required water points]]-WWWW[[#This Row],['#Water points coverage]])</f>
        <v>2</v>
      </c>
      <c r="AZ128" s="421">
        <f>ROUND(IF(WWWW[[#This Row],[Total PoP ]]&lt;250,1,WWWW[[#This Row],[Total PoP ]]/250),0)</f>
        <v>2</v>
      </c>
      <c r="BA12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8" s="419">
        <f>WWWW[[#This Row],[% people access to functioning Latrine]]*WWWW[[#This Row],[Total PoP ]]</f>
        <v>0</v>
      </c>
      <c r="BC128" s="421">
        <f>WWWW[[#This Row],['#_of_Functioning_latrines_in_school]]*50</f>
        <v>0</v>
      </c>
      <c r="BD128" s="421">
        <f>ROUND((WWWW[[#This Row],[Total PoP ]]/6),0)</f>
        <v>89</v>
      </c>
      <c r="BE128" s="421">
        <f>IF(WWWW[[#This Row],[Total required Latrines]]-(WWWW[[#This Row],['#_of_sanitary_fly-proof_HH_latrines]])&lt;0,0,WWWW[[#This Row],[Total required Latrines]]-(WWWW[[#This Row],['#_of_sanitary_fly-proof_HH_latrines]]))</f>
        <v>89</v>
      </c>
      <c r="BF128" s="563">
        <f>1-WWWW[[#This Row],[% people access to functioning Latrine]]</f>
        <v>1</v>
      </c>
      <c r="BG12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8" s="419">
        <f>IF(WWWW[[#This Row],['#_of_functional_handwashing_facilities_at_HH_level]]*6&gt;WWWW[[#This Row],[Total PoP ]],WWWW[[#This Row],[Total PoP ]],WWWW[[#This Row],['#_of_functional_handwashing_facilities_at_HH_level]]*6)</f>
        <v>0</v>
      </c>
      <c r="BI128" s="421">
        <f>IF(WWWW[[#This Row],['# people reached by regular dedicated hygiene promotion]]&gt;WWWW[[#This Row],['# People received regular supply of hygiene items]],WWWW[[#This Row],['# people reached by regular dedicated hygiene promotion]],WWWW[[#This Row],['# People received regular supply of hygiene items]])</f>
        <v>0</v>
      </c>
      <c r="BJ128" s="424">
        <f>IF(WWWW[[#This Row],[HRP3]]/WWWW[[#This Row],[Total PoP ]]&gt;100%,100%,WWWW[[#This Row],[HRP3]]/WWWW[[#This Row],[Total PoP ]])</f>
        <v>0</v>
      </c>
      <c r="BK128" s="423">
        <f>1-WWWW[[#This Row],[Hygiene Coverage%]]</f>
        <v>1</v>
      </c>
      <c r="BL128" s="422">
        <f>WWWW[[#This Row],['# people reached by regular dedicated hygiene promotion]]/WWWW[[#This Row],[Total PoP ]]</f>
        <v>0</v>
      </c>
      <c r="BM12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8" s="421">
        <f>WWWW[[#This Row],['#_of_affected_women_and_girls_receiving_a_sufficient_quantity_of_sanitary_pads]]</f>
        <v>0</v>
      </c>
      <c r="BO128" s="420">
        <f>IF(WWWW[[#This Row],['# People with access to soap]]&gt;WWWW[[#This Row],['# People with access to Sanity Pads]],WWWW[[#This Row],['# People with access to soap]],WWWW[[#This Row],['# People with access to Sanity Pads]])</f>
        <v>0</v>
      </c>
      <c r="BP128" s="419" t="str">
        <f>IF(OR(WWWW[[#This Row],['#of students in school]]="",WWWW[[#This Row],['#of students in school]]=0),"No","Yes")</f>
        <v>No</v>
      </c>
      <c r="BQ128" s="417" t="str">
        <f>VLOOKUP(WWWW[[#This Row],[Village  Name]],SiteDB6[[Site Name]:[Location Type 1]],9,FALSE)</f>
        <v>Village</v>
      </c>
      <c r="BR128" s="417" t="str">
        <f>VLOOKUP(WWWW[[#This Row],[Village  Name]],SiteDB6[[Site Name]:[Type of Accommodation]],10,FALSE)</f>
        <v>Village</v>
      </c>
      <c r="BS128" s="417">
        <f>VLOOKUP(WWWW[[#This Row],[Village  Name]],SiteDB6[[Site Name]:[Ethnic or GCA/NGCA]],11,FALSE)</f>
        <v>0</v>
      </c>
      <c r="BT128" s="417">
        <f>VLOOKUP(WWWW[[#This Row],[Village  Name]],SiteDB6[[Site Name]:[Lat]],12,FALSE)</f>
        <v>0</v>
      </c>
      <c r="BU128" s="417">
        <f>VLOOKUP(WWWW[[#This Row],[Village  Name]],SiteDB6[[Site Name]:[Long]],13,FALSE)</f>
        <v>0</v>
      </c>
      <c r="BV128" s="417">
        <f>VLOOKUP(WWWW[[#This Row],[Village  Name]],SiteDB6[[Site Name]:[Pcode]],3,FALSE)</f>
        <v>197092</v>
      </c>
      <c r="BW128" s="425" t="str">
        <f t="shared" si="4"/>
        <v>Covered</v>
      </c>
      <c r="BX128" s="425"/>
      <c r="BY128" s="33"/>
      <c r="CA128" s="431"/>
      <c r="CB128" s="33"/>
      <c r="CC128" s="36"/>
      <c r="CE128" s="37"/>
      <c r="CN128" s="20"/>
    </row>
    <row r="129" spans="1:92" hidden="1">
      <c r="A129" s="412" t="s">
        <v>2380</v>
      </c>
      <c r="B129" s="412" t="s">
        <v>316</v>
      </c>
      <c r="C129" s="418" t="s">
        <v>316</v>
      </c>
      <c r="D129" s="418" t="s">
        <v>309</v>
      </c>
      <c r="E129" s="551" t="s">
        <v>2687</v>
      </c>
      <c r="F129" s="418" t="s">
        <v>314</v>
      </c>
      <c r="G129" s="551" t="str">
        <f>VLOOKUP(WWWW[[#This Row],[Village  Name]],SiteDB6[[Site Name]:[Location Type]],8,FALSE)</f>
        <v>Village</v>
      </c>
      <c r="H129" s="418" t="s">
        <v>2646</v>
      </c>
      <c r="I129" s="420">
        <v>142</v>
      </c>
      <c r="J129" s="420">
        <v>542</v>
      </c>
      <c r="K129" s="426">
        <v>42736</v>
      </c>
      <c r="L129" s="427">
        <v>44551</v>
      </c>
      <c r="M129" s="420"/>
      <c r="N129" s="420"/>
      <c r="O129" s="420"/>
      <c r="P129" s="420"/>
      <c r="Q129" s="420"/>
      <c r="R129" s="420"/>
      <c r="S129" s="420"/>
      <c r="T129" s="642"/>
      <c r="U129" s="420"/>
      <c r="V129" s="611" t="s">
        <v>132</v>
      </c>
      <c r="W129" s="420"/>
      <c r="X129" s="420"/>
      <c r="Y129" s="420"/>
      <c r="Z129" s="420"/>
      <c r="AA129" s="420"/>
      <c r="AB129" s="642"/>
      <c r="AC129" s="420"/>
      <c r="AD129" s="420"/>
      <c r="AE129" s="420"/>
      <c r="AF129" s="420"/>
      <c r="AG129" s="420"/>
      <c r="AH129" s="420"/>
      <c r="AI129" s="420"/>
      <c r="AJ129" s="420"/>
      <c r="AK129" s="420"/>
      <c r="AL129" s="420"/>
      <c r="AM129" s="642"/>
      <c r="AN129" s="420"/>
      <c r="AO129" s="420"/>
      <c r="AP12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29" s="419">
        <f>WWWW[[#This Row],[%Equitable and continuous access to sufficient quantity of safe drinking water]]*WWWW[[#This Row],[Total PoP ]]</f>
        <v>0</v>
      </c>
      <c r="AR12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29" s="419">
        <f>WWWW[[#This Row],[% Access to unimproved water points]]*WWWW[[#This Row],[Total PoP ]]</f>
        <v>0</v>
      </c>
      <c r="AT12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2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29" s="419">
        <f>WWWW[[#This Row],[HRP1]]/250</f>
        <v>0</v>
      </c>
      <c r="AW129" s="424">
        <f>1-WWWW[[#This Row],[% Equitable and continuous access to sufficient quantity of domestic water]]</f>
        <v>1</v>
      </c>
      <c r="AX129" s="419">
        <f>WWWW[[#This Row],[%equitable and continuous access to sufficient quantity of safe drinking and domestic water''s GAP]]*WWWW[[#This Row],[Total PoP ]]</f>
        <v>542</v>
      </c>
      <c r="AY129" s="421">
        <f>IF(WWWW[[#This Row],[Total required water points]]-WWWW[[#This Row],['#Water points coverage]]&lt;0,0,WWWW[[#This Row],[Total required water points]]-WWWW[[#This Row],['#Water points coverage]])</f>
        <v>2</v>
      </c>
      <c r="AZ129" s="421">
        <f>ROUND(IF(WWWW[[#This Row],[Total PoP ]]&lt;250,1,WWWW[[#This Row],[Total PoP ]]/250),0)</f>
        <v>2</v>
      </c>
      <c r="BA12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29" s="419">
        <f>WWWW[[#This Row],[% people access to functioning Latrine]]*WWWW[[#This Row],[Total PoP ]]</f>
        <v>0</v>
      </c>
      <c r="BC129" s="421">
        <f>WWWW[[#This Row],['#_of_Functioning_latrines_in_school]]*50</f>
        <v>0</v>
      </c>
      <c r="BD129" s="421">
        <f>ROUND((WWWW[[#This Row],[Total PoP ]]/6),0)</f>
        <v>90</v>
      </c>
      <c r="BE129" s="421">
        <f>IF(WWWW[[#This Row],[Total required Latrines]]-(WWWW[[#This Row],['#_of_sanitary_fly-proof_HH_latrines]])&lt;0,0,WWWW[[#This Row],[Total required Latrines]]-(WWWW[[#This Row],['#_of_sanitary_fly-proof_HH_latrines]]))</f>
        <v>90</v>
      </c>
      <c r="BF129" s="563">
        <f>1-WWWW[[#This Row],[% people access to functioning Latrine]]</f>
        <v>1</v>
      </c>
      <c r="BG12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29" s="419">
        <f>IF(WWWW[[#This Row],['#_of_functional_handwashing_facilities_at_HH_level]]*6&gt;WWWW[[#This Row],[Total PoP ]],WWWW[[#This Row],[Total PoP ]],WWWW[[#This Row],['#_of_functional_handwashing_facilities_at_HH_level]]*6)</f>
        <v>0</v>
      </c>
      <c r="BI129" s="421">
        <f>IF(WWWW[[#This Row],['# people reached by regular dedicated hygiene promotion]]&gt;WWWW[[#This Row],['# People received regular supply of hygiene items]],WWWW[[#This Row],['# people reached by regular dedicated hygiene promotion]],WWWW[[#This Row],['# People received regular supply of hygiene items]])</f>
        <v>0</v>
      </c>
      <c r="BJ129" s="424">
        <f>IF(WWWW[[#This Row],[HRP3]]/WWWW[[#This Row],[Total PoP ]]&gt;100%,100%,WWWW[[#This Row],[HRP3]]/WWWW[[#This Row],[Total PoP ]])</f>
        <v>0</v>
      </c>
      <c r="BK129" s="423">
        <f>1-WWWW[[#This Row],[Hygiene Coverage%]]</f>
        <v>1</v>
      </c>
      <c r="BL129" s="422">
        <f>WWWW[[#This Row],['# people reached by regular dedicated hygiene promotion]]/WWWW[[#This Row],[Total PoP ]]</f>
        <v>0</v>
      </c>
      <c r="BM12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29" s="421">
        <f>WWWW[[#This Row],['#_of_affected_women_and_girls_receiving_a_sufficient_quantity_of_sanitary_pads]]</f>
        <v>0</v>
      </c>
      <c r="BO129" s="420">
        <f>IF(WWWW[[#This Row],['# People with access to soap]]&gt;WWWW[[#This Row],['# People with access to Sanity Pads]],WWWW[[#This Row],['# People with access to soap]],WWWW[[#This Row],['# People with access to Sanity Pads]])</f>
        <v>0</v>
      </c>
      <c r="BP129" s="419" t="str">
        <f>IF(OR(WWWW[[#This Row],['#of students in school]]="",WWWW[[#This Row],['#of students in school]]=0),"No","Yes")</f>
        <v>No</v>
      </c>
      <c r="BQ129" s="417" t="str">
        <f>VLOOKUP(WWWW[[#This Row],[Village  Name]],SiteDB6[[Site Name]:[Location Type 1]],9,FALSE)</f>
        <v>Village</v>
      </c>
      <c r="BR129" s="417" t="str">
        <f>VLOOKUP(WWWW[[#This Row],[Village  Name]],SiteDB6[[Site Name]:[Type of Accommodation]],10,FALSE)</f>
        <v>Village</v>
      </c>
      <c r="BS129" s="417">
        <f>VLOOKUP(WWWW[[#This Row],[Village  Name]],SiteDB6[[Site Name]:[Ethnic or GCA/NGCA]],11,FALSE)</f>
        <v>0</v>
      </c>
      <c r="BT129" s="417">
        <f>VLOOKUP(WWWW[[#This Row],[Village  Name]],SiteDB6[[Site Name]:[Lat]],12,FALSE)</f>
        <v>0</v>
      </c>
      <c r="BU129" s="417">
        <f>VLOOKUP(WWWW[[#This Row],[Village  Name]],SiteDB6[[Site Name]:[Long]],13,FALSE)</f>
        <v>0</v>
      </c>
      <c r="BV129" s="417">
        <f>VLOOKUP(WWWW[[#This Row],[Village  Name]],SiteDB6[[Site Name]:[Pcode]],3,FALSE)</f>
        <v>197100</v>
      </c>
      <c r="BW129" s="425" t="str">
        <f t="shared" si="4"/>
        <v>Covered</v>
      </c>
      <c r="BX129" s="425"/>
      <c r="BY129" s="33"/>
      <c r="CA129" s="431"/>
      <c r="CB129" s="33"/>
      <c r="CC129" s="36"/>
      <c r="CE129" s="37"/>
      <c r="CN129" s="20"/>
    </row>
    <row r="130" spans="1:92" hidden="1">
      <c r="A130" s="412" t="s">
        <v>2380</v>
      </c>
      <c r="B130" s="412" t="s">
        <v>316</v>
      </c>
      <c r="C130" s="418" t="s">
        <v>316</v>
      </c>
      <c r="D130" s="418" t="s">
        <v>309</v>
      </c>
      <c r="E130" s="551" t="s">
        <v>2687</v>
      </c>
      <c r="F130" s="418" t="s">
        <v>314</v>
      </c>
      <c r="G130" s="551" t="str">
        <f>VLOOKUP(WWWW[[#This Row],[Village  Name]],SiteDB6[[Site Name]:[Location Type]],8,FALSE)</f>
        <v>Village</v>
      </c>
      <c r="H130" s="418" t="s">
        <v>2647</v>
      </c>
      <c r="I130" s="420">
        <v>290</v>
      </c>
      <c r="J130" s="420">
        <v>1314</v>
      </c>
      <c r="K130" s="426">
        <v>42736</v>
      </c>
      <c r="L130" s="427">
        <v>44551</v>
      </c>
      <c r="M130" s="420"/>
      <c r="N130" s="420"/>
      <c r="O130" s="420"/>
      <c r="P130" s="420"/>
      <c r="Q130" s="420"/>
      <c r="R130" s="420"/>
      <c r="S130" s="420"/>
      <c r="T130" s="642"/>
      <c r="U130" s="420"/>
      <c r="V130" s="611" t="s">
        <v>132</v>
      </c>
      <c r="W130" s="420"/>
      <c r="X130" s="420"/>
      <c r="Y130" s="420"/>
      <c r="Z130" s="420"/>
      <c r="AA130" s="420"/>
      <c r="AB130" s="642"/>
      <c r="AC130" s="420"/>
      <c r="AD130" s="420"/>
      <c r="AE130" s="420"/>
      <c r="AF130" s="420"/>
      <c r="AG130" s="420"/>
      <c r="AH130" s="420"/>
      <c r="AI130" s="420"/>
      <c r="AJ130" s="420"/>
      <c r="AK130" s="420"/>
      <c r="AL130" s="420"/>
      <c r="AM130" s="642"/>
      <c r="AN130" s="420"/>
      <c r="AO130" s="420"/>
      <c r="AP13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0" s="419">
        <f>WWWW[[#This Row],[%Equitable and continuous access to sufficient quantity of safe drinking water]]*WWWW[[#This Row],[Total PoP ]]</f>
        <v>0</v>
      </c>
      <c r="AR13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0" s="419">
        <f>WWWW[[#This Row],[% Access to unimproved water points]]*WWWW[[#This Row],[Total PoP ]]</f>
        <v>0</v>
      </c>
      <c r="AT13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0" s="419">
        <f>WWWW[[#This Row],[HRP1]]/250</f>
        <v>0</v>
      </c>
      <c r="AW130" s="424">
        <f>1-WWWW[[#This Row],[% Equitable and continuous access to sufficient quantity of domestic water]]</f>
        <v>1</v>
      </c>
      <c r="AX130" s="419">
        <f>WWWW[[#This Row],[%equitable and continuous access to sufficient quantity of safe drinking and domestic water''s GAP]]*WWWW[[#This Row],[Total PoP ]]</f>
        <v>1314</v>
      </c>
      <c r="AY130" s="421">
        <f>IF(WWWW[[#This Row],[Total required water points]]-WWWW[[#This Row],['#Water points coverage]]&lt;0,0,WWWW[[#This Row],[Total required water points]]-WWWW[[#This Row],['#Water points coverage]])</f>
        <v>5</v>
      </c>
      <c r="AZ130" s="421">
        <f>ROUND(IF(WWWW[[#This Row],[Total PoP ]]&lt;250,1,WWWW[[#This Row],[Total PoP ]]/250),0)</f>
        <v>5</v>
      </c>
      <c r="BA13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0" s="419">
        <f>WWWW[[#This Row],[% people access to functioning Latrine]]*WWWW[[#This Row],[Total PoP ]]</f>
        <v>0</v>
      </c>
      <c r="BC130" s="421">
        <f>WWWW[[#This Row],['#_of_Functioning_latrines_in_school]]*50</f>
        <v>0</v>
      </c>
      <c r="BD130" s="421">
        <f>ROUND((WWWW[[#This Row],[Total PoP ]]/6),0)</f>
        <v>219</v>
      </c>
      <c r="BE130" s="421">
        <f>IF(WWWW[[#This Row],[Total required Latrines]]-(WWWW[[#This Row],['#_of_sanitary_fly-proof_HH_latrines]])&lt;0,0,WWWW[[#This Row],[Total required Latrines]]-(WWWW[[#This Row],['#_of_sanitary_fly-proof_HH_latrines]]))</f>
        <v>219</v>
      </c>
      <c r="BF130" s="563">
        <f>1-WWWW[[#This Row],[% people access to functioning Latrine]]</f>
        <v>1</v>
      </c>
      <c r="BG13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0" s="419">
        <f>IF(WWWW[[#This Row],['#_of_functional_handwashing_facilities_at_HH_level]]*6&gt;WWWW[[#This Row],[Total PoP ]],WWWW[[#This Row],[Total PoP ]],WWWW[[#This Row],['#_of_functional_handwashing_facilities_at_HH_level]]*6)</f>
        <v>0</v>
      </c>
      <c r="BI130" s="421">
        <f>IF(WWWW[[#This Row],['# people reached by regular dedicated hygiene promotion]]&gt;WWWW[[#This Row],['# People received regular supply of hygiene items]],WWWW[[#This Row],['# people reached by regular dedicated hygiene promotion]],WWWW[[#This Row],['# People received regular supply of hygiene items]])</f>
        <v>0</v>
      </c>
      <c r="BJ130" s="424">
        <f>IF(WWWW[[#This Row],[HRP3]]/WWWW[[#This Row],[Total PoP ]]&gt;100%,100%,WWWW[[#This Row],[HRP3]]/WWWW[[#This Row],[Total PoP ]])</f>
        <v>0</v>
      </c>
      <c r="BK130" s="423">
        <f>1-WWWW[[#This Row],[Hygiene Coverage%]]</f>
        <v>1</v>
      </c>
      <c r="BL130" s="422">
        <f>WWWW[[#This Row],['# people reached by regular dedicated hygiene promotion]]/WWWW[[#This Row],[Total PoP ]]</f>
        <v>0</v>
      </c>
      <c r="BM13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0" s="421">
        <f>WWWW[[#This Row],['#_of_affected_women_and_girls_receiving_a_sufficient_quantity_of_sanitary_pads]]</f>
        <v>0</v>
      </c>
      <c r="BO130" s="420">
        <f>IF(WWWW[[#This Row],['# People with access to soap]]&gt;WWWW[[#This Row],['# People with access to Sanity Pads]],WWWW[[#This Row],['# People with access to soap]],WWWW[[#This Row],['# People with access to Sanity Pads]])</f>
        <v>0</v>
      </c>
      <c r="BP130" s="419" t="str">
        <f>IF(OR(WWWW[[#This Row],['#of students in school]]="",WWWW[[#This Row],['#of students in school]]=0),"No","Yes")</f>
        <v>No</v>
      </c>
      <c r="BQ130" s="417" t="str">
        <f>VLOOKUP(WWWW[[#This Row],[Village  Name]],SiteDB6[[Site Name]:[Location Type 1]],9,FALSE)</f>
        <v>Village</v>
      </c>
      <c r="BR130" s="417" t="str">
        <f>VLOOKUP(WWWW[[#This Row],[Village  Name]],SiteDB6[[Site Name]:[Type of Accommodation]],10,FALSE)</f>
        <v>Village</v>
      </c>
      <c r="BS130" s="417">
        <f>VLOOKUP(WWWW[[#This Row],[Village  Name]],SiteDB6[[Site Name]:[Ethnic or GCA/NGCA]],11,FALSE)</f>
        <v>0</v>
      </c>
      <c r="BT130" s="417">
        <f>VLOOKUP(WWWW[[#This Row],[Village  Name]],SiteDB6[[Site Name]:[Lat]],12,FALSE)</f>
        <v>0</v>
      </c>
      <c r="BU130" s="417">
        <f>VLOOKUP(WWWW[[#This Row],[Village  Name]],SiteDB6[[Site Name]:[Long]],13,FALSE)</f>
        <v>0</v>
      </c>
      <c r="BV130" s="417">
        <f>VLOOKUP(WWWW[[#This Row],[Village  Name]],SiteDB6[[Site Name]:[Pcode]],3,FALSE)</f>
        <v>197099</v>
      </c>
      <c r="BW130" s="425" t="str">
        <f t="shared" si="4"/>
        <v>Covered</v>
      </c>
      <c r="BX130" s="425"/>
      <c r="BY130" s="33"/>
      <c r="CA130" s="431"/>
      <c r="CB130" s="33"/>
      <c r="CC130" s="36"/>
      <c r="CE130" s="37"/>
      <c r="CN130" s="20"/>
    </row>
    <row r="131" spans="1:92" hidden="1">
      <c r="A131" s="412" t="s">
        <v>2380</v>
      </c>
      <c r="B131" s="412" t="s">
        <v>316</v>
      </c>
      <c r="C131" s="418" t="s">
        <v>316</v>
      </c>
      <c r="D131" s="418" t="s">
        <v>309</v>
      </c>
      <c r="E131" s="551" t="s">
        <v>2687</v>
      </c>
      <c r="F131" s="418" t="s">
        <v>314</v>
      </c>
      <c r="G131" s="551" t="str">
        <f>VLOOKUP(WWWW[[#This Row],[Village  Name]],SiteDB6[[Site Name]:[Location Type]],8,FALSE)</f>
        <v>Village</v>
      </c>
      <c r="H131" s="418" t="s">
        <v>2648</v>
      </c>
      <c r="I131" s="420">
        <v>215</v>
      </c>
      <c r="J131" s="420">
        <v>1125</v>
      </c>
      <c r="K131" s="426">
        <v>42736</v>
      </c>
      <c r="L131" s="427">
        <v>44551</v>
      </c>
      <c r="M131" s="420"/>
      <c r="N131" s="420"/>
      <c r="O131" s="420"/>
      <c r="P131" s="420"/>
      <c r="Q131" s="420"/>
      <c r="R131" s="420"/>
      <c r="S131" s="420"/>
      <c r="T131" s="642"/>
      <c r="U131" s="420"/>
      <c r="V131" s="611" t="s">
        <v>132</v>
      </c>
      <c r="W131" s="420"/>
      <c r="X131" s="420"/>
      <c r="Y131" s="420"/>
      <c r="Z131" s="420"/>
      <c r="AA131" s="420"/>
      <c r="AB131" s="642"/>
      <c r="AC131" s="420"/>
      <c r="AD131" s="420"/>
      <c r="AE131" s="420"/>
      <c r="AF131" s="420"/>
      <c r="AG131" s="420"/>
      <c r="AH131" s="420"/>
      <c r="AI131" s="420"/>
      <c r="AJ131" s="420"/>
      <c r="AK131" s="420"/>
      <c r="AL131" s="420"/>
      <c r="AM131" s="642"/>
      <c r="AN131" s="420"/>
      <c r="AO131" s="420"/>
      <c r="AP13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1" s="419">
        <f>WWWW[[#This Row],[%Equitable and continuous access to sufficient quantity of safe drinking water]]*WWWW[[#This Row],[Total PoP ]]</f>
        <v>0</v>
      </c>
      <c r="AR13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1" s="419">
        <f>WWWW[[#This Row],[% Access to unimproved water points]]*WWWW[[#This Row],[Total PoP ]]</f>
        <v>0</v>
      </c>
      <c r="AT13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1" s="419">
        <f>WWWW[[#This Row],[HRP1]]/250</f>
        <v>0</v>
      </c>
      <c r="AW131" s="424">
        <f>1-WWWW[[#This Row],[% Equitable and continuous access to sufficient quantity of domestic water]]</f>
        <v>1</v>
      </c>
      <c r="AX131" s="419">
        <f>WWWW[[#This Row],[%equitable and continuous access to sufficient quantity of safe drinking and domestic water''s GAP]]*WWWW[[#This Row],[Total PoP ]]</f>
        <v>1125</v>
      </c>
      <c r="AY131" s="421">
        <f>IF(WWWW[[#This Row],[Total required water points]]-WWWW[[#This Row],['#Water points coverage]]&lt;0,0,WWWW[[#This Row],[Total required water points]]-WWWW[[#This Row],['#Water points coverage]])</f>
        <v>5</v>
      </c>
      <c r="AZ131" s="421">
        <f>ROUND(IF(WWWW[[#This Row],[Total PoP ]]&lt;250,1,WWWW[[#This Row],[Total PoP ]]/250),0)</f>
        <v>5</v>
      </c>
      <c r="BA13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1" s="419">
        <f>WWWW[[#This Row],[% people access to functioning Latrine]]*WWWW[[#This Row],[Total PoP ]]</f>
        <v>0</v>
      </c>
      <c r="BC131" s="421">
        <f>WWWW[[#This Row],['#_of_Functioning_latrines_in_school]]*50</f>
        <v>0</v>
      </c>
      <c r="BD131" s="421">
        <f>ROUND((WWWW[[#This Row],[Total PoP ]]/6),0)</f>
        <v>188</v>
      </c>
      <c r="BE131" s="421">
        <f>IF(WWWW[[#This Row],[Total required Latrines]]-(WWWW[[#This Row],['#_of_sanitary_fly-proof_HH_latrines]])&lt;0,0,WWWW[[#This Row],[Total required Latrines]]-(WWWW[[#This Row],['#_of_sanitary_fly-proof_HH_latrines]]))</f>
        <v>188</v>
      </c>
      <c r="BF131" s="563">
        <f>1-WWWW[[#This Row],[% people access to functioning Latrine]]</f>
        <v>1</v>
      </c>
      <c r="BG13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1" s="419">
        <f>IF(WWWW[[#This Row],['#_of_functional_handwashing_facilities_at_HH_level]]*6&gt;WWWW[[#This Row],[Total PoP ]],WWWW[[#This Row],[Total PoP ]],WWWW[[#This Row],['#_of_functional_handwashing_facilities_at_HH_level]]*6)</f>
        <v>0</v>
      </c>
      <c r="BI131" s="421">
        <f>IF(WWWW[[#This Row],['# people reached by regular dedicated hygiene promotion]]&gt;WWWW[[#This Row],['# People received regular supply of hygiene items]],WWWW[[#This Row],['# people reached by regular dedicated hygiene promotion]],WWWW[[#This Row],['# People received regular supply of hygiene items]])</f>
        <v>0</v>
      </c>
      <c r="BJ131" s="424">
        <f>IF(WWWW[[#This Row],[HRP3]]/WWWW[[#This Row],[Total PoP ]]&gt;100%,100%,WWWW[[#This Row],[HRP3]]/WWWW[[#This Row],[Total PoP ]])</f>
        <v>0</v>
      </c>
      <c r="BK131" s="423">
        <f>1-WWWW[[#This Row],[Hygiene Coverage%]]</f>
        <v>1</v>
      </c>
      <c r="BL131" s="422">
        <f>WWWW[[#This Row],['# people reached by regular dedicated hygiene promotion]]/WWWW[[#This Row],[Total PoP ]]</f>
        <v>0</v>
      </c>
      <c r="BM13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1" s="421">
        <f>WWWW[[#This Row],['#_of_affected_women_and_girls_receiving_a_sufficient_quantity_of_sanitary_pads]]</f>
        <v>0</v>
      </c>
      <c r="BO131" s="420">
        <f>IF(WWWW[[#This Row],['# People with access to soap]]&gt;WWWW[[#This Row],['# People with access to Sanity Pads]],WWWW[[#This Row],['# People with access to soap]],WWWW[[#This Row],['# People with access to Sanity Pads]])</f>
        <v>0</v>
      </c>
      <c r="BP131" s="419" t="str">
        <f>IF(OR(WWWW[[#This Row],['#of students in school]]="",WWWW[[#This Row],['#of students in school]]=0),"No","Yes")</f>
        <v>No</v>
      </c>
      <c r="BQ131" s="417" t="str">
        <f>VLOOKUP(WWWW[[#This Row],[Village  Name]],SiteDB6[[Site Name]:[Location Type 1]],9,FALSE)</f>
        <v>Village</v>
      </c>
      <c r="BR131" s="417" t="str">
        <f>VLOOKUP(WWWW[[#This Row],[Village  Name]],SiteDB6[[Site Name]:[Type of Accommodation]],10,FALSE)</f>
        <v>Village</v>
      </c>
      <c r="BS131" s="417">
        <f>VLOOKUP(WWWW[[#This Row],[Village  Name]],SiteDB6[[Site Name]:[Ethnic or GCA/NGCA]],11,FALSE)</f>
        <v>0</v>
      </c>
      <c r="BT131" s="417">
        <f>VLOOKUP(WWWW[[#This Row],[Village  Name]],SiteDB6[[Site Name]:[Lat]],12,FALSE)</f>
        <v>0</v>
      </c>
      <c r="BU131" s="417">
        <f>VLOOKUP(WWWW[[#This Row],[Village  Name]],SiteDB6[[Site Name]:[Long]],13,FALSE)</f>
        <v>0</v>
      </c>
      <c r="BV131" s="417">
        <f>VLOOKUP(WWWW[[#This Row],[Village  Name]],SiteDB6[[Site Name]:[Pcode]],3,FALSE)</f>
        <v>197102</v>
      </c>
      <c r="BW131" s="425" t="str">
        <f t="shared" si="4"/>
        <v>Covered</v>
      </c>
      <c r="BX131" s="425"/>
      <c r="BY131" s="33"/>
      <c r="CA131" s="431"/>
      <c r="CB131" s="33"/>
      <c r="CC131" s="36"/>
      <c r="CE131" s="37"/>
      <c r="CN131" s="20"/>
    </row>
    <row r="132" spans="1:92" hidden="1">
      <c r="A132" s="412" t="s">
        <v>2380</v>
      </c>
      <c r="B132" s="412" t="s">
        <v>316</v>
      </c>
      <c r="C132" s="418" t="s">
        <v>316</v>
      </c>
      <c r="D132" s="418" t="s">
        <v>309</v>
      </c>
      <c r="E132" s="551" t="s">
        <v>2687</v>
      </c>
      <c r="F132" s="418" t="s">
        <v>314</v>
      </c>
      <c r="G132" s="551" t="str">
        <f>VLOOKUP(WWWW[[#This Row],[Village  Name]],SiteDB6[[Site Name]:[Location Type]],8,FALSE)</f>
        <v>Village</v>
      </c>
      <c r="H132" s="418" t="s">
        <v>2649</v>
      </c>
      <c r="I132" s="420">
        <v>181</v>
      </c>
      <c r="J132" s="420">
        <v>940</v>
      </c>
      <c r="K132" s="426">
        <v>42736</v>
      </c>
      <c r="L132" s="427">
        <v>44551</v>
      </c>
      <c r="M132" s="420"/>
      <c r="N132" s="420"/>
      <c r="O132" s="420"/>
      <c r="P132" s="420"/>
      <c r="Q132" s="420"/>
      <c r="R132" s="420"/>
      <c r="S132" s="420"/>
      <c r="T132" s="642"/>
      <c r="U132" s="420"/>
      <c r="V132" s="611" t="s">
        <v>132</v>
      </c>
      <c r="W132" s="420"/>
      <c r="X132" s="420"/>
      <c r="Y132" s="420"/>
      <c r="Z132" s="420"/>
      <c r="AA132" s="420"/>
      <c r="AB132" s="642"/>
      <c r="AC132" s="420"/>
      <c r="AD132" s="420"/>
      <c r="AE132" s="420"/>
      <c r="AF132" s="420"/>
      <c r="AG132" s="420"/>
      <c r="AH132" s="420"/>
      <c r="AI132" s="420"/>
      <c r="AJ132" s="420"/>
      <c r="AK132" s="420"/>
      <c r="AL132" s="420"/>
      <c r="AM132" s="642"/>
      <c r="AN132" s="420"/>
      <c r="AO132" s="420"/>
      <c r="AP13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2" s="419">
        <f>WWWW[[#This Row],[%Equitable and continuous access to sufficient quantity of safe drinking water]]*WWWW[[#This Row],[Total PoP ]]</f>
        <v>0</v>
      </c>
      <c r="AR13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2" s="419">
        <f>WWWW[[#This Row],[% Access to unimproved water points]]*WWWW[[#This Row],[Total PoP ]]</f>
        <v>0</v>
      </c>
      <c r="AT13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2" s="419">
        <f>WWWW[[#This Row],[HRP1]]/250</f>
        <v>0</v>
      </c>
      <c r="AW132" s="424">
        <f>1-WWWW[[#This Row],[% Equitable and continuous access to sufficient quantity of domestic water]]</f>
        <v>1</v>
      </c>
      <c r="AX132" s="419">
        <f>WWWW[[#This Row],[%equitable and continuous access to sufficient quantity of safe drinking and domestic water''s GAP]]*WWWW[[#This Row],[Total PoP ]]</f>
        <v>940</v>
      </c>
      <c r="AY132" s="421">
        <f>IF(WWWW[[#This Row],[Total required water points]]-WWWW[[#This Row],['#Water points coverage]]&lt;0,0,WWWW[[#This Row],[Total required water points]]-WWWW[[#This Row],['#Water points coverage]])</f>
        <v>4</v>
      </c>
      <c r="AZ132" s="421">
        <f>ROUND(IF(WWWW[[#This Row],[Total PoP ]]&lt;250,1,WWWW[[#This Row],[Total PoP ]]/250),0)</f>
        <v>4</v>
      </c>
      <c r="BA13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2" s="419">
        <f>WWWW[[#This Row],[% people access to functioning Latrine]]*WWWW[[#This Row],[Total PoP ]]</f>
        <v>0</v>
      </c>
      <c r="BC132" s="421">
        <f>WWWW[[#This Row],['#_of_Functioning_latrines_in_school]]*50</f>
        <v>0</v>
      </c>
      <c r="BD132" s="421">
        <f>ROUND((WWWW[[#This Row],[Total PoP ]]/6),0)</f>
        <v>157</v>
      </c>
      <c r="BE132" s="421">
        <f>IF(WWWW[[#This Row],[Total required Latrines]]-(WWWW[[#This Row],['#_of_sanitary_fly-proof_HH_latrines]])&lt;0,0,WWWW[[#This Row],[Total required Latrines]]-(WWWW[[#This Row],['#_of_sanitary_fly-proof_HH_latrines]]))</f>
        <v>157</v>
      </c>
      <c r="BF132" s="563">
        <f>1-WWWW[[#This Row],[% people access to functioning Latrine]]</f>
        <v>1</v>
      </c>
      <c r="BG13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2" s="419">
        <f>IF(WWWW[[#This Row],['#_of_functional_handwashing_facilities_at_HH_level]]*6&gt;WWWW[[#This Row],[Total PoP ]],WWWW[[#This Row],[Total PoP ]],WWWW[[#This Row],['#_of_functional_handwashing_facilities_at_HH_level]]*6)</f>
        <v>0</v>
      </c>
      <c r="BI132" s="421">
        <f>IF(WWWW[[#This Row],['# people reached by regular dedicated hygiene promotion]]&gt;WWWW[[#This Row],['# People received regular supply of hygiene items]],WWWW[[#This Row],['# people reached by regular dedicated hygiene promotion]],WWWW[[#This Row],['# People received regular supply of hygiene items]])</f>
        <v>0</v>
      </c>
      <c r="BJ132" s="424">
        <f>IF(WWWW[[#This Row],[HRP3]]/WWWW[[#This Row],[Total PoP ]]&gt;100%,100%,WWWW[[#This Row],[HRP3]]/WWWW[[#This Row],[Total PoP ]])</f>
        <v>0</v>
      </c>
      <c r="BK132" s="423">
        <f>1-WWWW[[#This Row],[Hygiene Coverage%]]</f>
        <v>1</v>
      </c>
      <c r="BL132" s="422">
        <f>WWWW[[#This Row],['# people reached by regular dedicated hygiene promotion]]/WWWW[[#This Row],[Total PoP ]]</f>
        <v>0</v>
      </c>
      <c r="BM13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2" s="421">
        <f>WWWW[[#This Row],['#_of_affected_women_and_girls_receiving_a_sufficient_quantity_of_sanitary_pads]]</f>
        <v>0</v>
      </c>
      <c r="BO132" s="420">
        <f>IF(WWWW[[#This Row],['# People with access to soap]]&gt;WWWW[[#This Row],['# People with access to Sanity Pads]],WWWW[[#This Row],['# People with access to soap]],WWWW[[#This Row],['# People with access to Sanity Pads]])</f>
        <v>0</v>
      </c>
      <c r="BP132" s="419" t="str">
        <f>IF(OR(WWWW[[#This Row],['#of students in school]]="",WWWW[[#This Row],['#of students in school]]=0),"No","Yes")</f>
        <v>No</v>
      </c>
      <c r="BQ132" s="417" t="str">
        <f>VLOOKUP(WWWW[[#This Row],[Village  Name]],SiteDB6[[Site Name]:[Location Type 1]],9,FALSE)</f>
        <v>Village</v>
      </c>
      <c r="BR132" s="417" t="str">
        <f>VLOOKUP(WWWW[[#This Row],[Village  Name]],SiteDB6[[Site Name]:[Type of Accommodation]],10,FALSE)</f>
        <v>Village</v>
      </c>
      <c r="BS132" s="417">
        <f>VLOOKUP(WWWW[[#This Row],[Village  Name]],SiteDB6[[Site Name]:[Ethnic or GCA/NGCA]],11,FALSE)</f>
        <v>0</v>
      </c>
      <c r="BT132" s="417">
        <f>VLOOKUP(WWWW[[#This Row],[Village  Name]],SiteDB6[[Site Name]:[Lat]],12,FALSE)</f>
        <v>0</v>
      </c>
      <c r="BU132" s="417">
        <f>VLOOKUP(WWWW[[#This Row],[Village  Name]],SiteDB6[[Site Name]:[Long]],13,FALSE)</f>
        <v>0</v>
      </c>
      <c r="BV132" s="417">
        <f>VLOOKUP(WWWW[[#This Row],[Village  Name]],SiteDB6[[Site Name]:[Pcode]],3,FALSE)</f>
        <v>220651</v>
      </c>
      <c r="BW132" s="425" t="str">
        <f t="shared" ref="BW132:BW152" si="5">IF(C132="none","Notcovered","Covered")</f>
        <v>Covered</v>
      </c>
      <c r="BX132" s="425"/>
      <c r="BY132" s="33"/>
      <c r="CA132" s="431"/>
      <c r="CB132" s="33"/>
      <c r="CC132" s="36"/>
      <c r="CE132" s="37"/>
      <c r="CN132" s="20"/>
    </row>
    <row r="133" spans="1:92" hidden="1">
      <c r="A133" s="412" t="s">
        <v>2380</v>
      </c>
      <c r="B133" s="412" t="s">
        <v>316</v>
      </c>
      <c r="C133" s="418" t="s">
        <v>316</v>
      </c>
      <c r="D133" s="418" t="s">
        <v>309</v>
      </c>
      <c r="E133" s="551" t="s">
        <v>2687</v>
      </c>
      <c r="F133" s="418" t="s">
        <v>314</v>
      </c>
      <c r="G133" s="551" t="str">
        <f>VLOOKUP(WWWW[[#This Row],[Village  Name]],SiteDB6[[Site Name]:[Location Type]],8,FALSE)</f>
        <v>Village</v>
      </c>
      <c r="H133" s="418" t="s">
        <v>2650</v>
      </c>
      <c r="I133" s="420">
        <v>170</v>
      </c>
      <c r="J133" s="420">
        <v>743</v>
      </c>
      <c r="K133" s="426">
        <v>42736</v>
      </c>
      <c r="L133" s="427">
        <v>44551</v>
      </c>
      <c r="M133" s="420"/>
      <c r="N133" s="420"/>
      <c r="O133" s="420"/>
      <c r="P133" s="420"/>
      <c r="Q133" s="420"/>
      <c r="R133" s="420"/>
      <c r="S133" s="420"/>
      <c r="T133" s="642"/>
      <c r="U133" s="420"/>
      <c r="V133" s="611" t="s">
        <v>132</v>
      </c>
      <c r="W133" s="420"/>
      <c r="X133" s="420"/>
      <c r="Y133" s="420"/>
      <c r="Z133" s="420"/>
      <c r="AA133" s="420"/>
      <c r="AB133" s="642"/>
      <c r="AC133" s="420"/>
      <c r="AD133" s="420"/>
      <c r="AE133" s="420"/>
      <c r="AF133" s="420"/>
      <c r="AG133" s="420"/>
      <c r="AH133" s="420"/>
      <c r="AI133" s="420"/>
      <c r="AJ133" s="420"/>
      <c r="AK133" s="420"/>
      <c r="AL133" s="420"/>
      <c r="AM133" s="642"/>
      <c r="AN133" s="420"/>
      <c r="AO133" s="420"/>
      <c r="AP13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3" s="419">
        <f>WWWW[[#This Row],[%Equitable and continuous access to sufficient quantity of safe drinking water]]*WWWW[[#This Row],[Total PoP ]]</f>
        <v>0</v>
      </c>
      <c r="AR13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3" s="419">
        <f>WWWW[[#This Row],[% Access to unimproved water points]]*WWWW[[#This Row],[Total PoP ]]</f>
        <v>0</v>
      </c>
      <c r="AT13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3" s="419">
        <f>WWWW[[#This Row],[HRP1]]/250</f>
        <v>0</v>
      </c>
      <c r="AW133" s="424">
        <f>1-WWWW[[#This Row],[% Equitable and continuous access to sufficient quantity of domestic water]]</f>
        <v>1</v>
      </c>
      <c r="AX133" s="419">
        <f>WWWW[[#This Row],[%equitable and continuous access to sufficient quantity of safe drinking and domestic water''s GAP]]*WWWW[[#This Row],[Total PoP ]]</f>
        <v>743</v>
      </c>
      <c r="AY133" s="421">
        <f>IF(WWWW[[#This Row],[Total required water points]]-WWWW[[#This Row],['#Water points coverage]]&lt;0,0,WWWW[[#This Row],[Total required water points]]-WWWW[[#This Row],['#Water points coverage]])</f>
        <v>3</v>
      </c>
      <c r="AZ133" s="421">
        <f>ROUND(IF(WWWW[[#This Row],[Total PoP ]]&lt;250,1,WWWW[[#This Row],[Total PoP ]]/250),0)</f>
        <v>3</v>
      </c>
      <c r="BA13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3" s="419">
        <f>WWWW[[#This Row],[% people access to functioning Latrine]]*WWWW[[#This Row],[Total PoP ]]</f>
        <v>0</v>
      </c>
      <c r="BC133" s="421">
        <f>WWWW[[#This Row],['#_of_Functioning_latrines_in_school]]*50</f>
        <v>0</v>
      </c>
      <c r="BD133" s="421">
        <f>ROUND((WWWW[[#This Row],[Total PoP ]]/6),0)</f>
        <v>124</v>
      </c>
      <c r="BE133" s="421">
        <f>IF(WWWW[[#This Row],[Total required Latrines]]-(WWWW[[#This Row],['#_of_sanitary_fly-proof_HH_latrines]])&lt;0,0,WWWW[[#This Row],[Total required Latrines]]-(WWWW[[#This Row],['#_of_sanitary_fly-proof_HH_latrines]]))</f>
        <v>124</v>
      </c>
      <c r="BF133" s="563">
        <f>1-WWWW[[#This Row],[% people access to functioning Latrine]]</f>
        <v>1</v>
      </c>
      <c r="BG13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3" s="419">
        <f>IF(WWWW[[#This Row],['#_of_functional_handwashing_facilities_at_HH_level]]*6&gt;WWWW[[#This Row],[Total PoP ]],WWWW[[#This Row],[Total PoP ]],WWWW[[#This Row],['#_of_functional_handwashing_facilities_at_HH_level]]*6)</f>
        <v>0</v>
      </c>
      <c r="BI133" s="421">
        <f>IF(WWWW[[#This Row],['# people reached by regular dedicated hygiene promotion]]&gt;WWWW[[#This Row],['# People received regular supply of hygiene items]],WWWW[[#This Row],['# people reached by regular dedicated hygiene promotion]],WWWW[[#This Row],['# People received regular supply of hygiene items]])</f>
        <v>0</v>
      </c>
      <c r="BJ133" s="424">
        <f>IF(WWWW[[#This Row],[HRP3]]/WWWW[[#This Row],[Total PoP ]]&gt;100%,100%,WWWW[[#This Row],[HRP3]]/WWWW[[#This Row],[Total PoP ]])</f>
        <v>0</v>
      </c>
      <c r="BK133" s="423">
        <f>1-WWWW[[#This Row],[Hygiene Coverage%]]</f>
        <v>1</v>
      </c>
      <c r="BL133" s="422">
        <f>WWWW[[#This Row],['# people reached by regular dedicated hygiene promotion]]/WWWW[[#This Row],[Total PoP ]]</f>
        <v>0</v>
      </c>
      <c r="BM13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3" s="421">
        <f>WWWW[[#This Row],['#_of_affected_women_and_girls_receiving_a_sufficient_quantity_of_sanitary_pads]]</f>
        <v>0</v>
      </c>
      <c r="BO133" s="420">
        <f>IF(WWWW[[#This Row],['# People with access to soap]]&gt;WWWW[[#This Row],['# People with access to Sanity Pads]],WWWW[[#This Row],['# People with access to soap]],WWWW[[#This Row],['# People with access to Sanity Pads]])</f>
        <v>0</v>
      </c>
      <c r="BP133" s="419" t="str">
        <f>IF(OR(WWWW[[#This Row],['#of students in school]]="",WWWW[[#This Row],['#of students in school]]=0),"No","Yes")</f>
        <v>No</v>
      </c>
      <c r="BQ133" s="417" t="str">
        <f>VLOOKUP(WWWW[[#This Row],[Village  Name]],SiteDB6[[Site Name]:[Location Type 1]],9,FALSE)</f>
        <v>Village</v>
      </c>
      <c r="BR133" s="417" t="str">
        <f>VLOOKUP(WWWW[[#This Row],[Village  Name]],SiteDB6[[Site Name]:[Type of Accommodation]],10,FALSE)</f>
        <v>Village</v>
      </c>
      <c r="BS133" s="417">
        <f>VLOOKUP(WWWW[[#This Row],[Village  Name]],SiteDB6[[Site Name]:[Ethnic or GCA/NGCA]],11,FALSE)</f>
        <v>0</v>
      </c>
      <c r="BT133" s="417">
        <f>VLOOKUP(WWWW[[#This Row],[Village  Name]],SiteDB6[[Site Name]:[Lat]],12,FALSE)</f>
        <v>0</v>
      </c>
      <c r="BU133" s="417">
        <f>VLOOKUP(WWWW[[#This Row],[Village  Name]],SiteDB6[[Site Name]:[Long]],13,FALSE)</f>
        <v>0</v>
      </c>
      <c r="BV133" s="417">
        <f>VLOOKUP(WWWW[[#This Row],[Village  Name]],SiteDB6[[Site Name]:[Pcode]],3,FALSE)</f>
        <v>197103</v>
      </c>
      <c r="BW133" s="425" t="str">
        <f t="shared" si="5"/>
        <v>Covered</v>
      </c>
      <c r="BX133" s="425"/>
      <c r="BY133" s="33"/>
      <c r="CA133" s="431"/>
      <c r="CB133" s="33"/>
      <c r="CC133" s="36"/>
      <c r="CE133" s="37"/>
      <c r="CN133" s="20"/>
    </row>
    <row r="134" spans="1:92" hidden="1">
      <c r="A134" s="412" t="s">
        <v>2380</v>
      </c>
      <c r="B134" s="412" t="s">
        <v>316</v>
      </c>
      <c r="C134" s="418" t="s">
        <v>316</v>
      </c>
      <c r="D134" s="418" t="s">
        <v>309</v>
      </c>
      <c r="E134" s="551" t="s">
        <v>2687</v>
      </c>
      <c r="F134" s="418" t="s">
        <v>314</v>
      </c>
      <c r="G134" s="551" t="str">
        <f>VLOOKUP(WWWW[[#This Row],[Village  Name]],SiteDB6[[Site Name]:[Location Type]],8,FALSE)</f>
        <v>Village</v>
      </c>
      <c r="H134" s="418" t="s">
        <v>464</v>
      </c>
      <c r="I134" s="420">
        <v>121</v>
      </c>
      <c r="J134" s="420">
        <v>421</v>
      </c>
      <c r="K134" s="426">
        <v>42736</v>
      </c>
      <c r="L134" s="427">
        <v>44551</v>
      </c>
      <c r="M134" s="420"/>
      <c r="N134" s="420"/>
      <c r="O134" s="420"/>
      <c r="P134" s="420"/>
      <c r="Q134" s="420"/>
      <c r="R134" s="420"/>
      <c r="S134" s="420"/>
      <c r="T134" s="642"/>
      <c r="U134" s="420"/>
      <c r="V134" s="611" t="s">
        <v>132</v>
      </c>
      <c r="W134" s="420"/>
      <c r="X134" s="420"/>
      <c r="Y134" s="420"/>
      <c r="Z134" s="420"/>
      <c r="AA134" s="420"/>
      <c r="AB134" s="642"/>
      <c r="AC134" s="420"/>
      <c r="AD134" s="420"/>
      <c r="AE134" s="420"/>
      <c r="AF134" s="420"/>
      <c r="AG134" s="420"/>
      <c r="AH134" s="420"/>
      <c r="AI134" s="420"/>
      <c r="AJ134" s="420"/>
      <c r="AK134" s="420"/>
      <c r="AL134" s="420"/>
      <c r="AM134" s="642"/>
      <c r="AN134" s="420"/>
      <c r="AO134" s="420"/>
      <c r="AP13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4" s="419">
        <f>WWWW[[#This Row],[%Equitable and continuous access to sufficient quantity of safe drinking water]]*WWWW[[#This Row],[Total PoP ]]</f>
        <v>0</v>
      </c>
      <c r="AR13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4" s="419">
        <f>WWWW[[#This Row],[% Access to unimproved water points]]*WWWW[[#This Row],[Total PoP ]]</f>
        <v>0</v>
      </c>
      <c r="AT13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4" s="419">
        <f>WWWW[[#This Row],[HRP1]]/250</f>
        <v>0</v>
      </c>
      <c r="AW134" s="424">
        <f>1-WWWW[[#This Row],[% Equitable and continuous access to sufficient quantity of domestic water]]</f>
        <v>1</v>
      </c>
      <c r="AX134" s="419">
        <f>WWWW[[#This Row],[%equitable and continuous access to sufficient quantity of safe drinking and domestic water''s GAP]]*WWWW[[#This Row],[Total PoP ]]</f>
        <v>421</v>
      </c>
      <c r="AY134" s="421">
        <f>IF(WWWW[[#This Row],[Total required water points]]-WWWW[[#This Row],['#Water points coverage]]&lt;0,0,WWWW[[#This Row],[Total required water points]]-WWWW[[#This Row],['#Water points coverage]])</f>
        <v>2</v>
      </c>
      <c r="AZ134" s="421">
        <f>ROUND(IF(WWWW[[#This Row],[Total PoP ]]&lt;250,1,WWWW[[#This Row],[Total PoP ]]/250),0)</f>
        <v>2</v>
      </c>
      <c r="BA13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4" s="419">
        <f>WWWW[[#This Row],[% people access to functioning Latrine]]*WWWW[[#This Row],[Total PoP ]]</f>
        <v>0</v>
      </c>
      <c r="BC134" s="421">
        <f>WWWW[[#This Row],['#_of_Functioning_latrines_in_school]]*50</f>
        <v>0</v>
      </c>
      <c r="BD134" s="421">
        <f>ROUND((WWWW[[#This Row],[Total PoP ]]/6),0)</f>
        <v>70</v>
      </c>
      <c r="BE134" s="421">
        <f>IF(WWWW[[#This Row],[Total required Latrines]]-(WWWW[[#This Row],['#_of_sanitary_fly-proof_HH_latrines]])&lt;0,0,WWWW[[#This Row],[Total required Latrines]]-(WWWW[[#This Row],['#_of_sanitary_fly-proof_HH_latrines]]))</f>
        <v>70</v>
      </c>
      <c r="BF134" s="563">
        <f>1-WWWW[[#This Row],[% people access to functioning Latrine]]</f>
        <v>1</v>
      </c>
      <c r="BG13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4" s="419">
        <f>IF(WWWW[[#This Row],['#_of_functional_handwashing_facilities_at_HH_level]]*6&gt;WWWW[[#This Row],[Total PoP ]],WWWW[[#This Row],[Total PoP ]],WWWW[[#This Row],['#_of_functional_handwashing_facilities_at_HH_level]]*6)</f>
        <v>0</v>
      </c>
      <c r="BI134" s="421">
        <f>IF(WWWW[[#This Row],['# people reached by regular dedicated hygiene promotion]]&gt;WWWW[[#This Row],['# People received regular supply of hygiene items]],WWWW[[#This Row],['# people reached by regular dedicated hygiene promotion]],WWWW[[#This Row],['# People received regular supply of hygiene items]])</f>
        <v>0</v>
      </c>
      <c r="BJ134" s="424">
        <f>IF(WWWW[[#This Row],[HRP3]]/WWWW[[#This Row],[Total PoP ]]&gt;100%,100%,WWWW[[#This Row],[HRP3]]/WWWW[[#This Row],[Total PoP ]])</f>
        <v>0</v>
      </c>
      <c r="BK134" s="423">
        <f>1-WWWW[[#This Row],[Hygiene Coverage%]]</f>
        <v>1</v>
      </c>
      <c r="BL134" s="422">
        <f>WWWW[[#This Row],['# people reached by regular dedicated hygiene promotion]]/WWWW[[#This Row],[Total PoP ]]</f>
        <v>0</v>
      </c>
      <c r="BM13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4" s="421">
        <f>WWWW[[#This Row],['#_of_affected_women_and_girls_receiving_a_sufficient_quantity_of_sanitary_pads]]</f>
        <v>0</v>
      </c>
      <c r="BO134" s="420">
        <f>IF(WWWW[[#This Row],['# People with access to soap]]&gt;WWWW[[#This Row],['# People with access to Sanity Pads]],WWWW[[#This Row],['# People with access to soap]],WWWW[[#This Row],['# People with access to Sanity Pads]])</f>
        <v>0</v>
      </c>
      <c r="BP134" s="419" t="str">
        <f>IF(OR(WWWW[[#This Row],['#of students in school]]="",WWWW[[#This Row],['#of students in school]]=0),"No","Yes")</f>
        <v>No</v>
      </c>
      <c r="BQ134" s="417" t="str">
        <f>VLOOKUP(WWWW[[#This Row],[Village  Name]],SiteDB6[[Site Name]:[Location Type 1]],9,FALSE)</f>
        <v>Village</v>
      </c>
      <c r="BR134" s="417" t="str">
        <f>VLOOKUP(WWWW[[#This Row],[Village  Name]],SiteDB6[[Site Name]:[Type of Accommodation]],10,FALSE)</f>
        <v>Village</v>
      </c>
      <c r="BS134" s="417" t="str">
        <f>VLOOKUP(WWWW[[#This Row],[Village  Name]],SiteDB6[[Site Name]:[Ethnic or GCA/NGCA]],11,FALSE)</f>
        <v>Mixed</v>
      </c>
      <c r="BT134" s="417">
        <f>VLOOKUP(WWWW[[#This Row],[Village  Name]],SiteDB6[[Site Name]:[Lat]],12,FALSE)</f>
        <v>20.394809720000001</v>
      </c>
      <c r="BU134" s="417">
        <f>VLOOKUP(WWWW[[#This Row],[Village  Name]],SiteDB6[[Site Name]:[Long]],13,FALSE)</f>
        <v>93.251609799999997</v>
      </c>
      <c r="BV134" s="417">
        <f>VLOOKUP(WWWW[[#This Row],[Village  Name]],SiteDB6[[Site Name]:[Pcode]],3,FALSE)</f>
        <v>196994</v>
      </c>
      <c r="BW134" s="425" t="str">
        <f t="shared" si="5"/>
        <v>Covered</v>
      </c>
      <c r="BX134" s="425"/>
      <c r="BY134" s="33"/>
      <c r="CA134" s="431"/>
      <c r="CB134" s="33"/>
      <c r="CC134" s="36"/>
      <c r="CE134" s="37"/>
      <c r="CN134" s="20"/>
    </row>
    <row r="135" spans="1:92" hidden="1">
      <c r="A135" s="412" t="s">
        <v>2380</v>
      </c>
      <c r="B135" s="412" t="s">
        <v>316</v>
      </c>
      <c r="C135" s="418" t="s">
        <v>316</v>
      </c>
      <c r="D135" s="418" t="s">
        <v>309</v>
      </c>
      <c r="E135" s="551" t="s">
        <v>2687</v>
      </c>
      <c r="F135" s="418" t="s">
        <v>314</v>
      </c>
      <c r="G135" s="551" t="str">
        <f>VLOOKUP(WWWW[[#This Row],[Village  Name]],SiteDB6[[Site Name]:[Location Type]],8,FALSE)</f>
        <v>Village</v>
      </c>
      <c r="H135" s="418" t="s">
        <v>1755</v>
      </c>
      <c r="I135" s="420">
        <v>203</v>
      </c>
      <c r="J135" s="420">
        <v>1118</v>
      </c>
      <c r="K135" s="426">
        <v>42736</v>
      </c>
      <c r="L135" s="427">
        <v>44551</v>
      </c>
      <c r="M135" s="420"/>
      <c r="N135" s="420"/>
      <c r="O135" s="420"/>
      <c r="P135" s="420"/>
      <c r="Q135" s="420"/>
      <c r="R135" s="420"/>
      <c r="S135" s="420"/>
      <c r="T135" s="642"/>
      <c r="U135" s="420"/>
      <c r="V135" s="611" t="s">
        <v>132</v>
      </c>
      <c r="W135" s="420"/>
      <c r="X135" s="420"/>
      <c r="Y135" s="420"/>
      <c r="Z135" s="420"/>
      <c r="AA135" s="420"/>
      <c r="AB135" s="642"/>
      <c r="AC135" s="420"/>
      <c r="AD135" s="420"/>
      <c r="AE135" s="420"/>
      <c r="AF135" s="420"/>
      <c r="AG135" s="420"/>
      <c r="AH135" s="420"/>
      <c r="AI135" s="420"/>
      <c r="AJ135" s="420"/>
      <c r="AK135" s="420"/>
      <c r="AL135" s="420"/>
      <c r="AM135" s="642"/>
      <c r="AN135" s="420"/>
      <c r="AO135" s="420"/>
      <c r="AP13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5" s="419">
        <f>WWWW[[#This Row],[%Equitable and continuous access to sufficient quantity of safe drinking water]]*WWWW[[#This Row],[Total PoP ]]</f>
        <v>0</v>
      </c>
      <c r="AR13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5" s="419">
        <f>WWWW[[#This Row],[% Access to unimproved water points]]*WWWW[[#This Row],[Total PoP ]]</f>
        <v>0</v>
      </c>
      <c r="AT13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5" s="419">
        <f>WWWW[[#This Row],[HRP1]]/250</f>
        <v>0</v>
      </c>
      <c r="AW135" s="424">
        <f>1-WWWW[[#This Row],[% Equitable and continuous access to sufficient quantity of domestic water]]</f>
        <v>1</v>
      </c>
      <c r="AX135" s="419">
        <f>WWWW[[#This Row],[%equitable and continuous access to sufficient quantity of safe drinking and domestic water''s GAP]]*WWWW[[#This Row],[Total PoP ]]</f>
        <v>1118</v>
      </c>
      <c r="AY135" s="421">
        <f>IF(WWWW[[#This Row],[Total required water points]]-WWWW[[#This Row],['#Water points coverage]]&lt;0,0,WWWW[[#This Row],[Total required water points]]-WWWW[[#This Row],['#Water points coverage]])</f>
        <v>4</v>
      </c>
      <c r="AZ135" s="421">
        <f>ROUND(IF(WWWW[[#This Row],[Total PoP ]]&lt;250,1,WWWW[[#This Row],[Total PoP ]]/250),0)</f>
        <v>4</v>
      </c>
      <c r="BA13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5" s="419">
        <f>WWWW[[#This Row],[% people access to functioning Latrine]]*WWWW[[#This Row],[Total PoP ]]</f>
        <v>0</v>
      </c>
      <c r="BC135" s="421">
        <f>WWWW[[#This Row],['#_of_Functioning_latrines_in_school]]*50</f>
        <v>0</v>
      </c>
      <c r="BD135" s="421">
        <f>ROUND((WWWW[[#This Row],[Total PoP ]]/6),0)</f>
        <v>186</v>
      </c>
      <c r="BE135" s="421">
        <f>IF(WWWW[[#This Row],[Total required Latrines]]-(WWWW[[#This Row],['#_of_sanitary_fly-proof_HH_latrines]])&lt;0,0,WWWW[[#This Row],[Total required Latrines]]-(WWWW[[#This Row],['#_of_sanitary_fly-proof_HH_latrines]]))</f>
        <v>186</v>
      </c>
      <c r="BF135" s="563">
        <f>1-WWWW[[#This Row],[% people access to functioning Latrine]]</f>
        <v>1</v>
      </c>
      <c r="BG13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5" s="419">
        <f>IF(WWWW[[#This Row],['#_of_functional_handwashing_facilities_at_HH_level]]*6&gt;WWWW[[#This Row],[Total PoP ]],WWWW[[#This Row],[Total PoP ]],WWWW[[#This Row],['#_of_functional_handwashing_facilities_at_HH_level]]*6)</f>
        <v>0</v>
      </c>
      <c r="BI135" s="421">
        <f>IF(WWWW[[#This Row],['# people reached by regular dedicated hygiene promotion]]&gt;WWWW[[#This Row],['# People received regular supply of hygiene items]],WWWW[[#This Row],['# people reached by regular dedicated hygiene promotion]],WWWW[[#This Row],['# People received regular supply of hygiene items]])</f>
        <v>0</v>
      </c>
      <c r="BJ135" s="424">
        <f>IF(WWWW[[#This Row],[HRP3]]/WWWW[[#This Row],[Total PoP ]]&gt;100%,100%,WWWW[[#This Row],[HRP3]]/WWWW[[#This Row],[Total PoP ]])</f>
        <v>0</v>
      </c>
      <c r="BK135" s="423">
        <f>1-WWWW[[#This Row],[Hygiene Coverage%]]</f>
        <v>1</v>
      </c>
      <c r="BL135" s="422">
        <f>WWWW[[#This Row],['# people reached by regular dedicated hygiene promotion]]/WWWW[[#This Row],[Total PoP ]]</f>
        <v>0</v>
      </c>
      <c r="BM13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5" s="421">
        <f>WWWW[[#This Row],['#_of_affected_women_and_girls_receiving_a_sufficient_quantity_of_sanitary_pads]]</f>
        <v>0</v>
      </c>
      <c r="BO135" s="420">
        <f>IF(WWWW[[#This Row],['# People with access to soap]]&gt;WWWW[[#This Row],['# People with access to Sanity Pads]],WWWW[[#This Row],['# People with access to soap]],WWWW[[#This Row],['# People with access to Sanity Pads]])</f>
        <v>0</v>
      </c>
      <c r="BP135" s="419" t="str">
        <f>IF(OR(WWWW[[#This Row],['#of students in school]]="",WWWW[[#This Row],['#of students in school]]=0),"No","Yes")</f>
        <v>No</v>
      </c>
      <c r="BQ135" s="417" t="str">
        <f>VLOOKUP(WWWW[[#This Row],[Village  Name]],SiteDB6[[Site Name]:[Location Type 1]],9,FALSE)</f>
        <v>Village</v>
      </c>
      <c r="BR135" s="417" t="str">
        <f>VLOOKUP(WWWW[[#This Row],[Village  Name]],SiteDB6[[Site Name]:[Type of Accommodation]],10,FALSE)</f>
        <v>Village</v>
      </c>
      <c r="BS135" s="417">
        <f>VLOOKUP(WWWW[[#This Row],[Village  Name]],SiteDB6[[Site Name]:[Ethnic or GCA/NGCA]],11,FALSE)</f>
        <v>0</v>
      </c>
      <c r="BT135" s="417">
        <f>VLOOKUP(WWWW[[#This Row],[Village  Name]],SiteDB6[[Site Name]:[Lat]],12,FALSE)</f>
        <v>0</v>
      </c>
      <c r="BU135" s="417">
        <f>VLOOKUP(WWWW[[#This Row],[Village  Name]],SiteDB6[[Site Name]:[Long]],13,FALSE)</f>
        <v>0</v>
      </c>
      <c r="BV135" s="417">
        <f>VLOOKUP(WWWW[[#This Row],[Village  Name]],SiteDB6[[Site Name]:[Pcode]],3,FALSE)</f>
        <v>196997</v>
      </c>
      <c r="BW135" s="425" t="str">
        <f t="shared" si="5"/>
        <v>Covered</v>
      </c>
      <c r="BX135" s="425"/>
      <c r="BY135" s="33"/>
      <c r="CA135" s="431"/>
      <c r="CB135" s="33"/>
      <c r="CC135" s="36"/>
      <c r="CE135" s="37"/>
      <c r="CN135" s="20"/>
    </row>
    <row r="136" spans="1:92" hidden="1">
      <c r="A136" s="412" t="s">
        <v>2380</v>
      </c>
      <c r="B136" s="412" t="s">
        <v>316</v>
      </c>
      <c r="C136" s="418" t="s">
        <v>316</v>
      </c>
      <c r="D136" s="418" t="s">
        <v>309</v>
      </c>
      <c r="E136" s="551" t="s">
        <v>2687</v>
      </c>
      <c r="F136" s="418" t="s">
        <v>314</v>
      </c>
      <c r="G136" s="551" t="str">
        <f>VLOOKUP(WWWW[[#This Row],[Village  Name]],SiteDB6[[Site Name]:[Location Type]],8,FALSE)</f>
        <v>Village</v>
      </c>
      <c r="H136" s="418" t="s">
        <v>465</v>
      </c>
      <c r="I136" s="420">
        <v>31</v>
      </c>
      <c r="J136" s="420">
        <v>170</v>
      </c>
      <c r="K136" s="426">
        <v>42736</v>
      </c>
      <c r="L136" s="427">
        <v>44551</v>
      </c>
      <c r="M136" s="420"/>
      <c r="N136" s="420"/>
      <c r="O136" s="420"/>
      <c r="P136" s="420"/>
      <c r="Q136" s="420"/>
      <c r="R136" s="420"/>
      <c r="S136" s="420"/>
      <c r="T136" s="642"/>
      <c r="U136" s="420"/>
      <c r="V136" s="611" t="s">
        <v>132</v>
      </c>
      <c r="W136" s="420"/>
      <c r="X136" s="420"/>
      <c r="Y136" s="420"/>
      <c r="Z136" s="420"/>
      <c r="AA136" s="420"/>
      <c r="AB136" s="642"/>
      <c r="AC136" s="420"/>
      <c r="AD136" s="420"/>
      <c r="AE136" s="420"/>
      <c r="AF136" s="420"/>
      <c r="AG136" s="420"/>
      <c r="AH136" s="420"/>
      <c r="AI136" s="420"/>
      <c r="AJ136" s="420"/>
      <c r="AK136" s="420"/>
      <c r="AL136" s="420"/>
      <c r="AM136" s="642"/>
      <c r="AN136" s="420"/>
      <c r="AO136" s="420"/>
      <c r="AP13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6" s="419">
        <f>WWWW[[#This Row],[%Equitable and continuous access to sufficient quantity of safe drinking water]]*WWWW[[#This Row],[Total PoP ]]</f>
        <v>0</v>
      </c>
      <c r="AR13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6" s="419">
        <f>WWWW[[#This Row],[% Access to unimproved water points]]*WWWW[[#This Row],[Total PoP ]]</f>
        <v>0</v>
      </c>
      <c r="AT13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6" s="419">
        <f>WWWW[[#This Row],[HRP1]]/250</f>
        <v>0</v>
      </c>
      <c r="AW136" s="424">
        <f>1-WWWW[[#This Row],[% Equitable and continuous access to sufficient quantity of domestic water]]</f>
        <v>1</v>
      </c>
      <c r="AX136" s="419">
        <f>WWWW[[#This Row],[%equitable and continuous access to sufficient quantity of safe drinking and domestic water''s GAP]]*WWWW[[#This Row],[Total PoP ]]</f>
        <v>170</v>
      </c>
      <c r="AY136" s="421">
        <f>IF(WWWW[[#This Row],[Total required water points]]-WWWW[[#This Row],['#Water points coverage]]&lt;0,0,WWWW[[#This Row],[Total required water points]]-WWWW[[#This Row],['#Water points coverage]])</f>
        <v>1</v>
      </c>
      <c r="AZ136" s="421">
        <f>ROUND(IF(WWWW[[#This Row],[Total PoP ]]&lt;250,1,WWWW[[#This Row],[Total PoP ]]/250),0)</f>
        <v>1</v>
      </c>
      <c r="BA13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6" s="419">
        <f>WWWW[[#This Row],[% people access to functioning Latrine]]*WWWW[[#This Row],[Total PoP ]]</f>
        <v>0</v>
      </c>
      <c r="BC136" s="421">
        <f>WWWW[[#This Row],['#_of_Functioning_latrines_in_school]]*50</f>
        <v>0</v>
      </c>
      <c r="BD136" s="421">
        <f>ROUND((WWWW[[#This Row],[Total PoP ]]/6),0)</f>
        <v>28</v>
      </c>
      <c r="BE136" s="421">
        <f>IF(WWWW[[#This Row],[Total required Latrines]]-(WWWW[[#This Row],['#_of_sanitary_fly-proof_HH_latrines]])&lt;0,0,WWWW[[#This Row],[Total required Latrines]]-(WWWW[[#This Row],['#_of_sanitary_fly-proof_HH_latrines]]))</f>
        <v>28</v>
      </c>
      <c r="BF136" s="563">
        <f>1-WWWW[[#This Row],[% people access to functioning Latrine]]</f>
        <v>1</v>
      </c>
      <c r="BG13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6" s="419">
        <f>IF(WWWW[[#This Row],['#_of_functional_handwashing_facilities_at_HH_level]]*6&gt;WWWW[[#This Row],[Total PoP ]],WWWW[[#This Row],[Total PoP ]],WWWW[[#This Row],['#_of_functional_handwashing_facilities_at_HH_level]]*6)</f>
        <v>0</v>
      </c>
      <c r="BI136" s="421">
        <f>IF(WWWW[[#This Row],['# people reached by regular dedicated hygiene promotion]]&gt;WWWW[[#This Row],['# People received regular supply of hygiene items]],WWWW[[#This Row],['# people reached by regular dedicated hygiene promotion]],WWWW[[#This Row],['# People received regular supply of hygiene items]])</f>
        <v>0</v>
      </c>
      <c r="BJ136" s="424">
        <f>IF(WWWW[[#This Row],[HRP3]]/WWWW[[#This Row],[Total PoP ]]&gt;100%,100%,WWWW[[#This Row],[HRP3]]/WWWW[[#This Row],[Total PoP ]])</f>
        <v>0</v>
      </c>
      <c r="BK136" s="423">
        <f>1-WWWW[[#This Row],[Hygiene Coverage%]]</f>
        <v>1</v>
      </c>
      <c r="BL136" s="422">
        <f>WWWW[[#This Row],['# people reached by regular dedicated hygiene promotion]]/WWWW[[#This Row],[Total PoP ]]</f>
        <v>0</v>
      </c>
      <c r="BM13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6" s="421">
        <f>WWWW[[#This Row],['#_of_affected_women_and_girls_receiving_a_sufficient_quantity_of_sanitary_pads]]</f>
        <v>0</v>
      </c>
      <c r="BO136" s="420">
        <f>IF(WWWW[[#This Row],['# People with access to soap]]&gt;WWWW[[#This Row],['# People with access to Sanity Pads]],WWWW[[#This Row],['# People with access to soap]],WWWW[[#This Row],['# People with access to Sanity Pads]])</f>
        <v>0</v>
      </c>
      <c r="BP136" s="419" t="str">
        <f>IF(OR(WWWW[[#This Row],['#of students in school]]="",WWWW[[#This Row],['#of students in school]]=0),"No","Yes")</f>
        <v>No</v>
      </c>
      <c r="BQ136" s="417" t="str">
        <f>VLOOKUP(WWWW[[#This Row],[Village  Name]],SiteDB6[[Site Name]:[Location Type 1]],9,FALSE)</f>
        <v>Village</v>
      </c>
      <c r="BR136" s="417" t="str">
        <f>VLOOKUP(WWWW[[#This Row],[Village  Name]],SiteDB6[[Site Name]:[Type of Accommodation]],10,FALSE)</f>
        <v>Village</v>
      </c>
      <c r="BS136" s="417" t="str">
        <f>VLOOKUP(WWWW[[#This Row],[Village  Name]],SiteDB6[[Site Name]:[Ethnic or GCA/NGCA]],11,FALSE)</f>
        <v>Rakhine</v>
      </c>
      <c r="BT136" s="417">
        <f>VLOOKUP(WWWW[[#This Row],[Village  Name]],SiteDB6[[Site Name]:[Lat]],12,FALSE)</f>
        <v>20.396680830000001</v>
      </c>
      <c r="BU136" s="417">
        <f>VLOOKUP(WWWW[[#This Row],[Village  Name]],SiteDB6[[Site Name]:[Long]],13,FALSE)</f>
        <v>93.252868649999996</v>
      </c>
      <c r="BV136" s="417">
        <f>VLOOKUP(WWWW[[#This Row],[Village  Name]],SiteDB6[[Site Name]:[Pcode]],3,FALSE)</f>
        <v>196998</v>
      </c>
      <c r="BW136" s="425" t="str">
        <f t="shared" si="5"/>
        <v>Covered</v>
      </c>
      <c r="BX136" s="425"/>
      <c r="BY136" s="33"/>
      <c r="CA136" s="431"/>
      <c r="CB136" s="33"/>
      <c r="CC136" s="36"/>
      <c r="CE136" s="37"/>
      <c r="CN136" s="20"/>
    </row>
    <row r="137" spans="1:92" hidden="1">
      <c r="A137" s="412" t="s">
        <v>2380</v>
      </c>
      <c r="B137" s="412" t="s">
        <v>316</v>
      </c>
      <c r="C137" s="418" t="s">
        <v>316</v>
      </c>
      <c r="D137" s="418" t="s">
        <v>329</v>
      </c>
      <c r="E137" s="551" t="s">
        <v>2687</v>
      </c>
      <c r="F137" s="418" t="s">
        <v>314</v>
      </c>
      <c r="G137" s="551" t="str">
        <f>VLOOKUP(WWWW[[#This Row],[Village  Name]],SiteDB6[[Site Name]:[Location Type]],8,FALSE)</f>
        <v>Village</v>
      </c>
      <c r="H137" s="418" t="s">
        <v>2651</v>
      </c>
      <c r="I137" s="420">
        <v>180</v>
      </c>
      <c r="J137" s="420">
        <v>964</v>
      </c>
      <c r="K137" s="426">
        <v>42736</v>
      </c>
      <c r="L137" s="427">
        <v>44551</v>
      </c>
      <c r="M137" s="420"/>
      <c r="N137" s="420"/>
      <c r="O137" s="420"/>
      <c r="P137" s="420"/>
      <c r="Q137" s="420"/>
      <c r="R137" s="420"/>
      <c r="S137" s="420"/>
      <c r="T137" s="642"/>
      <c r="U137" s="420"/>
      <c r="V137" s="611" t="s">
        <v>132</v>
      </c>
      <c r="W137" s="420"/>
      <c r="X137" s="420"/>
      <c r="Y137" s="420"/>
      <c r="Z137" s="420"/>
      <c r="AA137" s="420"/>
      <c r="AB137" s="642"/>
      <c r="AC137" s="420"/>
      <c r="AD137" s="420"/>
      <c r="AE137" s="420"/>
      <c r="AF137" s="420"/>
      <c r="AG137" s="420"/>
      <c r="AH137" s="420"/>
      <c r="AI137" s="420"/>
      <c r="AJ137" s="420"/>
      <c r="AK137" s="420"/>
      <c r="AL137" s="420"/>
      <c r="AM137" s="642"/>
      <c r="AN137" s="420"/>
      <c r="AO137" s="420"/>
      <c r="AP13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7" s="419">
        <f>WWWW[[#This Row],[%Equitable and continuous access to sufficient quantity of safe drinking water]]*WWWW[[#This Row],[Total PoP ]]</f>
        <v>0</v>
      </c>
      <c r="AR13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7" s="419">
        <f>WWWW[[#This Row],[% Access to unimproved water points]]*WWWW[[#This Row],[Total PoP ]]</f>
        <v>0</v>
      </c>
      <c r="AT13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7" s="419">
        <f>WWWW[[#This Row],[HRP1]]/250</f>
        <v>0</v>
      </c>
      <c r="AW137" s="424">
        <f>1-WWWW[[#This Row],[% Equitable and continuous access to sufficient quantity of domestic water]]</f>
        <v>1</v>
      </c>
      <c r="AX137" s="419">
        <f>WWWW[[#This Row],[%equitable and continuous access to sufficient quantity of safe drinking and domestic water''s GAP]]*WWWW[[#This Row],[Total PoP ]]</f>
        <v>964</v>
      </c>
      <c r="AY137" s="421">
        <f>IF(WWWW[[#This Row],[Total required water points]]-WWWW[[#This Row],['#Water points coverage]]&lt;0,0,WWWW[[#This Row],[Total required water points]]-WWWW[[#This Row],['#Water points coverage]])</f>
        <v>4</v>
      </c>
      <c r="AZ137" s="421">
        <f>ROUND(IF(WWWW[[#This Row],[Total PoP ]]&lt;250,1,WWWW[[#This Row],[Total PoP ]]/250),0)</f>
        <v>4</v>
      </c>
      <c r="BA13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7" s="419">
        <f>WWWW[[#This Row],[% people access to functioning Latrine]]*WWWW[[#This Row],[Total PoP ]]</f>
        <v>0</v>
      </c>
      <c r="BC137" s="421">
        <f>WWWW[[#This Row],['#_of_Functioning_latrines_in_school]]*50</f>
        <v>0</v>
      </c>
      <c r="BD137" s="421">
        <f>ROUND((WWWW[[#This Row],[Total PoP ]]/6),0)</f>
        <v>161</v>
      </c>
      <c r="BE137" s="421">
        <f>IF(WWWW[[#This Row],[Total required Latrines]]-(WWWW[[#This Row],['#_of_sanitary_fly-proof_HH_latrines]])&lt;0,0,WWWW[[#This Row],[Total required Latrines]]-(WWWW[[#This Row],['#_of_sanitary_fly-proof_HH_latrines]]))</f>
        <v>161</v>
      </c>
      <c r="BF137" s="563">
        <f>1-WWWW[[#This Row],[% people access to functioning Latrine]]</f>
        <v>1</v>
      </c>
      <c r="BG13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7" s="419">
        <f>IF(WWWW[[#This Row],['#_of_functional_handwashing_facilities_at_HH_level]]*6&gt;WWWW[[#This Row],[Total PoP ]],WWWW[[#This Row],[Total PoP ]],WWWW[[#This Row],['#_of_functional_handwashing_facilities_at_HH_level]]*6)</f>
        <v>0</v>
      </c>
      <c r="BI137" s="421">
        <f>IF(WWWW[[#This Row],['# people reached by regular dedicated hygiene promotion]]&gt;WWWW[[#This Row],['# People received regular supply of hygiene items]],WWWW[[#This Row],['# people reached by regular dedicated hygiene promotion]],WWWW[[#This Row],['# People received regular supply of hygiene items]])</f>
        <v>0</v>
      </c>
      <c r="BJ137" s="424">
        <f>IF(WWWW[[#This Row],[HRP3]]/WWWW[[#This Row],[Total PoP ]]&gt;100%,100%,WWWW[[#This Row],[HRP3]]/WWWW[[#This Row],[Total PoP ]])</f>
        <v>0</v>
      </c>
      <c r="BK137" s="423">
        <f>1-WWWW[[#This Row],[Hygiene Coverage%]]</f>
        <v>1</v>
      </c>
      <c r="BL137" s="422">
        <f>WWWW[[#This Row],['# people reached by regular dedicated hygiene promotion]]/WWWW[[#This Row],[Total PoP ]]</f>
        <v>0</v>
      </c>
      <c r="BM13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7" s="421">
        <f>WWWW[[#This Row],['#_of_affected_women_and_girls_receiving_a_sufficient_quantity_of_sanitary_pads]]</f>
        <v>0</v>
      </c>
      <c r="BO137" s="420">
        <f>IF(WWWW[[#This Row],['# People with access to soap]]&gt;WWWW[[#This Row],['# People with access to Sanity Pads]],WWWW[[#This Row],['# People with access to soap]],WWWW[[#This Row],['# People with access to Sanity Pads]])</f>
        <v>0</v>
      </c>
      <c r="BP137" s="419" t="str">
        <f>IF(OR(WWWW[[#This Row],['#of students in school]]="",WWWW[[#This Row],['#of students in school]]=0),"No","Yes")</f>
        <v>No</v>
      </c>
      <c r="BQ137" s="417" t="str">
        <f>VLOOKUP(WWWW[[#This Row],[Village  Name]],SiteDB6[[Site Name]:[Location Type 1]],9,FALSE)</f>
        <v>Village</v>
      </c>
      <c r="BR137" s="417" t="str">
        <f>VLOOKUP(WWWW[[#This Row],[Village  Name]],SiteDB6[[Site Name]:[Type of Accommodation]],10,FALSE)</f>
        <v>Village</v>
      </c>
      <c r="BS137" s="417">
        <f>VLOOKUP(WWWW[[#This Row],[Village  Name]],SiteDB6[[Site Name]:[Ethnic or GCA/NGCA]],11,FALSE)</f>
        <v>0</v>
      </c>
      <c r="BT137" s="417">
        <f>VLOOKUP(WWWW[[#This Row],[Village  Name]],SiteDB6[[Site Name]:[Lat]],12,FALSE)</f>
        <v>0</v>
      </c>
      <c r="BU137" s="417">
        <f>VLOOKUP(WWWW[[#This Row],[Village  Name]],SiteDB6[[Site Name]:[Long]],13,FALSE)</f>
        <v>0</v>
      </c>
      <c r="BV137" s="417">
        <f>VLOOKUP(WWWW[[#This Row],[Village  Name]],SiteDB6[[Site Name]:[Pcode]],3,FALSE)</f>
        <v>197114</v>
      </c>
      <c r="BW137" s="425" t="str">
        <f t="shared" si="5"/>
        <v>Covered</v>
      </c>
      <c r="BX137" s="425"/>
      <c r="BY137" s="33"/>
      <c r="CA137" s="431"/>
      <c r="CB137" s="33"/>
      <c r="CC137" s="36"/>
      <c r="CE137" s="37"/>
      <c r="CN137" s="20"/>
    </row>
    <row r="138" spans="1:92" hidden="1">
      <c r="A138" s="412" t="s">
        <v>2380</v>
      </c>
      <c r="B138" s="412" t="s">
        <v>316</v>
      </c>
      <c r="C138" s="418" t="s">
        <v>316</v>
      </c>
      <c r="D138" s="418" t="s">
        <v>329</v>
      </c>
      <c r="E138" s="551" t="s">
        <v>2687</v>
      </c>
      <c r="F138" s="418" t="s">
        <v>314</v>
      </c>
      <c r="G138" s="551" t="str">
        <f>VLOOKUP(WWWW[[#This Row],[Village  Name]],SiteDB6[[Site Name]:[Location Type]],8,FALSE)</f>
        <v>Village</v>
      </c>
      <c r="H138" s="418" t="s">
        <v>2652</v>
      </c>
      <c r="I138" s="420">
        <v>130</v>
      </c>
      <c r="J138" s="420">
        <v>398</v>
      </c>
      <c r="K138" s="426">
        <v>42736</v>
      </c>
      <c r="L138" s="427">
        <v>44551</v>
      </c>
      <c r="M138" s="420"/>
      <c r="N138" s="420"/>
      <c r="O138" s="420"/>
      <c r="P138" s="420"/>
      <c r="Q138" s="420"/>
      <c r="R138" s="420"/>
      <c r="S138" s="420"/>
      <c r="T138" s="642"/>
      <c r="U138" s="420"/>
      <c r="V138" s="611" t="s">
        <v>132</v>
      </c>
      <c r="W138" s="420"/>
      <c r="X138" s="420"/>
      <c r="Y138" s="420"/>
      <c r="Z138" s="420"/>
      <c r="AA138" s="420"/>
      <c r="AB138" s="642"/>
      <c r="AC138" s="420"/>
      <c r="AD138" s="420"/>
      <c r="AE138" s="420"/>
      <c r="AF138" s="420"/>
      <c r="AG138" s="420"/>
      <c r="AH138" s="420"/>
      <c r="AI138" s="420"/>
      <c r="AJ138" s="420"/>
      <c r="AK138" s="420"/>
      <c r="AL138" s="420"/>
      <c r="AM138" s="642"/>
      <c r="AN138" s="420"/>
      <c r="AO138" s="420"/>
      <c r="AP13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8" s="419">
        <f>WWWW[[#This Row],[%Equitable and continuous access to sufficient quantity of safe drinking water]]*WWWW[[#This Row],[Total PoP ]]</f>
        <v>0</v>
      </c>
      <c r="AR13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8" s="419">
        <f>WWWW[[#This Row],[% Access to unimproved water points]]*WWWW[[#This Row],[Total PoP ]]</f>
        <v>0</v>
      </c>
      <c r="AT13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8" s="419">
        <f>WWWW[[#This Row],[HRP1]]/250</f>
        <v>0</v>
      </c>
      <c r="AW138" s="424">
        <f>1-WWWW[[#This Row],[% Equitable and continuous access to sufficient quantity of domestic water]]</f>
        <v>1</v>
      </c>
      <c r="AX138" s="419">
        <f>WWWW[[#This Row],[%equitable and continuous access to sufficient quantity of safe drinking and domestic water''s GAP]]*WWWW[[#This Row],[Total PoP ]]</f>
        <v>398</v>
      </c>
      <c r="AY138" s="421">
        <f>IF(WWWW[[#This Row],[Total required water points]]-WWWW[[#This Row],['#Water points coverage]]&lt;0,0,WWWW[[#This Row],[Total required water points]]-WWWW[[#This Row],['#Water points coverage]])</f>
        <v>2</v>
      </c>
      <c r="AZ138" s="421">
        <f>ROUND(IF(WWWW[[#This Row],[Total PoP ]]&lt;250,1,WWWW[[#This Row],[Total PoP ]]/250),0)</f>
        <v>2</v>
      </c>
      <c r="BA13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8" s="419">
        <f>WWWW[[#This Row],[% people access to functioning Latrine]]*WWWW[[#This Row],[Total PoP ]]</f>
        <v>0</v>
      </c>
      <c r="BC138" s="421">
        <f>WWWW[[#This Row],['#_of_Functioning_latrines_in_school]]*50</f>
        <v>0</v>
      </c>
      <c r="BD138" s="421">
        <f>ROUND((WWWW[[#This Row],[Total PoP ]]/6),0)</f>
        <v>66</v>
      </c>
      <c r="BE138" s="421">
        <f>IF(WWWW[[#This Row],[Total required Latrines]]-(WWWW[[#This Row],['#_of_sanitary_fly-proof_HH_latrines]])&lt;0,0,WWWW[[#This Row],[Total required Latrines]]-(WWWW[[#This Row],['#_of_sanitary_fly-proof_HH_latrines]]))</f>
        <v>66</v>
      </c>
      <c r="BF138" s="563">
        <f>1-WWWW[[#This Row],[% people access to functioning Latrine]]</f>
        <v>1</v>
      </c>
      <c r="BG13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8" s="419">
        <f>IF(WWWW[[#This Row],['#_of_functional_handwashing_facilities_at_HH_level]]*6&gt;WWWW[[#This Row],[Total PoP ]],WWWW[[#This Row],[Total PoP ]],WWWW[[#This Row],['#_of_functional_handwashing_facilities_at_HH_level]]*6)</f>
        <v>0</v>
      </c>
      <c r="BI138" s="421">
        <f>IF(WWWW[[#This Row],['# people reached by regular dedicated hygiene promotion]]&gt;WWWW[[#This Row],['# People received regular supply of hygiene items]],WWWW[[#This Row],['# people reached by regular dedicated hygiene promotion]],WWWW[[#This Row],['# People received regular supply of hygiene items]])</f>
        <v>0</v>
      </c>
      <c r="BJ138" s="424">
        <f>IF(WWWW[[#This Row],[HRP3]]/WWWW[[#This Row],[Total PoP ]]&gt;100%,100%,WWWW[[#This Row],[HRP3]]/WWWW[[#This Row],[Total PoP ]])</f>
        <v>0</v>
      </c>
      <c r="BK138" s="423">
        <f>1-WWWW[[#This Row],[Hygiene Coverage%]]</f>
        <v>1</v>
      </c>
      <c r="BL138" s="422">
        <f>WWWW[[#This Row],['# people reached by regular dedicated hygiene promotion]]/WWWW[[#This Row],[Total PoP ]]</f>
        <v>0</v>
      </c>
      <c r="BM13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8" s="421">
        <f>WWWW[[#This Row],['#_of_affected_women_and_girls_receiving_a_sufficient_quantity_of_sanitary_pads]]</f>
        <v>0</v>
      </c>
      <c r="BO138" s="420">
        <f>IF(WWWW[[#This Row],['# People with access to soap]]&gt;WWWW[[#This Row],['# People with access to Sanity Pads]],WWWW[[#This Row],['# People with access to soap]],WWWW[[#This Row],['# People with access to Sanity Pads]])</f>
        <v>0</v>
      </c>
      <c r="BP138" s="419" t="str">
        <f>IF(OR(WWWW[[#This Row],['#of students in school]]="",WWWW[[#This Row],['#of students in school]]=0),"No","Yes")</f>
        <v>No</v>
      </c>
      <c r="BQ138" s="417" t="str">
        <f>VLOOKUP(WWWW[[#This Row],[Village  Name]],SiteDB6[[Site Name]:[Location Type 1]],9,FALSE)</f>
        <v>Village</v>
      </c>
      <c r="BR138" s="417" t="str">
        <f>VLOOKUP(WWWW[[#This Row],[Village  Name]],SiteDB6[[Site Name]:[Type of Accommodation]],10,FALSE)</f>
        <v>Village</v>
      </c>
      <c r="BS138" s="417">
        <f>VLOOKUP(WWWW[[#This Row],[Village  Name]],SiteDB6[[Site Name]:[Ethnic or GCA/NGCA]],11,FALSE)</f>
        <v>0</v>
      </c>
      <c r="BT138" s="417">
        <f>VLOOKUP(WWWW[[#This Row],[Village  Name]],SiteDB6[[Site Name]:[Lat]],12,FALSE)</f>
        <v>0</v>
      </c>
      <c r="BU138" s="417">
        <f>VLOOKUP(WWWW[[#This Row],[Village  Name]],SiteDB6[[Site Name]:[Long]],13,FALSE)</f>
        <v>0</v>
      </c>
      <c r="BV138" s="417">
        <f>VLOOKUP(WWWW[[#This Row],[Village  Name]],SiteDB6[[Site Name]:[Pcode]],3,FALSE)</f>
        <v>197111</v>
      </c>
      <c r="BW138" s="425" t="str">
        <f t="shared" si="5"/>
        <v>Covered</v>
      </c>
      <c r="BX138" s="425"/>
      <c r="BY138" s="33"/>
      <c r="CA138" s="431"/>
      <c r="CB138" s="33"/>
      <c r="CC138" s="36"/>
      <c r="CE138" s="37"/>
      <c r="CN138" s="20"/>
    </row>
    <row r="139" spans="1:92" hidden="1">
      <c r="A139" s="412" t="s">
        <v>2380</v>
      </c>
      <c r="B139" s="412" t="s">
        <v>316</v>
      </c>
      <c r="C139" s="418" t="s">
        <v>316</v>
      </c>
      <c r="D139" s="418" t="s">
        <v>329</v>
      </c>
      <c r="E139" s="551" t="s">
        <v>2687</v>
      </c>
      <c r="F139" s="418" t="s">
        <v>314</v>
      </c>
      <c r="G139" s="551" t="str">
        <f>VLOOKUP(WWWW[[#This Row],[Village  Name]],SiteDB6[[Site Name]:[Location Type]],8,FALSE)</f>
        <v>Village</v>
      </c>
      <c r="H139" s="418" t="s">
        <v>2653</v>
      </c>
      <c r="I139" s="420">
        <v>191</v>
      </c>
      <c r="J139" s="420">
        <v>713</v>
      </c>
      <c r="K139" s="426">
        <v>42736</v>
      </c>
      <c r="L139" s="427">
        <v>44551</v>
      </c>
      <c r="M139" s="420"/>
      <c r="N139" s="420"/>
      <c r="O139" s="420"/>
      <c r="P139" s="420"/>
      <c r="Q139" s="420"/>
      <c r="R139" s="420"/>
      <c r="S139" s="420"/>
      <c r="T139" s="642"/>
      <c r="U139" s="420"/>
      <c r="V139" s="611" t="s">
        <v>132</v>
      </c>
      <c r="W139" s="420"/>
      <c r="X139" s="420"/>
      <c r="Y139" s="420"/>
      <c r="Z139" s="420"/>
      <c r="AA139" s="420"/>
      <c r="AB139" s="642"/>
      <c r="AC139" s="420"/>
      <c r="AD139" s="420"/>
      <c r="AE139" s="420"/>
      <c r="AF139" s="420"/>
      <c r="AG139" s="420"/>
      <c r="AH139" s="420"/>
      <c r="AI139" s="420"/>
      <c r="AJ139" s="420"/>
      <c r="AK139" s="420"/>
      <c r="AL139" s="420"/>
      <c r="AM139" s="642"/>
      <c r="AN139" s="420"/>
      <c r="AO139" s="420"/>
      <c r="AP13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39" s="419">
        <f>WWWW[[#This Row],[%Equitable and continuous access to sufficient quantity of safe drinking water]]*WWWW[[#This Row],[Total PoP ]]</f>
        <v>0</v>
      </c>
      <c r="AR13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39" s="419">
        <f>WWWW[[#This Row],[% Access to unimproved water points]]*WWWW[[#This Row],[Total PoP ]]</f>
        <v>0</v>
      </c>
      <c r="AT13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3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39" s="419">
        <f>WWWW[[#This Row],[HRP1]]/250</f>
        <v>0</v>
      </c>
      <c r="AW139" s="424">
        <f>1-WWWW[[#This Row],[% Equitable and continuous access to sufficient quantity of domestic water]]</f>
        <v>1</v>
      </c>
      <c r="AX139" s="419">
        <f>WWWW[[#This Row],[%equitable and continuous access to sufficient quantity of safe drinking and domestic water''s GAP]]*WWWW[[#This Row],[Total PoP ]]</f>
        <v>713</v>
      </c>
      <c r="AY139" s="421">
        <f>IF(WWWW[[#This Row],[Total required water points]]-WWWW[[#This Row],['#Water points coverage]]&lt;0,0,WWWW[[#This Row],[Total required water points]]-WWWW[[#This Row],['#Water points coverage]])</f>
        <v>3</v>
      </c>
      <c r="AZ139" s="421">
        <f>ROUND(IF(WWWW[[#This Row],[Total PoP ]]&lt;250,1,WWWW[[#This Row],[Total PoP ]]/250),0)</f>
        <v>3</v>
      </c>
      <c r="BA13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39" s="419">
        <f>WWWW[[#This Row],[% people access to functioning Latrine]]*WWWW[[#This Row],[Total PoP ]]</f>
        <v>0</v>
      </c>
      <c r="BC139" s="421">
        <f>WWWW[[#This Row],['#_of_Functioning_latrines_in_school]]*50</f>
        <v>0</v>
      </c>
      <c r="BD139" s="421">
        <f>ROUND((WWWW[[#This Row],[Total PoP ]]/6),0)</f>
        <v>119</v>
      </c>
      <c r="BE139" s="421">
        <f>IF(WWWW[[#This Row],[Total required Latrines]]-(WWWW[[#This Row],['#_of_sanitary_fly-proof_HH_latrines]])&lt;0,0,WWWW[[#This Row],[Total required Latrines]]-(WWWW[[#This Row],['#_of_sanitary_fly-proof_HH_latrines]]))</f>
        <v>119</v>
      </c>
      <c r="BF139" s="563">
        <f>1-WWWW[[#This Row],[% people access to functioning Latrine]]</f>
        <v>1</v>
      </c>
      <c r="BG13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39" s="419">
        <f>IF(WWWW[[#This Row],['#_of_functional_handwashing_facilities_at_HH_level]]*6&gt;WWWW[[#This Row],[Total PoP ]],WWWW[[#This Row],[Total PoP ]],WWWW[[#This Row],['#_of_functional_handwashing_facilities_at_HH_level]]*6)</f>
        <v>0</v>
      </c>
      <c r="BI139" s="421">
        <f>IF(WWWW[[#This Row],['# people reached by regular dedicated hygiene promotion]]&gt;WWWW[[#This Row],['# People received regular supply of hygiene items]],WWWW[[#This Row],['# people reached by regular dedicated hygiene promotion]],WWWW[[#This Row],['# People received regular supply of hygiene items]])</f>
        <v>0</v>
      </c>
      <c r="BJ139" s="424">
        <f>IF(WWWW[[#This Row],[HRP3]]/WWWW[[#This Row],[Total PoP ]]&gt;100%,100%,WWWW[[#This Row],[HRP3]]/WWWW[[#This Row],[Total PoP ]])</f>
        <v>0</v>
      </c>
      <c r="BK139" s="423">
        <f>1-WWWW[[#This Row],[Hygiene Coverage%]]</f>
        <v>1</v>
      </c>
      <c r="BL139" s="422">
        <f>WWWW[[#This Row],['# people reached by regular dedicated hygiene promotion]]/WWWW[[#This Row],[Total PoP ]]</f>
        <v>0</v>
      </c>
      <c r="BM13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39" s="421">
        <f>WWWW[[#This Row],['#_of_affected_women_and_girls_receiving_a_sufficient_quantity_of_sanitary_pads]]</f>
        <v>0</v>
      </c>
      <c r="BO139" s="420">
        <f>IF(WWWW[[#This Row],['# People with access to soap]]&gt;WWWW[[#This Row],['# People with access to Sanity Pads]],WWWW[[#This Row],['# People with access to soap]],WWWW[[#This Row],['# People with access to Sanity Pads]])</f>
        <v>0</v>
      </c>
      <c r="BP139" s="419" t="str">
        <f>IF(OR(WWWW[[#This Row],['#of students in school]]="",WWWW[[#This Row],['#of students in school]]=0),"No","Yes")</f>
        <v>No</v>
      </c>
      <c r="BQ139" s="417" t="str">
        <f>VLOOKUP(WWWW[[#This Row],[Village  Name]],SiteDB6[[Site Name]:[Location Type 1]],9,FALSE)</f>
        <v>Village</v>
      </c>
      <c r="BR139" s="417" t="str">
        <f>VLOOKUP(WWWW[[#This Row],[Village  Name]],SiteDB6[[Site Name]:[Type of Accommodation]],10,FALSE)</f>
        <v>Village</v>
      </c>
      <c r="BS139" s="417">
        <f>VLOOKUP(WWWW[[#This Row],[Village  Name]],SiteDB6[[Site Name]:[Ethnic or GCA/NGCA]],11,FALSE)</f>
        <v>0</v>
      </c>
      <c r="BT139" s="417">
        <f>VLOOKUP(WWWW[[#This Row],[Village  Name]],SiteDB6[[Site Name]:[Lat]],12,FALSE)</f>
        <v>0</v>
      </c>
      <c r="BU139" s="417">
        <f>VLOOKUP(WWWW[[#This Row],[Village  Name]],SiteDB6[[Site Name]:[Long]],13,FALSE)</f>
        <v>0</v>
      </c>
      <c r="BV139" s="417">
        <f>VLOOKUP(WWWW[[#This Row],[Village  Name]],SiteDB6[[Site Name]:[Pcode]],3,FALSE)</f>
        <v>197112</v>
      </c>
      <c r="BW139" s="425" t="str">
        <f t="shared" si="5"/>
        <v>Covered</v>
      </c>
      <c r="BX139" s="425"/>
      <c r="BY139" s="33"/>
      <c r="CA139" s="431"/>
      <c r="CB139" s="33"/>
      <c r="CC139" s="36"/>
      <c r="CE139" s="37"/>
      <c r="CN139" s="20"/>
    </row>
    <row r="140" spans="1:92" hidden="1">
      <c r="A140" s="412" t="s">
        <v>2380</v>
      </c>
      <c r="B140" s="412" t="s">
        <v>316</v>
      </c>
      <c r="C140" s="418" t="s">
        <v>316</v>
      </c>
      <c r="D140" s="418" t="s">
        <v>329</v>
      </c>
      <c r="E140" s="551" t="s">
        <v>2687</v>
      </c>
      <c r="F140" s="418" t="s">
        <v>314</v>
      </c>
      <c r="G140" s="551" t="str">
        <f>VLOOKUP(WWWW[[#This Row],[Village  Name]],SiteDB6[[Site Name]:[Location Type]],8,FALSE)</f>
        <v>Village</v>
      </c>
      <c r="H140" s="418" t="s">
        <v>2654</v>
      </c>
      <c r="I140" s="420">
        <v>27</v>
      </c>
      <c r="J140" s="420">
        <v>53</v>
      </c>
      <c r="K140" s="426">
        <v>42736</v>
      </c>
      <c r="L140" s="427">
        <v>44551</v>
      </c>
      <c r="M140" s="420"/>
      <c r="N140" s="420"/>
      <c r="O140" s="420"/>
      <c r="P140" s="420"/>
      <c r="Q140" s="420"/>
      <c r="R140" s="420"/>
      <c r="S140" s="420"/>
      <c r="T140" s="642"/>
      <c r="U140" s="420"/>
      <c r="V140" s="611" t="s">
        <v>132</v>
      </c>
      <c r="W140" s="420"/>
      <c r="X140" s="420"/>
      <c r="Y140" s="420"/>
      <c r="Z140" s="420"/>
      <c r="AA140" s="420"/>
      <c r="AB140" s="642"/>
      <c r="AC140" s="420"/>
      <c r="AD140" s="420"/>
      <c r="AE140" s="420"/>
      <c r="AF140" s="420"/>
      <c r="AG140" s="420"/>
      <c r="AH140" s="420"/>
      <c r="AI140" s="420"/>
      <c r="AJ140" s="420"/>
      <c r="AK140" s="420"/>
      <c r="AL140" s="420"/>
      <c r="AM140" s="642"/>
      <c r="AN140" s="420"/>
      <c r="AO140" s="420"/>
      <c r="AP14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40" s="419">
        <f>WWWW[[#This Row],[%Equitable and continuous access to sufficient quantity of safe drinking water]]*WWWW[[#This Row],[Total PoP ]]</f>
        <v>0</v>
      </c>
      <c r="AR14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0" s="419">
        <f>WWWW[[#This Row],[% Access to unimproved water points]]*WWWW[[#This Row],[Total PoP ]]</f>
        <v>0</v>
      </c>
      <c r="AT14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4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40" s="419">
        <f>WWWW[[#This Row],[HRP1]]/250</f>
        <v>0</v>
      </c>
      <c r="AW140" s="424">
        <f>1-WWWW[[#This Row],[% Equitable and continuous access to sufficient quantity of domestic water]]</f>
        <v>1</v>
      </c>
      <c r="AX140" s="419">
        <f>WWWW[[#This Row],[%equitable and continuous access to sufficient quantity of safe drinking and domestic water''s GAP]]*WWWW[[#This Row],[Total PoP ]]</f>
        <v>53</v>
      </c>
      <c r="AY140" s="421">
        <f>IF(WWWW[[#This Row],[Total required water points]]-WWWW[[#This Row],['#Water points coverage]]&lt;0,0,WWWW[[#This Row],[Total required water points]]-WWWW[[#This Row],['#Water points coverage]])</f>
        <v>1</v>
      </c>
      <c r="AZ140" s="421">
        <f>ROUND(IF(WWWW[[#This Row],[Total PoP ]]&lt;250,1,WWWW[[#This Row],[Total PoP ]]/250),0)</f>
        <v>1</v>
      </c>
      <c r="BA14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0" s="419">
        <f>WWWW[[#This Row],[% people access to functioning Latrine]]*WWWW[[#This Row],[Total PoP ]]</f>
        <v>0</v>
      </c>
      <c r="BC140" s="421">
        <f>WWWW[[#This Row],['#_of_Functioning_latrines_in_school]]*50</f>
        <v>0</v>
      </c>
      <c r="BD140" s="421">
        <f>ROUND((WWWW[[#This Row],[Total PoP ]]/6),0)</f>
        <v>9</v>
      </c>
      <c r="BE140" s="421">
        <f>IF(WWWW[[#This Row],[Total required Latrines]]-(WWWW[[#This Row],['#_of_sanitary_fly-proof_HH_latrines]])&lt;0,0,WWWW[[#This Row],[Total required Latrines]]-(WWWW[[#This Row],['#_of_sanitary_fly-proof_HH_latrines]]))</f>
        <v>9</v>
      </c>
      <c r="BF140" s="563">
        <f>1-WWWW[[#This Row],[% people access to functioning Latrine]]</f>
        <v>1</v>
      </c>
      <c r="BG14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40" s="419">
        <f>IF(WWWW[[#This Row],['#_of_functional_handwashing_facilities_at_HH_level]]*6&gt;WWWW[[#This Row],[Total PoP ]],WWWW[[#This Row],[Total PoP ]],WWWW[[#This Row],['#_of_functional_handwashing_facilities_at_HH_level]]*6)</f>
        <v>0</v>
      </c>
      <c r="BI140" s="421">
        <f>IF(WWWW[[#This Row],['# people reached by regular dedicated hygiene promotion]]&gt;WWWW[[#This Row],['# People received regular supply of hygiene items]],WWWW[[#This Row],['# people reached by regular dedicated hygiene promotion]],WWWW[[#This Row],['# People received regular supply of hygiene items]])</f>
        <v>0</v>
      </c>
      <c r="BJ140" s="424">
        <f>IF(WWWW[[#This Row],[HRP3]]/WWWW[[#This Row],[Total PoP ]]&gt;100%,100%,WWWW[[#This Row],[HRP3]]/WWWW[[#This Row],[Total PoP ]])</f>
        <v>0</v>
      </c>
      <c r="BK140" s="423">
        <f>1-WWWW[[#This Row],[Hygiene Coverage%]]</f>
        <v>1</v>
      </c>
      <c r="BL140" s="422">
        <f>WWWW[[#This Row],['# people reached by regular dedicated hygiene promotion]]/WWWW[[#This Row],[Total PoP ]]</f>
        <v>0</v>
      </c>
      <c r="BM14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0" s="421">
        <f>WWWW[[#This Row],['#_of_affected_women_and_girls_receiving_a_sufficient_quantity_of_sanitary_pads]]</f>
        <v>0</v>
      </c>
      <c r="BO140" s="420">
        <f>IF(WWWW[[#This Row],['# People with access to soap]]&gt;WWWW[[#This Row],['# People with access to Sanity Pads]],WWWW[[#This Row],['# People with access to soap]],WWWW[[#This Row],['# People with access to Sanity Pads]])</f>
        <v>0</v>
      </c>
      <c r="BP140" s="419" t="str">
        <f>IF(OR(WWWW[[#This Row],['#of students in school]]="",WWWW[[#This Row],['#of students in school]]=0),"No","Yes")</f>
        <v>No</v>
      </c>
      <c r="BQ140" s="417" t="str">
        <f>VLOOKUP(WWWW[[#This Row],[Village  Name]],SiteDB6[[Site Name]:[Location Type 1]],9,FALSE)</f>
        <v>Village</v>
      </c>
      <c r="BR140" s="417" t="str">
        <f>VLOOKUP(WWWW[[#This Row],[Village  Name]],SiteDB6[[Site Name]:[Type of Accommodation]],10,FALSE)</f>
        <v>Village</v>
      </c>
      <c r="BS140" s="417">
        <f>VLOOKUP(WWWW[[#This Row],[Village  Name]],SiteDB6[[Site Name]:[Ethnic or GCA/NGCA]],11,FALSE)</f>
        <v>0</v>
      </c>
      <c r="BT140" s="417">
        <f>VLOOKUP(WWWW[[#This Row],[Village  Name]],SiteDB6[[Site Name]:[Lat]],12,FALSE)</f>
        <v>0</v>
      </c>
      <c r="BU140" s="417">
        <f>VLOOKUP(WWWW[[#This Row],[Village  Name]],SiteDB6[[Site Name]:[Long]],13,FALSE)</f>
        <v>0</v>
      </c>
      <c r="BV140" s="417">
        <f>VLOOKUP(WWWW[[#This Row],[Village  Name]],SiteDB6[[Site Name]:[Pcode]],3,FALSE)</f>
        <v>220653</v>
      </c>
      <c r="BW140" s="425" t="str">
        <f t="shared" si="5"/>
        <v>Covered</v>
      </c>
      <c r="BX140" s="425"/>
      <c r="BY140" s="33"/>
      <c r="CA140" s="431"/>
      <c r="CB140" s="33"/>
      <c r="CC140" s="36"/>
      <c r="CE140" s="37"/>
      <c r="CN140" s="20"/>
    </row>
    <row r="141" spans="1:92" hidden="1">
      <c r="A141" s="412" t="s">
        <v>2380</v>
      </c>
      <c r="B141" s="412" t="s">
        <v>316</v>
      </c>
      <c r="C141" s="418" t="s">
        <v>316</v>
      </c>
      <c r="D141" s="418" t="s">
        <v>329</v>
      </c>
      <c r="E141" s="551" t="s">
        <v>2687</v>
      </c>
      <c r="F141" s="418" t="s">
        <v>314</v>
      </c>
      <c r="G141" s="551" t="str">
        <f>VLOOKUP(WWWW[[#This Row],[Village  Name]],SiteDB6[[Site Name]:[Location Type]],8,FALSE)</f>
        <v>Village</v>
      </c>
      <c r="H141" s="418" t="s">
        <v>660</v>
      </c>
      <c r="I141" s="420">
        <v>63</v>
      </c>
      <c r="J141" s="420">
        <v>249</v>
      </c>
      <c r="K141" s="426">
        <v>42736</v>
      </c>
      <c r="L141" s="427">
        <v>44551</v>
      </c>
      <c r="M141" s="420"/>
      <c r="N141" s="420"/>
      <c r="O141" s="420"/>
      <c r="P141" s="420"/>
      <c r="Q141" s="420"/>
      <c r="R141" s="420"/>
      <c r="S141" s="420"/>
      <c r="T141" s="642"/>
      <c r="U141" s="420"/>
      <c r="V141" s="611" t="s">
        <v>132</v>
      </c>
      <c r="W141" s="420"/>
      <c r="X141" s="420"/>
      <c r="Y141" s="420"/>
      <c r="Z141" s="420"/>
      <c r="AA141" s="420"/>
      <c r="AB141" s="642"/>
      <c r="AC141" s="420"/>
      <c r="AD141" s="420"/>
      <c r="AE141" s="420"/>
      <c r="AF141" s="420"/>
      <c r="AG141" s="420"/>
      <c r="AH141" s="420"/>
      <c r="AI141" s="420"/>
      <c r="AJ141" s="420"/>
      <c r="AK141" s="420"/>
      <c r="AL141" s="420"/>
      <c r="AM141" s="642"/>
      <c r="AN141" s="420"/>
      <c r="AO141" s="420"/>
      <c r="AP14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41" s="419">
        <f>WWWW[[#This Row],[%Equitable and continuous access to sufficient quantity of safe drinking water]]*WWWW[[#This Row],[Total PoP ]]</f>
        <v>0</v>
      </c>
      <c r="AR14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1" s="419">
        <f>WWWW[[#This Row],[% Access to unimproved water points]]*WWWW[[#This Row],[Total PoP ]]</f>
        <v>0</v>
      </c>
      <c r="AT14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4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41" s="419">
        <f>WWWW[[#This Row],[HRP1]]/250</f>
        <v>0</v>
      </c>
      <c r="AW141" s="424">
        <f>1-WWWW[[#This Row],[% Equitable and continuous access to sufficient quantity of domestic water]]</f>
        <v>1</v>
      </c>
      <c r="AX141" s="419">
        <f>WWWW[[#This Row],[%equitable and continuous access to sufficient quantity of safe drinking and domestic water''s GAP]]*WWWW[[#This Row],[Total PoP ]]</f>
        <v>249</v>
      </c>
      <c r="AY141" s="421">
        <f>IF(WWWW[[#This Row],[Total required water points]]-WWWW[[#This Row],['#Water points coverage]]&lt;0,0,WWWW[[#This Row],[Total required water points]]-WWWW[[#This Row],['#Water points coverage]])</f>
        <v>1</v>
      </c>
      <c r="AZ141" s="421">
        <f>ROUND(IF(WWWW[[#This Row],[Total PoP ]]&lt;250,1,WWWW[[#This Row],[Total PoP ]]/250),0)</f>
        <v>1</v>
      </c>
      <c r="BA14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1" s="419">
        <f>WWWW[[#This Row],[% people access to functioning Latrine]]*WWWW[[#This Row],[Total PoP ]]</f>
        <v>0</v>
      </c>
      <c r="BC141" s="421">
        <f>WWWW[[#This Row],['#_of_Functioning_latrines_in_school]]*50</f>
        <v>0</v>
      </c>
      <c r="BD141" s="421">
        <f>ROUND((WWWW[[#This Row],[Total PoP ]]/6),0)</f>
        <v>42</v>
      </c>
      <c r="BE141" s="421">
        <f>IF(WWWW[[#This Row],[Total required Latrines]]-(WWWW[[#This Row],['#_of_sanitary_fly-proof_HH_latrines]])&lt;0,0,WWWW[[#This Row],[Total required Latrines]]-(WWWW[[#This Row],['#_of_sanitary_fly-proof_HH_latrines]]))</f>
        <v>42</v>
      </c>
      <c r="BF141" s="563">
        <f>1-WWWW[[#This Row],[% people access to functioning Latrine]]</f>
        <v>1</v>
      </c>
      <c r="BG14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41" s="419">
        <f>IF(WWWW[[#This Row],['#_of_functional_handwashing_facilities_at_HH_level]]*6&gt;WWWW[[#This Row],[Total PoP ]],WWWW[[#This Row],[Total PoP ]],WWWW[[#This Row],['#_of_functional_handwashing_facilities_at_HH_level]]*6)</f>
        <v>0</v>
      </c>
      <c r="BI141" s="421">
        <f>IF(WWWW[[#This Row],['# people reached by regular dedicated hygiene promotion]]&gt;WWWW[[#This Row],['# People received regular supply of hygiene items]],WWWW[[#This Row],['# people reached by regular dedicated hygiene promotion]],WWWW[[#This Row],['# People received regular supply of hygiene items]])</f>
        <v>0</v>
      </c>
      <c r="BJ141" s="424">
        <f>IF(WWWW[[#This Row],[HRP3]]/WWWW[[#This Row],[Total PoP ]]&gt;100%,100%,WWWW[[#This Row],[HRP3]]/WWWW[[#This Row],[Total PoP ]])</f>
        <v>0</v>
      </c>
      <c r="BK141" s="423">
        <f>1-WWWW[[#This Row],[Hygiene Coverage%]]</f>
        <v>1</v>
      </c>
      <c r="BL141" s="422">
        <f>WWWW[[#This Row],['# people reached by regular dedicated hygiene promotion]]/WWWW[[#This Row],[Total PoP ]]</f>
        <v>0</v>
      </c>
      <c r="BM14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1" s="421">
        <f>WWWW[[#This Row],['#_of_affected_women_and_girls_receiving_a_sufficient_quantity_of_sanitary_pads]]</f>
        <v>0</v>
      </c>
      <c r="BO141" s="420">
        <f>IF(WWWW[[#This Row],['# People with access to soap]]&gt;WWWW[[#This Row],['# People with access to Sanity Pads]],WWWW[[#This Row],['# People with access to soap]],WWWW[[#This Row],['# People with access to Sanity Pads]])</f>
        <v>0</v>
      </c>
      <c r="BP141" s="419" t="str">
        <f>IF(OR(WWWW[[#This Row],['#of students in school]]="",WWWW[[#This Row],['#of students in school]]=0),"No","Yes")</f>
        <v>No</v>
      </c>
      <c r="BQ141" s="417" t="str">
        <f>VLOOKUP(WWWW[[#This Row],[Village  Name]],SiteDB6[[Site Name]:[Location Type 1]],9,FALSE)</f>
        <v>Village</v>
      </c>
      <c r="BR141" s="417" t="str">
        <f>VLOOKUP(WWWW[[#This Row],[Village  Name]],SiteDB6[[Site Name]:[Type of Accommodation]],10,FALSE)</f>
        <v>Village</v>
      </c>
      <c r="BS141" s="417">
        <f>VLOOKUP(WWWW[[#This Row],[Village  Name]],SiteDB6[[Site Name]:[Ethnic or GCA/NGCA]],11,FALSE)</f>
        <v>0</v>
      </c>
      <c r="BT141" s="417">
        <f>VLOOKUP(WWWW[[#This Row],[Village  Name]],SiteDB6[[Site Name]:[Lat]],12,FALSE)</f>
        <v>0</v>
      </c>
      <c r="BU141" s="417">
        <f>VLOOKUP(WWWW[[#This Row],[Village  Name]],SiteDB6[[Site Name]:[Long]],13,FALSE)</f>
        <v>0</v>
      </c>
      <c r="BV141" s="417">
        <f>VLOOKUP(WWWW[[#This Row],[Village  Name]],SiteDB6[[Site Name]:[Pcode]],3,FALSE)</f>
        <v>197110</v>
      </c>
      <c r="BW141" s="425" t="str">
        <f t="shared" si="5"/>
        <v>Covered</v>
      </c>
      <c r="BX141" s="425"/>
      <c r="BY141" s="33"/>
      <c r="CA141" s="431"/>
      <c r="CB141" s="33"/>
      <c r="CC141" s="36"/>
      <c r="CE141" s="37"/>
      <c r="CN141" s="20"/>
    </row>
    <row r="142" spans="1:92" hidden="1">
      <c r="A142" s="412" t="s">
        <v>2380</v>
      </c>
      <c r="B142" s="412" t="s">
        <v>2308</v>
      </c>
      <c r="C142" s="418" t="s">
        <v>2308</v>
      </c>
      <c r="D142" s="418" t="s">
        <v>40</v>
      </c>
      <c r="E142" s="551" t="s">
        <v>2687</v>
      </c>
      <c r="F142" s="418" t="s">
        <v>297</v>
      </c>
      <c r="G142" s="551" t="str">
        <f>VLOOKUP(WWWW[[#This Row],[Village  Name]],SiteDB6[[Site Name]:[Location Type]],8,FALSE)</f>
        <v>Village</v>
      </c>
      <c r="H142" s="418" t="s">
        <v>420</v>
      </c>
      <c r="I142" s="420">
        <v>249</v>
      </c>
      <c r="J142" s="420">
        <v>1362</v>
      </c>
      <c r="K142" s="426"/>
      <c r="L142" s="427">
        <v>44104</v>
      </c>
      <c r="M142" s="420"/>
      <c r="N142" s="420" t="s">
        <v>2657</v>
      </c>
      <c r="O142" s="420"/>
      <c r="P142" s="420">
        <v>28</v>
      </c>
      <c r="Q142" s="420"/>
      <c r="R142" s="420"/>
      <c r="S142" s="420"/>
      <c r="T142" s="642"/>
      <c r="U142" s="420"/>
      <c r="V142" s="611" t="s">
        <v>132</v>
      </c>
      <c r="W142" s="420"/>
      <c r="X142" s="420"/>
      <c r="Y142" s="420"/>
      <c r="Z142" s="420"/>
      <c r="AA142" s="420"/>
      <c r="AB142" s="642"/>
      <c r="AC142" s="420"/>
      <c r="AD142" s="420"/>
      <c r="AE142" s="420"/>
      <c r="AF142" s="420"/>
      <c r="AG142" s="420"/>
      <c r="AH142" s="420"/>
      <c r="AI142" s="420"/>
      <c r="AJ142" s="420"/>
      <c r="AK142" s="420"/>
      <c r="AL142" s="420"/>
      <c r="AM142" s="642"/>
      <c r="AN142" s="420"/>
      <c r="AO142" s="420"/>
      <c r="AP14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42" s="419">
        <f>WWWW[[#This Row],[%Equitable and continuous access to sufficient quantity of safe drinking water]]*WWWW[[#This Row],[Total PoP ]]</f>
        <v>1362</v>
      </c>
      <c r="AR14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2" s="419">
        <f>WWWW[[#This Row],[% Access to unimproved water points]]*WWWW[[#This Row],[Total PoP ]]</f>
        <v>0</v>
      </c>
      <c r="AT14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4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1362</v>
      </c>
      <c r="AV142" s="419">
        <f>WWWW[[#This Row],[HRP1]]/250</f>
        <v>5.4480000000000004</v>
      </c>
      <c r="AW142" s="424">
        <f>1-WWWW[[#This Row],[% Equitable and continuous access to sufficient quantity of domestic water]]</f>
        <v>0</v>
      </c>
      <c r="AX142" s="419">
        <f>WWWW[[#This Row],[%equitable and continuous access to sufficient quantity of safe drinking and domestic water''s GAP]]*WWWW[[#This Row],[Total PoP ]]</f>
        <v>0</v>
      </c>
      <c r="AY142" s="421">
        <f>IF(WWWW[[#This Row],[Total required water points]]-WWWW[[#This Row],['#Water points coverage]]&lt;0,0,WWWW[[#This Row],[Total required water points]]-WWWW[[#This Row],['#Water points coverage]])</f>
        <v>0</v>
      </c>
      <c r="AZ142" s="421">
        <f>ROUND(IF(WWWW[[#This Row],[Total PoP ]]&lt;250,1,WWWW[[#This Row],[Total PoP ]]/250),0)</f>
        <v>5</v>
      </c>
      <c r="BA14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2" s="419">
        <f>WWWW[[#This Row],[% people access to functioning Latrine]]*WWWW[[#This Row],[Total PoP ]]</f>
        <v>0</v>
      </c>
      <c r="BC142" s="421">
        <f>WWWW[[#This Row],['#_of_Functioning_latrines_in_school]]*50</f>
        <v>0</v>
      </c>
      <c r="BD142" s="421">
        <f>ROUND((WWWW[[#This Row],[Total PoP ]]/6),0)</f>
        <v>227</v>
      </c>
      <c r="BE142" s="421">
        <f>IF(WWWW[[#This Row],[Total required Latrines]]-(WWWW[[#This Row],['#_of_sanitary_fly-proof_HH_latrines]])&lt;0,0,WWWW[[#This Row],[Total required Latrines]]-(WWWW[[#This Row],['#_of_sanitary_fly-proof_HH_latrines]]))</f>
        <v>227</v>
      </c>
      <c r="BF142" s="563">
        <f>1-WWWW[[#This Row],[% people access to functioning Latrine]]</f>
        <v>1</v>
      </c>
      <c r="BG14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42" s="419">
        <f>IF(WWWW[[#This Row],['#_of_functional_handwashing_facilities_at_HH_level]]*6&gt;WWWW[[#This Row],[Total PoP ]],WWWW[[#This Row],[Total PoP ]],WWWW[[#This Row],['#_of_functional_handwashing_facilities_at_HH_level]]*6)</f>
        <v>0</v>
      </c>
      <c r="BI142" s="421">
        <f>IF(WWWW[[#This Row],['# people reached by regular dedicated hygiene promotion]]&gt;WWWW[[#This Row],['# People received regular supply of hygiene items]],WWWW[[#This Row],['# people reached by regular dedicated hygiene promotion]],WWWW[[#This Row],['# People received regular supply of hygiene items]])</f>
        <v>0</v>
      </c>
      <c r="BJ142" s="424">
        <f>IF(WWWW[[#This Row],[HRP3]]/WWWW[[#This Row],[Total PoP ]]&gt;100%,100%,WWWW[[#This Row],[HRP3]]/WWWW[[#This Row],[Total PoP ]])</f>
        <v>0</v>
      </c>
      <c r="BK142" s="423">
        <f>1-WWWW[[#This Row],[Hygiene Coverage%]]</f>
        <v>1</v>
      </c>
      <c r="BL142" s="422">
        <f>WWWW[[#This Row],['# people reached by regular dedicated hygiene promotion]]/WWWW[[#This Row],[Total PoP ]]</f>
        <v>0</v>
      </c>
      <c r="BM14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2" s="421">
        <f>WWWW[[#This Row],['#_of_affected_women_and_girls_receiving_a_sufficient_quantity_of_sanitary_pads]]</f>
        <v>0</v>
      </c>
      <c r="BO142" s="420">
        <f>IF(WWWW[[#This Row],['# People with access to soap]]&gt;WWWW[[#This Row],['# People with access to Sanity Pads]],WWWW[[#This Row],['# People with access to soap]],WWWW[[#This Row],['# People with access to Sanity Pads]])</f>
        <v>0</v>
      </c>
      <c r="BP142" s="419" t="str">
        <f>IF(OR(WWWW[[#This Row],['#of students in school]]="",WWWW[[#This Row],['#of students in school]]=0),"No","Yes")</f>
        <v>No</v>
      </c>
      <c r="BQ142" s="417" t="str">
        <f>VLOOKUP(WWWW[[#This Row],[Village  Name]],SiteDB6[[Site Name]:[Location Type 1]],9,FALSE)</f>
        <v>Village</v>
      </c>
      <c r="BR142" s="417" t="str">
        <f>VLOOKUP(WWWW[[#This Row],[Village  Name]],SiteDB6[[Site Name]:[Type of Accommodation]],10,FALSE)</f>
        <v>Relocated</v>
      </c>
      <c r="BS142" s="417" t="str">
        <f>VLOOKUP(WWWW[[#This Row],[Village  Name]],SiteDB6[[Site Name]:[Ethnic or GCA/NGCA]],11,FALSE)</f>
        <v>Rakhine</v>
      </c>
      <c r="BT142" s="417">
        <f>VLOOKUP(WWWW[[#This Row],[Village  Name]],SiteDB6[[Site Name]:[Lat]],12,FALSE)</f>
        <v>20.151471999999998</v>
      </c>
      <c r="BU142" s="417">
        <f>VLOOKUP(WWWW[[#This Row],[Village  Name]],SiteDB6[[Site Name]:[Long]],13,FALSE)</f>
        <v>92.887277999999995</v>
      </c>
      <c r="BV142" s="417" t="str">
        <f>VLOOKUP(WWWW[[#This Row],[Village  Name]],SiteDB6[[Site Name]:[Pcode]],3,FALSE)</f>
        <v>MMR012CMP111</v>
      </c>
      <c r="BW142" s="425" t="str">
        <f t="shared" si="5"/>
        <v>Covered</v>
      </c>
      <c r="BX142" s="425"/>
      <c r="BY142" s="33"/>
      <c r="CA142" s="431"/>
      <c r="CB142" s="33"/>
      <c r="CC142" s="36"/>
      <c r="CE142" s="37"/>
      <c r="CN142" s="20"/>
    </row>
    <row r="143" spans="1:92" hidden="1">
      <c r="A143" s="412" t="s">
        <v>2380</v>
      </c>
      <c r="B143" s="412" t="s">
        <v>2307</v>
      </c>
      <c r="C143" s="418" t="s">
        <v>2307</v>
      </c>
      <c r="D143" s="418" t="s">
        <v>40</v>
      </c>
      <c r="E143" s="551" t="s">
        <v>2687</v>
      </c>
      <c r="F143" s="418" t="s">
        <v>297</v>
      </c>
      <c r="G143" s="551" t="str">
        <f>VLOOKUP(WWWW[[#This Row],[Village  Name]],SiteDB6[[Site Name]:[Location Type]],8,FALSE)</f>
        <v>Village</v>
      </c>
      <c r="H143" s="418" t="s">
        <v>421</v>
      </c>
      <c r="I143" s="420">
        <v>420</v>
      </c>
      <c r="J143" s="420">
        <v>2179</v>
      </c>
      <c r="K143" s="426"/>
      <c r="L143" s="427">
        <v>44104</v>
      </c>
      <c r="M143" s="420"/>
      <c r="N143" s="420" t="s">
        <v>2657</v>
      </c>
      <c r="O143" s="420"/>
      <c r="P143" s="420">
        <v>0</v>
      </c>
      <c r="Q143" s="420"/>
      <c r="R143" s="420"/>
      <c r="S143" s="420"/>
      <c r="T143" s="642"/>
      <c r="U143" s="420"/>
      <c r="V143" s="611" t="s">
        <v>132</v>
      </c>
      <c r="W143" s="420"/>
      <c r="X143" s="420"/>
      <c r="Y143" s="420"/>
      <c r="Z143" s="420"/>
      <c r="AA143" s="420"/>
      <c r="AB143" s="642"/>
      <c r="AC143" s="420"/>
      <c r="AD143" s="420"/>
      <c r="AE143" s="420"/>
      <c r="AF143" s="420"/>
      <c r="AG143" s="420"/>
      <c r="AH143" s="420"/>
      <c r="AI143" s="420"/>
      <c r="AJ143" s="420"/>
      <c r="AK143" s="420"/>
      <c r="AL143" s="420"/>
      <c r="AM143" s="642"/>
      <c r="AN143" s="420"/>
      <c r="AO143" s="420"/>
      <c r="AP14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43" s="419">
        <f>WWWW[[#This Row],[%Equitable and continuous access to sufficient quantity of safe drinking water]]*WWWW[[#This Row],[Total PoP ]]</f>
        <v>0</v>
      </c>
      <c r="AR14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3" s="419">
        <f>WWWW[[#This Row],[% Access to unimproved water points]]*WWWW[[#This Row],[Total PoP ]]</f>
        <v>0</v>
      </c>
      <c r="AT14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4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43" s="419">
        <f>WWWW[[#This Row],[HRP1]]/250</f>
        <v>0</v>
      </c>
      <c r="AW143" s="424">
        <f>1-WWWW[[#This Row],[% Equitable and continuous access to sufficient quantity of domestic water]]</f>
        <v>1</v>
      </c>
      <c r="AX143" s="419">
        <f>WWWW[[#This Row],[%equitable and continuous access to sufficient quantity of safe drinking and domestic water''s GAP]]*WWWW[[#This Row],[Total PoP ]]</f>
        <v>2179</v>
      </c>
      <c r="AY143" s="421">
        <f>IF(WWWW[[#This Row],[Total required water points]]-WWWW[[#This Row],['#Water points coverage]]&lt;0,0,WWWW[[#This Row],[Total required water points]]-WWWW[[#This Row],['#Water points coverage]])</f>
        <v>9</v>
      </c>
      <c r="AZ143" s="421">
        <f>ROUND(IF(WWWW[[#This Row],[Total PoP ]]&lt;250,1,WWWW[[#This Row],[Total PoP ]]/250),0)</f>
        <v>9</v>
      </c>
      <c r="BA14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3" s="419">
        <f>WWWW[[#This Row],[% people access to functioning Latrine]]*WWWW[[#This Row],[Total PoP ]]</f>
        <v>0</v>
      </c>
      <c r="BC143" s="421">
        <f>WWWW[[#This Row],['#_of_Functioning_latrines_in_school]]*50</f>
        <v>0</v>
      </c>
      <c r="BD143" s="421">
        <f>ROUND((WWWW[[#This Row],[Total PoP ]]/6),0)</f>
        <v>363</v>
      </c>
      <c r="BE143" s="421">
        <f>IF(WWWW[[#This Row],[Total required Latrines]]-(WWWW[[#This Row],['#_of_sanitary_fly-proof_HH_latrines]])&lt;0,0,WWWW[[#This Row],[Total required Latrines]]-(WWWW[[#This Row],['#_of_sanitary_fly-proof_HH_latrines]]))</f>
        <v>363</v>
      </c>
      <c r="BF143" s="563">
        <f>1-WWWW[[#This Row],[% people access to functioning Latrine]]</f>
        <v>1</v>
      </c>
      <c r="BG14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43" s="419">
        <f>IF(WWWW[[#This Row],['#_of_functional_handwashing_facilities_at_HH_level]]*6&gt;WWWW[[#This Row],[Total PoP ]],WWWW[[#This Row],[Total PoP ]],WWWW[[#This Row],['#_of_functional_handwashing_facilities_at_HH_level]]*6)</f>
        <v>0</v>
      </c>
      <c r="BI143" s="421">
        <f>IF(WWWW[[#This Row],['# people reached by regular dedicated hygiene promotion]]&gt;WWWW[[#This Row],['# People received regular supply of hygiene items]],WWWW[[#This Row],['# people reached by regular dedicated hygiene promotion]],WWWW[[#This Row],['# People received regular supply of hygiene items]])</f>
        <v>0</v>
      </c>
      <c r="BJ143" s="424">
        <f>IF(WWWW[[#This Row],[HRP3]]/WWWW[[#This Row],[Total PoP ]]&gt;100%,100%,WWWW[[#This Row],[HRP3]]/WWWW[[#This Row],[Total PoP ]])</f>
        <v>0</v>
      </c>
      <c r="BK143" s="423">
        <f>1-WWWW[[#This Row],[Hygiene Coverage%]]</f>
        <v>1</v>
      </c>
      <c r="BL143" s="422">
        <f>WWWW[[#This Row],['# people reached by regular dedicated hygiene promotion]]/WWWW[[#This Row],[Total PoP ]]</f>
        <v>0</v>
      </c>
      <c r="BM14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3" s="421">
        <f>WWWW[[#This Row],['#_of_affected_women_and_girls_receiving_a_sufficient_quantity_of_sanitary_pads]]</f>
        <v>0</v>
      </c>
      <c r="BO143" s="420">
        <f>IF(WWWW[[#This Row],['# People with access to soap]]&gt;WWWW[[#This Row],['# People with access to Sanity Pads]],WWWW[[#This Row],['# People with access to soap]],WWWW[[#This Row],['# People with access to Sanity Pads]])</f>
        <v>0</v>
      </c>
      <c r="BP143" s="419" t="str">
        <f>IF(OR(WWWW[[#This Row],['#of students in school]]="",WWWW[[#This Row],['#of students in school]]=0),"No","Yes")</f>
        <v>No</v>
      </c>
      <c r="BQ143" s="417" t="str">
        <f>VLOOKUP(WWWW[[#This Row],[Village  Name]],SiteDB6[[Site Name]:[Location Type 1]],9,FALSE)</f>
        <v>Village</v>
      </c>
      <c r="BR143" s="417" t="str">
        <f>VLOOKUP(WWWW[[#This Row],[Village  Name]],SiteDB6[[Site Name]:[Type of Accommodation]],10,FALSE)</f>
        <v>Relocated</v>
      </c>
      <c r="BS143" s="417" t="str">
        <f>VLOOKUP(WWWW[[#This Row],[Village  Name]],SiteDB6[[Site Name]:[Ethnic or GCA/NGCA]],11,FALSE)</f>
        <v>Rakhine</v>
      </c>
      <c r="BT143" s="417">
        <f>VLOOKUP(WWWW[[#This Row],[Village  Name]],SiteDB6[[Site Name]:[Lat]],12,FALSE)</f>
        <v>20.151471999999998</v>
      </c>
      <c r="BU143" s="417">
        <f>VLOOKUP(WWWW[[#This Row],[Village  Name]],SiteDB6[[Site Name]:[Long]],13,FALSE)</f>
        <v>92.887277999999995</v>
      </c>
      <c r="BV143" s="417" t="str">
        <f>VLOOKUP(WWWW[[#This Row],[Village  Name]],SiteDB6[[Site Name]:[Pcode]],3,FALSE)</f>
        <v>MMR012CMP112</v>
      </c>
      <c r="BW143" s="425" t="str">
        <f t="shared" si="5"/>
        <v>Covered</v>
      </c>
      <c r="BX143" s="425"/>
      <c r="BY143" s="33"/>
      <c r="CA143" s="431"/>
      <c r="CB143" s="33"/>
      <c r="CC143" s="36"/>
      <c r="CE143" s="37"/>
      <c r="CN143" s="20"/>
    </row>
    <row r="144" spans="1:92" hidden="1">
      <c r="A144" s="412" t="s">
        <v>2380</v>
      </c>
      <c r="B144" s="412" t="s">
        <v>2307</v>
      </c>
      <c r="C144" s="418" t="s">
        <v>2307</v>
      </c>
      <c r="D144" s="418" t="s">
        <v>40</v>
      </c>
      <c r="E144" s="551" t="s">
        <v>2687</v>
      </c>
      <c r="F144" s="418" t="s">
        <v>297</v>
      </c>
      <c r="G144" s="551" t="str">
        <f>VLOOKUP(WWWW[[#This Row],[Village  Name]],SiteDB6[[Site Name]:[Location Type]],8,FALSE)</f>
        <v>Village</v>
      </c>
      <c r="H144" s="418" t="s">
        <v>439</v>
      </c>
      <c r="I144" s="420">
        <v>92</v>
      </c>
      <c r="J144" s="420">
        <v>695</v>
      </c>
      <c r="K144" s="426"/>
      <c r="L144" s="427">
        <v>44104</v>
      </c>
      <c r="M144" s="420"/>
      <c r="N144" s="420" t="s">
        <v>2657</v>
      </c>
      <c r="O144" s="420"/>
      <c r="P144" s="420">
        <v>7</v>
      </c>
      <c r="Q144" s="420"/>
      <c r="R144" s="420"/>
      <c r="S144" s="420"/>
      <c r="T144" s="642"/>
      <c r="U144" s="420"/>
      <c r="V144" s="611" t="s">
        <v>132</v>
      </c>
      <c r="W144" s="420"/>
      <c r="X144" s="420"/>
      <c r="Y144" s="420"/>
      <c r="Z144" s="420"/>
      <c r="AA144" s="420"/>
      <c r="AB144" s="642"/>
      <c r="AC144" s="611">
        <v>74</v>
      </c>
      <c r="AD144" s="611">
        <v>597</v>
      </c>
      <c r="AE144" s="611">
        <v>0</v>
      </c>
      <c r="AF144" s="611">
        <v>0</v>
      </c>
      <c r="AG144" s="611">
        <v>0</v>
      </c>
      <c r="AH144" s="611">
        <v>0</v>
      </c>
      <c r="AI144" s="420"/>
      <c r="AJ144" s="420"/>
      <c r="AK144" s="420"/>
      <c r="AL144" s="420"/>
      <c r="AM144" s="642"/>
      <c r="AN144" s="420"/>
      <c r="AO144" s="420"/>
      <c r="AP14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44" s="419">
        <f>WWWW[[#This Row],[%Equitable and continuous access to sufficient quantity of safe drinking water]]*WWWW[[#This Row],[Total PoP ]]</f>
        <v>695</v>
      </c>
      <c r="AR14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4" s="419">
        <f>WWWW[[#This Row],[% Access to unimproved water points]]*WWWW[[#This Row],[Total PoP ]]</f>
        <v>0</v>
      </c>
      <c r="AT14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4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695</v>
      </c>
      <c r="AV144" s="419">
        <f>WWWW[[#This Row],[HRP1]]/250</f>
        <v>2.78</v>
      </c>
      <c r="AW144" s="424">
        <f>1-WWWW[[#This Row],[% Equitable and continuous access to sufficient quantity of domestic water]]</f>
        <v>0</v>
      </c>
      <c r="AX144" s="419">
        <f>WWWW[[#This Row],[%equitable and continuous access to sufficient quantity of safe drinking and domestic water''s GAP]]*WWWW[[#This Row],[Total PoP ]]</f>
        <v>0</v>
      </c>
      <c r="AY144" s="421">
        <f>IF(WWWW[[#This Row],[Total required water points]]-WWWW[[#This Row],['#Water points coverage]]&lt;0,0,WWWW[[#This Row],[Total required water points]]-WWWW[[#This Row],['#Water points coverage]])</f>
        <v>0.2200000000000002</v>
      </c>
      <c r="AZ144" s="421">
        <f>ROUND(IF(WWWW[[#This Row],[Total PoP ]]&lt;250,1,WWWW[[#This Row],[Total PoP ]]/250),0)</f>
        <v>3</v>
      </c>
      <c r="BA14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4" s="419">
        <f>WWWW[[#This Row],[% people access to functioning Latrine]]*WWWW[[#This Row],[Total PoP ]]</f>
        <v>0</v>
      </c>
      <c r="BC144" s="421">
        <f>WWWW[[#This Row],['#_of_Functioning_latrines_in_school]]*50</f>
        <v>0</v>
      </c>
      <c r="BD144" s="421">
        <f>ROUND((WWWW[[#This Row],[Total PoP ]]/6),0)</f>
        <v>116</v>
      </c>
      <c r="BE144" s="421">
        <f>IF(WWWW[[#This Row],[Total required Latrines]]-(WWWW[[#This Row],['#_of_sanitary_fly-proof_HH_latrines]])&lt;0,0,WWWW[[#This Row],[Total required Latrines]]-(WWWW[[#This Row],['#_of_sanitary_fly-proof_HH_latrines]]))</f>
        <v>116</v>
      </c>
      <c r="BF144" s="563">
        <f>1-WWWW[[#This Row],[% people access to functioning Latrine]]</f>
        <v>1</v>
      </c>
      <c r="BG14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671</v>
      </c>
      <c r="BH144" s="419">
        <f>IF(WWWW[[#This Row],['#_of_functional_handwashing_facilities_at_HH_level]]*6&gt;WWWW[[#This Row],[Total PoP ]],WWWW[[#This Row],[Total PoP ]],WWWW[[#This Row],['#_of_functional_handwashing_facilities_at_HH_level]]*6)</f>
        <v>0</v>
      </c>
      <c r="BI144" s="421">
        <f>IF(WWWW[[#This Row],['# people reached by regular dedicated hygiene promotion]]&gt;WWWW[[#This Row],['# People received regular supply of hygiene items]],WWWW[[#This Row],['# people reached by regular dedicated hygiene promotion]],WWWW[[#This Row],['# People received regular supply of hygiene items]])</f>
        <v>671</v>
      </c>
      <c r="BJ144" s="424">
        <f>IF(WWWW[[#This Row],[HRP3]]/WWWW[[#This Row],[Total PoP ]]&gt;100%,100%,WWWW[[#This Row],[HRP3]]/WWWW[[#This Row],[Total PoP ]])</f>
        <v>0.96546762589928059</v>
      </c>
      <c r="BK144" s="423">
        <f>1-WWWW[[#This Row],[Hygiene Coverage%]]</f>
        <v>3.453237410071941E-2</v>
      </c>
      <c r="BL144" s="422">
        <f>WWWW[[#This Row],['# people reached by regular dedicated hygiene promotion]]/WWWW[[#This Row],[Total PoP ]]</f>
        <v>0.96546762589928059</v>
      </c>
      <c r="BM14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4" s="421">
        <f>WWWW[[#This Row],['#_of_affected_women_and_girls_receiving_a_sufficient_quantity_of_sanitary_pads]]</f>
        <v>0</v>
      </c>
      <c r="BO144" s="420">
        <f>IF(WWWW[[#This Row],['# People with access to soap]]&gt;WWWW[[#This Row],['# People with access to Sanity Pads]],WWWW[[#This Row],['# People with access to soap]],WWWW[[#This Row],['# People with access to Sanity Pads]])</f>
        <v>0</v>
      </c>
      <c r="BP144" s="419" t="str">
        <f>IF(OR(WWWW[[#This Row],['#of students in school]]="",WWWW[[#This Row],['#of students in school]]=0),"No","Yes")</f>
        <v>No</v>
      </c>
      <c r="BQ144" s="417" t="str">
        <f>VLOOKUP(WWWW[[#This Row],[Village  Name]],SiteDB6[[Site Name]:[Location Type 1]],9,FALSE)</f>
        <v>Village</v>
      </c>
      <c r="BR144" s="417" t="str">
        <f>VLOOKUP(WWWW[[#This Row],[Village  Name]],SiteDB6[[Site Name]:[Type of Accommodation]],10,FALSE)</f>
        <v>Village</v>
      </c>
      <c r="BS144" s="417" t="str">
        <f>VLOOKUP(WWWW[[#This Row],[Village  Name]],SiteDB6[[Site Name]:[Ethnic or GCA/NGCA]],11,FALSE)</f>
        <v>Muslim</v>
      </c>
      <c r="BT144" s="417">
        <f>VLOOKUP(WWWW[[#This Row],[Village  Name]],SiteDB6[[Site Name]:[Lat]],12,FALSE)</f>
        <v>20.201499999999999</v>
      </c>
      <c r="BU144" s="417">
        <f>VLOOKUP(WWWW[[#This Row],[Village  Name]],SiteDB6[[Site Name]:[Long]],13,FALSE)</f>
        <v>92.796599999999998</v>
      </c>
      <c r="BV144" s="417">
        <f>VLOOKUP(WWWW[[#This Row],[Village  Name]],SiteDB6[[Site Name]:[Pcode]],3,FALSE)</f>
        <v>196154</v>
      </c>
      <c r="BW144" s="425" t="str">
        <f t="shared" si="5"/>
        <v>Covered</v>
      </c>
      <c r="BX144" s="425"/>
      <c r="BY144" s="33"/>
      <c r="CA144" s="431"/>
      <c r="CB144" s="33"/>
      <c r="CC144" s="36"/>
      <c r="CE144" s="37"/>
      <c r="CN144" s="20"/>
    </row>
    <row r="145" spans="1:92" hidden="1">
      <c r="A145" s="412" t="s">
        <v>2380</v>
      </c>
      <c r="B145" s="412" t="s">
        <v>2307</v>
      </c>
      <c r="C145" s="418" t="s">
        <v>2307</v>
      </c>
      <c r="D145" s="418" t="s">
        <v>40</v>
      </c>
      <c r="E145" s="551" t="s">
        <v>2687</v>
      </c>
      <c r="F145" s="418" t="s">
        <v>297</v>
      </c>
      <c r="G145" s="551" t="str">
        <f>VLOOKUP(WWWW[[#This Row],[Village  Name]],SiteDB6[[Site Name]:[Location Type]],8,FALSE)</f>
        <v>Village</v>
      </c>
      <c r="H145" s="418" t="s">
        <v>435</v>
      </c>
      <c r="I145" s="420">
        <v>235</v>
      </c>
      <c r="J145" s="420">
        <v>1390</v>
      </c>
      <c r="K145" s="426"/>
      <c r="L145" s="427">
        <v>44104</v>
      </c>
      <c r="M145" s="420"/>
      <c r="N145" s="420" t="s">
        <v>2657</v>
      </c>
      <c r="O145" s="420"/>
      <c r="P145" s="420">
        <v>8</v>
      </c>
      <c r="Q145" s="420"/>
      <c r="R145" s="420"/>
      <c r="S145" s="420"/>
      <c r="T145" s="642"/>
      <c r="U145" s="420"/>
      <c r="V145" s="611" t="s">
        <v>132</v>
      </c>
      <c r="W145" s="420"/>
      <c r="X145" s="420"/>
      <c r="Y145" s="420"/>
      <c r="Z145" s="420"/>
      <c r="AA145" s="420"/>
      <c r="AB145" s="642"/>
      <c r="AC145" s="611">
        <v>128</v>
      </c>
      <c r="AD145" s="611">
        <v>567</v>
      </c>
      <c r="AE145" s="611">
        <v>0</v>
      </c>
      <c r="AF145" s="611">
        <v>0</v>
      </c>
      <c r="AG145" s="611">
        <v>0</v>
      </c>
      <c r="AH145" s="611">
        <v>0</v>
      </c>
      <c r="AI145" s="420"/>
      <c r="AJ145" s="420"/>
      <c r="AK145" s="420"/>
      <c r="AL145" s="420"/>
      <c r="AM145" s="642"/>
      <c r="AN145" s="420"/>
      <c r="AO145" s="420"/>
      <c r="AP14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45" s="419">
        <f>WWWW[[#This Row],[%Equitable and continuous access to sufficient quantity of safe drinking water]]*WWWW[[#This Row],[Total PoP ]]</f>
        <v>1390</v>
      </c>
      <c r="AR14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5" s="419">
        <f>WWWW[[#This Row],[% Access to unimproved water points]]*WWWW[[#This Row],[Total PoP ]]</f>
        <v>0</v>
      </c>
      <c r="AT14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4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1390</v>
      </c>
      <c r="AV145" s="419">
        <f>WWWW[[#This Row],[HRP1]]/250</f>
        <v>5.56</v>
      </c>
      <c r="AW145" s="424">
        <f>1-WWWW[[#This Row],[% Equitable and continuous access to sufficient quantity of domestic water]]</f>
        <v>0</v>
      </c>
      <c r="AX145" s="419">
        <f>WWWW[[#This Row],[%equitable and continuous access to sufficient quantity of safe drinking and domestic water''s GAP]]*WWWW[[#This Row],[Total PoP ]]</f>
        <v>0</v>
      </c>
      <c r="AY145" s="421">
        <f>IF(WWWW[[#This Row],[Total required water points]]-WWWW[[#This Row],['#Water points coverage]]&lt;0,0,WWWW[[#This Row],[Total required water points]]-WWWW[[#This Row],['#Water points coverage]])</f>
        <v>0.44000000000000039</v>
      </c>
      <c r="AZ145" s="421">
        <f>ROUND(IF(WWWW[[#This Row],[Total PoP ]]&lt;250,1,WWWW[[#This Row],[Total PoP ]]/250),0)</f>
        <v>6</v>
      </c>
      <c r="BA14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5" s="419">
        <f>WWWW[[#This Row],[% people access to functioning Latrine]]*WWWW[[#This Row],[Total PoP ]]</f>
        <v>0</v>
      </c>
      <c r="BC145" s="421">
        <f>WWWW[[#This Row],['#_of_Functioning_latrines_in_school]]*50</f>
        <v>0</v>
      </c>
      <c r="BD145" s="421">
        <f>ROUND((WWWW[[#This Row],[Total PoP ]]/6),0)</f>
        <v>232</v>
      </c>
      <c r="BE145" s="421">
        <f>IF(WWWW[[#This Row],[Total required Latrines]]-(WWWW[[#This Row],['#_of_sanitary_fly-proof_HH_latrines]])&lt;0,0,WWWW[[#This Row],[Total required Latrines]]-(WWWW[[#This Row],['#_of_sanitary_fly-proof_HH_latrines]]))</f>
        <v>232</v>
      </c>
      <c r="BF145" s="563">
        <f>1-WWWW[[#This Row],[% people access to functioning Latrine]]</f>
        <v>1</v>
      </c>
      <c r="BG14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695</v>
      </c>
      <c r="BH145" s="419">
        <f>IF(WWWW[[#This Row],['#_of_functional_handwashing_facilities_at_HH_level]]*6&gt;WWWW[[#This Row],[Total PoP ]],WWWW[[#This Row],[Total PoP ]],WWWW[[#This Row],['#_of_functional_handwashing_facilities_at_HH_level]]*6)</f>
        <v>0</v>
      </c>
      <c r="BI145" s="421">
        <f>IF(WWWW[[#This Row],['# people reached by regular dedicated hygiene promotion]]&gt;WWWW[[#This Row],['# People received regular supply of hygiene items]],WWWW[[#This Row],['# people reached by regular dedicated hygiene promotion]],WWWW[[#This Row],['# People received regular supply of hygiene items]])</f>
        <v>695</v>
      </c>
      <c r="BJ145" s="424">
        <f>IF(WWWW[[#This Row],[HRP3]]/WWWW[[#This Row],[Total PoP ]]&gt;100%,100%,WWWW[[#This Row],[HRP3]]/WWWW[[#This Row],[Total PoP ]])</f>
        <v>0.5</v>
      </c>
      <c r="BK145" s="423">
        <f>1-WWWW[[#This Row],[Hygiene Coverage%]]</f>
        <v>0.5</v>
      </c>
      <c r="BL145" s="422">
        <f>WWWW[[#This Row],['# people reached by regular dedicated hygiene promotion]]/WWWW[[#This Row],[Total PoP ]]</f>
        <v>0.5</v>
      </c>
      <c r="BM14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5" s="421">
        <f>WWWW[[#This Row],['#_of_affected_women_and_girls_receiving_a_sufficient_quantity_of_sanitary_pads]]</f>
        <v>0</v>
      </c>
      <c r="BO145" s="420">
        <f>IF(WWWW[[#This Row],['# People with access to soap]]&gt;WWWW[[#This Row],['# People with access to Sanity Pads]],WWWW[[#This Row],['# People with access to soap]],WWWW[[#This Row],['# People with access to Sanity Pads]])</f>
        <v>0</v>
      </c>
      <c r="BP145" s="419" t="str">
        <f>IF(OR(WWWW[[#This Row],['#of students in school]]="",WWWW[[#This Row],['#of students in school]]=0),"No","Yes")</f>
        <v>No</v>
      </c>
      <c r="BQ145" s="417" t="str">
        <f>VLOOKUP(WWWW[[#This Row],[Village  Name]],SiteDB6[[Site Name]:[Location Type 1]],9,FALSE)</f>
        <v>Village</v>
      </c>
      <c r="BR145" s="417" t="str">
        <f>VLOOKUP(WWWW[[#This Row],[Village  Name]],SiteDB6[[Site Name]:[Type of Accommodation]],10,FALSE)</f>
        <v>Village</v>
      </c>
      <c r="BS145" s="417" t="str">
        <f>VLOOKUP(WWWW[[#This Row],[Village  Name]],SiteDB6[[Site Name]:[Ethnic or GCA/NGCA]],11,FALSE)</f>
        <v>Muslim</v>
      </c>
      <c r="BT145" s="417">
        <f>VLOOKUP(WWWW[[#This Row],[Village  Name]],SiteDB6[[Site Name]:[Lat]],12,FALSE)</f>
        <v>20.19171906</v>
      </c>
      <c r="BU145" s="417">
        <f>VLOOKUP(WWWW[[#This Row],[Village  Name]],SiteDB6[[Site Name]:[Long]],13,FALSE)</f>
        <v>92.808166499999999</v>
      </c>
      <c r="BV145" s="417">
        <f>VLOOKUP(WWWW[[#This Row],[Village  Name]],SiteDB6[[Site Name]:[Pcode]],3,FALSE)</f>
        <v>196155</v>
      </c>
      <c r="BW145" s="425" t="str">
        <f t="shared" si="5"/>
        <v>Covered</v>
      </c>
      <c r="BX145" s="425"/>
      <c r="BY145" s="33"/>
      <c r="CA145" s="431"/>
      <c r="CB145" s="33"/>
      <c r="CC145" s="36"/>
      <c r="CE145" s="37"/>
      <c r="CN145" s="20"/>
    </row>
    <row r="146" spans="1:92" hidden="1">
      <c r="A146" s="412" t="s">
        <v>2380</v>
      </c>
      <c r="B146" s="412" t="s">
        <v>2307</v>
      </c>
      <c r="C146" s="418" t="s">
        <v>2307</v>
      </c>
      <c r="D146" s="418" t="s">
        <v>40</v>
      </c>
      <c r="E146" s="551" t="s">
        <v>2687</v>
      </c>
      <c r="F146" s="418" t="s">
        <v>297</v>
      </c>
      <c r="G146" s="551" t="str">
        <f>VLOOKUP(WWWW[[#This Row],[Village  Name]],SiteDB6[[Site Name]:[Location Type]],8,FALSE)</f>
        <v>Village</v>
      </c>
      <c r="H146" s="418" t="s">
        <v>418</v>
      </c>
      <c r="I146" s="420">
        <v>72</v>
      </c>
      <c r="J146" s="420">
        <v>442</v>
      </c>
      <c r="K146" s="426"/>
      <c r="L146" s="427">
        <v>44104</v>
      </c>
      <c r="M146" s="420"/>
      <c r="N146" s="420" t="s">
        <v>2657</v>
      </c>
      <c r="O146" s="420"/>
      <c r="P146" s="420">
        <v>0</v>
      </c>
      <c r="Q146" s="420"/>
      <c r="R146" s="420"/>
      <c r="S146" s="420"/>
      <c r="T146" s="642"/>
      <c r="U146" s="420"/>
      <c r="V146" s="611" t="s">
        <v>132</v>
      </c>
      <c r="W146" s="420"/>
      <c r="X146" s="420"/>
      <c r="Y146" s="420"/>
      <c r="Z146" s="420"/>
      <c r="AA146" s="420"/>
      <c r="AB146" s="642"/>
      <c r="AC146" s="611">
        <v>59</v>
      </c>
      <c r="AD146" s="611">
        <v>136</v>
      </c>
      <c r="AE146" s="611">
        <v>57</v>
      </c>
      <c r="AF146" s="611">
        <v>232</v>
      </c>
      <c r="AG146" s="611">
        <v>0</v>
      </c>
      <c r="AH146" s="611">
        <v>0</v>
      </c>
      <c r="AI146" s="420"/>
      <c r="AJ146" s="420"/>
      <c r="AK146" s="420"/>
      <c r="AL146" s="420"/>
      <c r="AM146" s="642"/>
      <c r="AN146" s="420"/>
      <c r="AO146" s="420"/>
      <c r="AP14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46" s="419">
        <f>WWWW[[#This Row],[%Equitable and continuous access to sufficient quantity of safe drinking water]]*WWWW[[#This Row],[Total PoP ]]</f>
        <v>0</v>
      </c>
      <c r="AR14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6" s="419">
        <f>WWWW[[#This Row],[% Access to unimproved water points]]*WWWW[[#This Row],[Total PoP ]]</f>
        <v>0</v>
      </c>
      <c r="AT14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4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46" s="419">
        <f>WWWW[[#This Row],[HRP1]]/250</f>
        <v>0</v>
      </c>
      <c r="AW146" s="424">
        <f>1-WWWW[[#This Row],[% Equitable and continuous access to sufficient quantity of domestic water]]</f>
        <v>1</v>
      </c>
      <c r="AX146" s="419">
        <f>WWWW[[#This Row],[%equitable and continuous access to sufficient quantity of safe drinking and domestic water''s GAP]]*WWWW[[#This Row],[Total PoP ]]</f>
        <v>442</v>
      </c>
      <c r="AY146" s="421">
        <f>IF(WWWW[[#This Row],[Total required water points]]-WWWW[[#This Row],['#Water points coverage]]&lt;0,0,WWWW[[#This Row],[Total required water points]]-WWWW[[#This Row],['#Water points coverage]])</f>
        <v>2</v>
      </c>
      <c r="AZ146" s="421">
        <f>ROUND(IF(WWWW[[#This Row],[Total PoP ]]&lt;250,1,WWWW[[#This Row],[Total PoP ]]/250),0)</f>
        <v>2</v>
      </c>
      <c r="BA14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6" s="419">
        <f>WWWW[[#This Row],[% people access to functioning Latrine]]*WWWW[[#This Row],[Total PoP ]]</f>
        <v>0</v>
      </c>
      <c r="BC146" s="421">
        <f>WWWW[[#This Row],['#_of_Functioning_latrines_in_school]]*50</f>
        <v>0</v>
      </c>
      <c r="BD146" s="421">
        <f>ROUND((WWWW[[#This Row],[Total PoP ]]/6),0)</f>
        <v>74</v>
      </c>
      <c r="BE146" s="421">
        <f>IF(WWWW[[#This Row],[Total required Latrines]]-(WWWW[[#This Row],['#_of_sanitary_fly-proof_HH_latrines]])&lt;0,0,WWWW[[#This Row],[Total required Latrines]]-(WWWW[[#This Row],['#_of_sanitary_fly-proof_HH_latrines]]))</f>
        <v>74</v>
      </c>
      <c r="BF146" s="563">
        <f>1-WWWW[[#This Row],[% people access to functioning Latrine]]</f>
        <v>1</v>
      </c>
      <c r="BG14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442</v>
      </c>
      <c r="BH146" s="419">
        <f>IF(WWWW[[#This Row],['#_of_functional_handwashing_facilities_at_HH_level]]*6&gt;WWWW[[#This Row],[Total PoP ]],WWWW[[#This Row],[Total PoP ]],WWWW[[#This Row],['#_of_functional_handwashing_facilities_at_HH_level]]*6)</f>
        <v>0</v>
      </c>
      <c r="BI146" s="421">
        <f>IF(WWWW[[#This Row],['# people reached by regular dedicated hygiene promotion]]&gt;WWWW[[#This Row],['# People received regular supply of hygiene items]],WWWW[[#This Row],['# people reached by regular dedicated hygiene promotion]],WWWW[[#This Row],['# People received regular supply of hygiene items]])</f>
        <v>442</v>
      </c>
      <c r="BJ146" s="424">
        <f>IF(WWWW[[#This Row],[HRP3]]/WWWW[[#This Row],[Total PoP ]]&gt;100%,100%,WWWW[[#This Row],[HRP3]]/WWWW[[#This Row],[Total PoP ]])</f>
        <v>1</v>
      </c>
      <c r="BK146" s="423">
        <f>1-WWWW[[#This Row],[Hygiene Coverage%]]</f>
        <v>0</v>
      </c>
      <c r="BL146" s="422">
        <f>WWWW[[#This Row],['# people reached by regular dedicated hygiene promotion]]/WWWW[[#This Row],[Total PoP ]]</f>
        <v>1</v>
      </c>
      <c r="BM14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6" s="421">
        <f>WWWW[[#This Row],['#_of_affected_women_and_girls_receiving_a_sufficient_quantity_of_sanitary_pads]]</f>
        <v>0</v>
      </c>
      <c r="BO146" s="420">
        <f>IF(WWWW[[#This Row],['# People with access to soap]]&gt;WWWW[[#This Row],['# People with access to Sanity Pads]],WWWW[[#This Row],['# People with access to soap]],WWWW[[#This Row],['# People with access to Sanity Pads]])</f>
        <v>0</v>
      </c>
      <c r="BP146" s="419" t="str">
        <f>IF(OR(WWWW[[#This Row],['#of students in school]]="",WWWW[[#This Row],['#of students in school]]=0),"No","Yes")</f>
        <v>No</v>
      </c>
      <c r="BQ146" s="417" t="str">
        <f>VLOOKUP(WWWW[[#This Row],[Village  Name]],SiteDB6[[Site Name]:[Location Type 1]],9,FALSE)</f>
        <v>Village</v>
      </c>
      <c r="BR146" s="417" t="str">
        <f>VLOOKUP(WWWW[[#This Row],[Village  Name]],SiteDB6[[Site Name]:[Type of Accommodation]],10,FALSE)</f>
        <v>Relocated</v>
      </c>
      <c r="BS146" s="417" t="str">
        <f>VLOOKUP(WWWW[[#This Row],[Village  Name]],SiteDB6[[Site Name]:[Ethnic or GCA/NGCA]],11,FALSE)</f>
        <v>Maramargyi</v>
      </c>
      <c r="BT146" s="417">
        <f>VLOOKUP(WWWW[[#This Row],[Village  Name]],SiteDB6[[Site Name]:[Lat]],12,FALSE)</f>
        <v>20.148584</v>
      </c>
      <c r="BU146" s="417">
        <f>VLOOKUP(WWWW[[#This Row],[Village  Name]],SiteDB6[[Site Name]:[Long]],13,FALSE)</f>
        <v>92.880319999999998</v>
      </c>
      <c r="BV146" s="417" t="str">
        <f>VLOOKUP(WWWW[[#This Row],[Village  Name]],SiteDB6[[Site Name]:[Pcode]],3,FALSE)</f>
        <v>MMR012CMP056</v>
      </c>
      <c r="BW146" s="425" t="str">
        <f t="shared" si="5"/>
        <v>Covered</v>
      </c>
      <c r="BX146" s="425"/>
      <c r="BY146" s="33"/>
      <c r="CA146" s="431"/>
      <c r="CB146" s="33"/>
      <c r="CC146" s="36"/>
      <c r="CE146" s="37"/>
      <c r="CN146" s="20"/>
    </row>
    <row r="147" spans="1:92" hidden="1">
      <c r="A147" s="412" t="s">
        <v>2380</v>
      </c>
      <c r="B147" s="412" t="s">
        <v>2307</v>
      </c>
      <c r="C147" s="418" t="s">
        <v>2307</v>
      </c>
      <c r="D147" s="418" t="s">
        <v>40</v>
      </c>
      <c r="E147" s="551" t="s">
        <v>2687</v>
      </c>
      <c r="F147" s="418" t="s">
        <v>297</v>
      </c>
      <c r="G147" s="551" t="str">
        <f>VLOOKUP(WWWW[[#This Row],[Village  Name]],SiteDB6[[Site Name]:[Location Type]],8,FALSE)</f>
        <v>Village</v>
      </c>
      <c r="H147" s="418" t="s">
        <v>1909</v>
      </c>
      <c r="I147" s="420">
        <v>151</v>
      </c>
      <c r="J147" s="420">
        <v>625</v>
      </c>
      <c r="K147" s="426"/>
      <c r="L147" s="427">
        <v>44104</v>
      </c>
      <c r="M147" s="420"/>
      <c r="N147" s="420" t="s">
        <v>2657</v>
      </c>
      <c r="O147" s="420"/>
      <c r="P147" s="420">
        <v>6</v>
      </c>
      <c r="Q147" s="420"/>
      <c r="R147" s="420"/>
      <c r="S147" s="420"/>
      <c r="T147" s="642"/>
      <c r="U147" s="420"/>
      <c r="V147" s="611" t="s">
        <v>132</v>
      </c>
      <c r="W147" s="420"/>
      <c r="X147" s="420"/>
      <c r="Y147" s="420"/>
      <c r="Z147" s="420"/>
      <c r="AA147" s="420"/>
      <c r="AB147" s="642"/>
      <c r="AC147" s="611">
        <v>124</v>
      </c>
      <c r="AD147" s="611">
        <v>314</v>
      </c>
      <c r="AE147" s="611">
        <v>32</v>
      </c>
      <c r="AF147" s="611">
        <v>220</v>
      </c>
      <c r="AG147" s="611">
        <v>0</v>
      </c>
      <c r="AH147" s="611">
        <v>0</v>
      </c>
      <c r="AI147" s="420"/>
      <c r="AJ147" s="420"/>
      <c r="AK147" s="420"/>
      <c r="AL147" s="420"/>
      <c r="AM147" s="642"/>
      <c r="AN147" s="420"/>
      <c r="AO147" s="420"/>
      <c r="AP14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47" s="419">
        <f>WWWW[[#This Row],[%Equitable and continuous access to sufficient quantity of safe drinking water]]*WWWW[[#This Row],[Total PoP ]]</f>
        <v>625</v>
      </c>
      <c r="AR14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7" s="419">
        <f>WWWW[[#This Row],[% Access to unimproved water points]]*WWWW[[#This Row],[Total PoP ]]</f>
        <v>0</v>
      </c>
      <c r="AT14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4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625</v>
      </c>
      <c r="AV147" s="419">
        <f>WWWW[[#This Row],[HRP1]]/250</f>
        <v>2.5</v>
      </c>
      <c r="AW147" s="424">
        <f>1-WWWW[[#This Row],[% Equitable and continuous access to sufficient quantity of domestic water]]</f>
        <v>0</v>
      </c>
      <c r="AX147" s="419">
        <f>WWWW[[#This Row],[%equitable and continuous access to sufficient quantity of safe drinking and domestic water''s GAP]]*WWWW[[#This Row],[Total PoP ]]</f>
        <v>0</v>
      </c>
      <c r="AY147" s="421">
        <f>IF(WWWW[[#This Row],[Total required water points]]-WWWW[[#This Row],['#Water points coverage]]&lt;0,0,WWWW[[#This Row],[Total required water points]]-WWWW[[#This Row],['#Water points coverage]])</f>
        <v>0.5</v>
      </c>
      <c r="AZ147" s="421">
        <f>ROUND(IF(WWWW[[#This Row],[Total PoP ]]&lt;250,1,WWWW[[#This Row],[Total PoP ]]/250),0)</f>
        <v>3</v>
      </c>
      <c r="BA14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7" s="419">
        <f>WWWW[[#This Row],[% people access to functioning Latrine]]*WWWW[[#This Row],[Total PoP ]]</f>
        <v>0</v>
      </c>
      <c r="BC147" s="421">
        <f>WWWW[[#This Row],['#_of_Functioning_latrines_in_school]]*50</f>
        <v>0</v>
      </c>
      <c r="BD147" s="421">
        <f>ROUND((WWWW[[#This Row],[Total PoP ]]/6),0)</f>
        <v>104</v>
      </c>
      <c r="BE147" s="421">
        <f>IF(WWWW[[#This Row],[Total required Latrines]]-(WWWW[[#This Row],['#_of_sanitary_fly-proof_HH_latrines]])&lt;0,0,WWWW[[#This Row],[Total required Latrines]]-(WWWW[[#This Row],['#_of_sanitary_fly-proof_HH_latrines]]))</f>
        <v>104</v>
      </c>
      <c r="BF147" s="563">
        <f>1-WWWW[[#This Row],[% people access to functioning Latrine]]</f>
        <v>1</v>
      </c>
      <c r="BG14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625</v>
      </c>
      <c r="BH147" s="419">
        <f>IF(WWWW[[#This Row],['#_of_functional_handwashing_facilities_at_HH_level]]*6&gt;WWWW[[#This Row],[Total PoP ]],WWWW[[#This Row],[Total PoP ]],WWWW[[#This Row],['#_of_functional_handwashing_facilities_at_HH_level]]*6)</f>
        <v>0</v>
      </c>
      <c r="BI147" s="421">
        <f>IF(WWWW[[#This Row],['# people reached by regular dedicated hygiene promotion]]&gt;WWWW[[#This Row],['# People received regular supply of hygiene items]],WWWW[[#This Row],['# people reached by regular dedicated hygiene promotion]],WWWW[[#This Row],['# People received regular supply of hygiene items]])</f>
        <v>625</v>
      </c>
      <c r="BJ147" s="424">
        <f>IF(WWWW[[#This Row],[HRP3]]/WWWW[[#This Row],[Total PoP ]]&gt;100%,100%,WWWW[[#This Row],[HRP3]]/WWWW[[#This Row],[Total PoP ]])</f>
        <v>1</v>
      </c>
      <c r="BK147" s="423">
        <f>1-WWWW[[#This Row],[Hygiene Coverage%]]</f>
        <v>0</v>
      </c>
      <c r="BL147" s="422">
        <f>WWWW[[#This Row],['# people reached by regular dedicated hygiene promotion]]/WWWW[[#This Row],[Total PoP ]]</f>
        <v>1</v>
      </c>
      <c r="BM14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7" s="421">
        <f>WWWW[[#This Row],['#_of_affected_women_and_girls_receiving_a_sufficient_quantity_of_sanitary_pads]]</f>
        <v>0</v>
      </c>
      <c r="BO147" s="420">
        <f>IF(WWWW[[#This Row],['# People with access to soap]]&gt;WWWW[[#This Row],['# People with access to Sanity Pads]],WWWW[[#This Row],['# People with access to soap]],WWWW[[#This Row],['# People with access to Sanity Pads]])</f>
        <v>0</v>
      </c>
      <c r="BP147" s="419" t="str">
        <f>IF(OR(WWWW[[#This Row],['#of students in school]]="",WWWW[[#This Row],['#of students in school]]=0),"No","Yes")</f>
        <v>No</v>
      </c>
      <c r="BQ147" s="417" t="str">
        <f>VLOOKUP(WWWW[[#This Row],[Village  Name]],SiteDB6[[Site Name]:[Location Type 1]],9,FALSE)</f>
        <v>Village</v>
      </c>
      <c r="BR147" s="417" t="str">
        <f>VLOOKUP(WWWW[[#This Row],[Village  Name]],SiteDB6[[Site Name]:[Type of Accommodation]],10,FALSE)</f>
        <v>Relocated</v>
      </c>
      <c r="BS147" s="417" t="str">
        <f>VLOOKUP(WWWW[[#This Row],[Village  Name]],SiteDB6[[Site Name]:[Ethnic or GCA/NGCA]],11,FALSE)</f>
        <v>Rakhine</v>
      </c>
      <c r="BT147" s="417">
        <f>VLOOKUP(WWWW[[#This Row],[Village  Name]],SiteDB6[[Site Name]:[Lat]],12,FALSE)</f>
        <v>20.155805999999998</v>
      </c>
      <c r="BU147" s="417">
        <f>VLOOKUP(WWWW[[#This Row],[Village  Name]],SiteDB6[[Site Name]:[Long]],13,FALSE)</f>
        <v>92.879138999999995</v>
      </c>
      <c r="BV147" s="417" t="str">
        <f>VLOOKUP(WWWW[[#This Row],[Village  Name]],SiteDB6[[Site Name]:[Pcode]],3,FALSE)</f>
        <v>MMR012CMP093</v>
      </c>
      <c r="BW147" s="425" t="str">
        <f t="shared" si="5"/>
        <v>Covered</v>
      </c>
      <c r="BX147" s="425"/>
      <c r="BY147" s="33"/>
      <c r="CA147" s="431"/>
      <c r="CB147" s="33"/>
      <c r="CC147" s="36"/>
      <c r="CE147" s="37"/>
      <c r="CN147" s="20"/>
    </row>
    <row r="148" spans="1:92" hidden="1">
      <c r="A148" s="412" t="s">
        <v>2380</v>
      </c>
      <c r="B148" s="412" t="s">
        <v>2308</v>
      </c>
      <c r="C148" s="418" t="s">
        <v>2308</v>
      </c>
      <c r="D148" s="418" t="s">
        <v>40</v>
      </c>
      <c r="E148" s="551" t="s">
        <v>2687</v>
      </c>
      <c r="F148" s="418" t="s">
        <v>297</v>
      </c>
      <c r="G148" s="551" t="str">
        <f>VLOOKUP(WWWW[[#This Row],[Village  Name]],SiteDB6[[Site Name]:[Location Type]],8,FALSE)</f>
        <v>Village</v>
      </c>
      <c r="H148" s="418" t="s">
        <v>691</v>
      </c>
      <c r="I148" s="420">
        <v>155</v>
      </c>
      <c r="J148" s="420">
        <v>745</v>
      </c>
      <c r="K148" s="426"/>
      <c r="L148" s="427">
        <v>44104</v>
      </c>
      <c r="M148" s="420"/>
      <c r="N148" s="420" t="s">
        <v>2657</v>
      </c>
      <c r="O148" s="420"/>
      <c r="P148" s="420">
        <v>9</v>
      </c>
      <c r="Q148" s="420"/>
      <c r="R148" s="420"/>
      <c r="S148" s="420"/>
      <c r="T148" s="642"/>
      <c r="U148" s="420"/>
      <c r="V148" s="611" t="s">
        <v>132</v>
      </c>
      <c r="W148" s="420"/>
      <c r="X148" s="420"/>
      <c r="Y148" s="420"/>
      <c r="Z148" s="420"/>
      <c r="AA148" s="420"/>
      <c r="AB148" s="642"/>
      <c r="AC148" s="611">
        <v>144</v>
      </c>
      <c r="AD148" s="611">
        <v>178</v>
      </c>
      <c r="AE148" s="611">
        <v>49</v>
      </c>
      <c r="AF148" s="611">
        <v>62</v>
      </c>
      <c r="AG148" s="611"/>
      <c r="AH148" s="611"/>
      <c r="AI148" s="420"/>
      <c r="AJ148" s="420"/>
      <c r="AK148" s="420"/>
      <c r="AL148" s="420"/>
      <c r="AM148" s="642"/>
      <c r="AN148" s="420"/>
      <c r="AO148" s="420"/>
      <c r="AP14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48" s="419">
        <f>WWWW[[#This Row],[%Equitable and continuous access to sufficient quantity of safe drinking water]]*WWWW[[#This Row],[Total PoP ]]</f>
        <v>745</v>
      </c>
      <c r="AR14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8" s="419">
        <f>WWWW[[#This Row],[% Access to unimproved water points]]*WWWW[[#This Row],[Total PoP ]]</f>
        <v>0</v>
      </c>
      <c r="AT14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4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AV148" s="419">
        <f>WWWW[[#This Row],[HRP1]]/250</f>
        <v>2.98</v>
      </c>
      <c r="AW148" s="424">
        <f>1-WWWW[[#This Row],[% Equitable and continuous access to sufficient quantity of domestic water]]</f>
        <v>0</v>
      </c>
      <c r="AX148" s="419">
        <f>WWWW[[#This Row],[%equitable and continuous access to sufficient quantity of safe drinking and domestic water''s GAP]]*WWWW[[#This Row],[Total PoP ]]</f>
        <v>0</v>
      </c>
      <c r="AY148" s="421">
        <f>IF(WWWW[[#This Row],[Total required water points]]-WWWW[[#This Row],['#Water points coverage]]&lt;0,0,WWWW[[#This Row],[Total required water points]]-WWWW[[#This Row],['#Water points coverage]])</f>
        <v>2.0000000000000018E-2</v>
      </c>
      <c r="AZ148" s="421">
        <f>ROUND(IF(WWWW[[#This Row],[Total PoP ]]&lt;250,1,WWWW[[#This Row],[Total PoP ]]/250),0)</f>
        <v>3</v>
      </c>
      <c r="BA14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8" s="419">
        <f>WWWW[[#This Row],[% people access to functioning Latrine]]*WWWW[[#This Row],[Total PoP ]]</f>
        <v>0</v>
      </c>
      <c r="BC148" s="421">
        <f>WWWW[[#This Row],['#_of_Functioning_latrines_in_school]]*50</f>
        <v>0</v>
      </c>
      <c r="BD148" s="421">
        <f>ROUND((WWWW[[#This Row],[Total PoP ]]/6),0)</f>
        <v>124</v>
      </c>
      <c r="BE148" s="421">
        <f>IF(WWWW[[#This Row],[Total required Latrines]]-(WWWW[[#This Row],['#_of_sanitary_fly-proof_HH_latrines]])&lt;0,0,WWWW[[#This Row],[Total required Latrines]]-(WWWW[[#This Row],['#_of_sanitary_fly-proof_HH_latrines]]))</f>
        <v>124</v>
      </c>
      <c r="BF148" s="563">
        <f>1-WWWW[[#This Row],[% people access to functioning Latrine]]</f>
        <v>1</v>
      </c>
      <c r="BG14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433</v>
      </c>
      <c r="BH148" s="419">
        <f>IF(WWWW[[#This Row],['#_of_functional_handwashing_facilities_at_HH_level]]*6&gt;WWWW[[#This Row],[Total PoP ]],WWWW[[#This Row],[Total PoP ]],WWWW[[#This Row],['#_of_functional_handwashing_facilities_at_HH_level]]*6)</f>
        <v>0</v>
      </c>
      <c r="BI148" s="421">
        <f>IF(WWWW[[#This Row],['# people reached by regular dedicated hygiene promotion]]&gt;WWWW[[#This Row],['# People received regular supply of hygiene items]],WWWW[[#This Row],['# people reached by regular dedicated hygiene promotion]],WWWW[[#This Row],['# People received regular supply of hygiene items]])</f>
        <v>433</v>
      </c>
      <c r="BJ148" s="424">
        <f>IF(WWWW[[#This Row],[HRP3]]/WWWW[[#This Row],[Total PoP ]]&gt;100%,100%,WWWW[[#This Row],[HRP3]]/WWWW[[#This Row],[Total PoP ]])</f>
        <v>0.58120805369127515</v>
      </c>
      <c r="BK148" s="423">
        <f>1-WWWW[[#This Row],[Hygiene Coverage%]]</f>
        <v>0.41879194630872485</v>
      </c>
      <c r="BL148" s="422">
        <f>WWWW[[#This Row],['# people reached by regular dedicated hygiene promotion]]/WWWW[[#This Row],[Total PoP ]]</f>
        <v>0.58120805369127515</v>
      </c>
      <c r="BM14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8" s="421">
        <f>WWWW[[#This Row],['#_of_affected_women_and_girls_receiving_a_sufficient_quantity_of_sanitary_pads]]</f>
        <v>0</v>
      </c>
      <c r="BO148" s="420">
        <f>IF(WWWW[[#This Row],['# People with access to soap]]&gt;WWWW[[#This Row],['# People with access to Sanity Pads]],WWWW[[#This Row],['# People with access to soap]],WWWW[[#This Row],['# People with access to Sanity Pads]])</f>
        <v>0</v>
      </c>
      <c r="BP148" s="419" t="str">
        <f>IF(OR(WWWW[[#This Row],['#of students in school]]="",WWWW[[#This Row],['#of students in school]]=0),"No","Yes")</f>
        <v>No</v>
      </c>
      <c r="BQ148" s="417" t="str">
        <f>VLOOKUP(WWWW[[#This Row],[Village  Name]],SiteDB6[[Site Name]:[Location Type 1]],9,FALSE)</f>
        <v>Village</v>
      </c>
      <c r="BR148" s="417" t="str">
        <f>VLOOKUP(WWWW[[#This Row],[Village  Name]],SiteDB6[[Site Name]:[Type of Accommodation]],10,FALSE)</f>
        <v>Village</v>
      </c>
      <c r="BS148" s="417" t="str">
        <f>VLOOKUP(WWWW[[#This Row],[Village  Name]],SiteDB6[[Site Name]:[Ethnic or GCA/NGCA]],11,FALSE)</f>
        <v>Rakhine</v>
      </c>
      <c r="BT148" s="417">
        <f>VLOOKUP(WWWW[[#This Row],[Village  Name]],SiteDB6[[Site Name]:[Lat]],12,FALSE)</f>
        <v>20.16259956</v>
      </c>
      <c r="BU148" s="417">
        <f>VLOOKUP(WWWW[[#This Row],[Village  Name]],SiteDB6[[Site Name]:[Long]],13,FALSE)</f>
        <v>92.834457400000005</v>
      </c>
      <c r="BV148" s="417">
        <f>VLOOKUP(WWWW[[#This Row],[Village  Name]],SiteDB6[[Site Name]:[Pcode]],3,FALSE)</f>
        <v>196210</v>
      </c>
      <c r="BW148" s="425" t="str">
        <f t="shared" si="5"/>
        <v>Covered</v>
      </c>
      <c r="BX148" s="425"/>
      <c r="BY148" s="33"/>
      <c r="CA148" s="431"/>
      <c r="CB148" s="33"/>
      <c r="CC148" s="36"/>
      <c r="CE148" s="37"/>
      <c r="CN148" s="20"/>
    </row>
    <row r="149" spans="1:92" hidden="1">
      <c r="A149" s="412" t="s">
        <v>2380</v>
      </c>
      <c r="B149" s="412" t="s">
        <v>2308</v>
      </c>
      <c r="C149" s="418" t="s">
        <v>2308</v>
      </c>
      <c r="D149" s="457" t="s">
        <v>40</v>
      </c>
      <c r="E149" s="551" t="s">
        <v>2687</v>
      </c>
      <c r="F149" s="418" t="s">
        <v>297</v>
      </c>
      <c r="G149" s="551" t="str">
        <f>VLOOKUP(WWWW[[#This Row],[Village  Name]],SiteDB6[[Site Name]:[Location Type]],8,FALSE)</f>
        <v>Village</v>
      </c>
      <c r="H149" s="418" t="s">
        <v>423</v>
      </c>
      <c r="I149" s="420">
        <v>758</v>
      </c>
      <c r="J149" s="420">
        <v>5579</v>
      </c>
      <c r="K149" s="426"/>
      <c r="L149" s="427">
        <v>44104</v>
      </c>
      <c r="M149" s="420"/>
      <c r="N149" s="420" t="s">
        <v>2657</v>
      </c>
      <c r="O149" s="420"/>
      <c r="P149" s="420">
        <v>15</v>
      </c>
      <c r="Q149" s="420"/>
      <c r="R149" s="420"/>
      <c r="S149" s="420"/>
      <c r="T149" s="642"/>
      <c r="U149" s="420"/>
      <c r="V149" s="611" t="s">
        <v>132</v>
      </c>
      <c r="W149" s="420"/>
      <c r="X149" s="420"/>
      <c r="Y149" s="420"/>
      <c r="Z149" s="420"/>
      <c r="AA149" s="420"/>
      <c r="AB149" s="642"/>
      <c r="AC149" s="611">
        <v>100</v>
      </c>
      <c r="AD149" s="611">
        <v>265</v>
      </c>
      <c r="AE149" s="611">
        <v>109</v>
      </c>
      <c r="AF149" s="611">
        <v>123</v>
      </c>
      <c r="AG149" s="611"/>
      <c r="AH149" s="611"/>
      <c r="AI149" s="420"/>
      <c r="AJ149" s="420"/>
      <c r="AK149" s="420"/>
      <c r="AL149" s="420"/>
      <c r="AM149" s="642"/>
      <c r="AN149" s="556">
        <v>1</v>
      </c>
      <c r="AO149" s="420"/>
      <c r="AP14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49" s="419">
        <f>WWWW[[#This Row],[%Equitable and continuous access to sufficient quantity of safe drinking water]]*WWWW[[#This Row],[Total PoP ]]</f>
        <v>5579</v>
      </c>
      <c r="AR14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49" s="419">
        <f>WWWW[[#This Row],[% Access to unimproved water points]]*WWWW[[#This Row],[Total PoP ]]</f>
        <v>0</v>
      </c>
      <c r="AT14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4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5579</v>
      </c>
      <c r="AV149" s="419">
        <f>WWWW[[#This Row],[HRP1]]/250</f>
        <v>22.315999999999999</v>
      </c>
      <c r="AW149" s="424">
        <f>1-WWWW[[#This Row],[% Equitable and continuous access to sufficient quantity of domestic water]]</f>
        <v>0</v>
      </c>
      <c r="AX149" s="419">
        <f>WWWW[[#This Row],[%equitable and continuous access to sufficient quantity of safe drinking and domestic water''s GAP]]*WWWW[[#This Row],[Total PoP ]]</f>
        <v>0</v>
      </c>
      <c r="AY149" s="421">
        <f>IF(WWWW[[#This Row],[Total required water points]]-WWWW[[#This Row],['#Water points coverage]]&lt;0,0,WWWW[[#This Row],[Total required water points]]-WWWW[[#This Row],['#Water points coverage]])</f>
        <v>0</v>
      </c>
      <c r="AZ149" s="421">
        <f>ROUND(IF(WWWW[[#This Row],[Total PoP ]]&lt;250,1,WWWW[[#This Row],[Total PoP ]]/250),0)</f>
        <v>22</v>
      </c>
      <c r="BA14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49" s="419">
        <f>WWWW[[#This Row],[% people access to functioning Latrine]]*WWWW[[#This Row],[Total PoP ]]</f>
        <v>0</v>
      </c>
      <c r="BC149" s="421">
        <f>WWWW[[#This Row],['#_of_Functioning_latrines_in_school]]*50</f>
        <v>0</v>
      </c>
      <c r="BD149" s="421">
        <f>ROUND((WWWW[[#This Row],[Total PoP ]]/6),0)</f>
        <v>930</v>
      </c>
      <c r="BE149" s="421">
        <f>IF(WWWW[[#This Row],[Total required Latrines]]-(WWWW[[#This Row],['#_of_sanitary_fly-proof_HH_latrines]])&lt;0,0,WWWW[[#This Row],[Total required Latrines]]-(WWWW[[#This Row],['#_of_sanitary_fly-proof_HH_latrines]]))</f>
        <v>930</v>
      </c>
      <c r="BF149" s="563">
        <f>1-WWWW[[#This Row],[% people access to functioning Latrine]]</f>
        <v>1</v>
      </c>
      <c r="BG14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597</v>
      </c>
      <c r="BH149" s="419">
        <f>IF(WWWW[[#This Row],['#_of_functional_handwashing_facilities_at_HH_level]]*6&gt;WWWW[[#This Row],[Total PoP ]],WWWW[[#This Row],[Total PoP ]],WWWW[[#This Row],['#_of_functional_handwashing_facilities_at_HH_level]]*6)</f>
        <v>0</v>
      </c>
      <c r="BI149" s="421">
        <f>IF(WWWW[[#This Row],['# people reached by regular dedicated hygiene promotion]]&gt;WWWW[[#This Row],['# People received regular supply of hygiene items]],WWWW[[#This Row],['# people reached by regular dedicated hygiene promotion]],WWWW[[#This Row],['# People received regular supply of hygiene items]])</f>
        <v>597</v>
      </c>
      <c r="BJ149" s="424">
        <f>IF(WWWW[[#This Row],[HRP3]]/WWWW[[#This Row],[Total PoP ]]&gt;100%,100%,WWWW[[#This Row],[HRP3]]/WWWW[[#This Row],[Total PoP ]])</f>
        <v>0.10700842444882595</v>
      </c>
      <c r="BK149" s="423">
        <f>1-WWWW[[#This Row],[Hygiene Coverage%]]</f>
        <v>0.89299157555117403</v>
      </c>
      <c r="BL149" s="422">
        <f>WWWW[[#This Row],['# people reached by regular dedicated hygiene promotion]]/WWWW[[#This Row],[Total PoP ]]</f>
        <v>0.10700842444882595</v>
      </c>
      <c r="BM14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49" s="421">
        <f>WWWW[[#This Row],['#_of_affected_women_and_girls_receiving_a_sufficient_quantity_of_sanitary_pads]]</f>
        <v>0</v>
      </c>
      <c r="BO149" s="420">
        <f>IF(WWWW[[#This Row],['# People with access to soap]]&gt;WWWW[[#This Row],['# People with access to Sanity Pads]],WWWW[[#This Row],['# People with access to soap]],WWWW[[#This Row],['# People with access to Sanity Pads]])</f>
        <v>0</v>
      </c>
      <c r="BP149" s="419" t="str">
        <f>IF(OR(WWWW[[#This Row],['#of students in school]]="",WWWW[[#This Row],['#of students in school]]=0),"No","Yes")</f>
        <v>No</v>
      </c>
      <c r="BQ149" s="417" t="str">
        <f>VLOOKUP(WWWW[[#This Row],[Village  Name]],SiteDB6[[Site Name]:[Location Type 1]],9,FALSE)</f>
        <v>Village</v>
      </c>
      <c r="BR149" s="417" t="str">
        <f>VLOOKUP(WWWW[[#This Row],[Village  Name]],SiteDB6[[Site Name]:[Type of Accommodation]],10,FALSE)</f>
        <v>Village</v>
      </c>
      <c r="BS149" s="417" t="str">
        <f>VLOOKUP(WWWW[[#This Row],[Village  Name]],SiteDB6[[Site Name]:[Ethnic or GCA/NGCA]],11,FALSE)</f>
        <v>Muslim</v>
      </c>
      <c r="BT149" s="417">
        <f>VLOOKUP(WWWW[[#This Row],[Village  Name]],SiteDB6[[Site Name]:[Lat]],12,FALSE)</f>
        <v>20.15736008</v>
      </c>
      <c r="BU149" s="417">
        <f>VLOOKUP(WWWW[[#This Row],[Village  Name]],SiteDB6[[Site Name]:[Long]],13,FALSE)</f>
        <v>92.838653559999997</v>
      </c>
      <c r="BV149" s="417">
        <f>VLOOKUP(WWWW[[#This Row],[Village  Name]],SiteDB6[[Site Name]:[Pcode]],3,FALSE)</f>
        <v>196211</v>
      </c>
      <c r="BW149" s="425" t="str">
        <f t="shared" si="5"/>
        <v>Covered</v>
      </c>
      <c r="BX149" s="425"/>
      <c r="BY149" s="33"/>
      <c r="CA149" s="431"/>
      <c r="CB149" s="33"/>
      <c r="CC149" s="36"/>
      <c r="CE149" s="37"/>
      <c r="CN149" s="20"/>
    </row>
    <row r="150" spans="1:92" hidden="1">
      <c r="A150" s="412" t="s">
        <v>2380</v>
      </c>
      <c r="B150" s="612" t="s">
        <v>2308</v>
      </c>
      <c r="C150" s="612" t="s">
        <v>2308</v>
      </c>
      <c r="D150" s="457" t="s">
        <v>2728</v>
      </c>
      <c r="E150" s="551" t="s">
        <v>2687</v>
      </c>
      <c r="F150" s="418" t="s">
        <v>297</v>
      </c>
      <c r="G150" s="551" t="str">
        <f>VLOOKUP(WWWW[[#This Row],[Village  Name]],SiteDB6[[Site Name]:[Location Type]],8,FALSE)</f>
        <v>Village</v>
      </c>
      <c r="H150" s="418" t="s">
        <v>419</v>
      </c>
      <c r="I150" s="420">
        <v>427</v>
      </c>
      <c r="J150" s="420">
        <v>2427</v>
      </c>
      <c r="K150" s="461"/>
      <c r="L150" s="55">
        <v>44104</v>
      </c>
      <c r="M150" s="420"/>
      <c r="N150" s="420" t="s">
        <v>2657</v>
      </c>
      <c r="O150" s="420"/>
      <c r="P150" s="420">
        <v>17</v>
      </c>
      <c r="Q150" s="420"/>
      <c r="R150" s="420"/>
      <c r="S150" s="420"/>
      <c r="T150" s="642"/>
      <c r="U150" s="420"/>
      <c r="V150" s="611" t="s">
        <v>132</v>
      </c>
      <c r="W150" s="420"/>
      <c r="X150" s="420"/>
      <c r="Y150" s="420"/>
      <c r="Z150" s="420"/>
      <c r="AA150" s="420"/>
      <c r="AB150" s="642"/>
      <c r="AC150" s="611">
        <v>100</v>
      </c>
      <c r="AD150" s="611">
        <v>300</v>
      </c>
      <c r="AE150" s="611">
        <v>291</v>
      </c>
      <c r="AF150" s="611">
        <v>330</v>
      </c>
      <c r="AG150" s="611"/>
      <c r="AH150" s="611"/>
      <c r="AI150" s="420"/>
      <c r="AJ150" s="420"/>
      <c r="AK150" s="420"/>
      <c r="AL150" s="420"/>
      <c r="AM150" s="642"/>
      <c r="AN150" s="556">
        <v>0.85</v>
      </c>
      <c r="AO150" s="420"/>
      <c r="AP15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50" s="419">
        <f>WWWW[[#This Row],[%Equitable and continuous access to sufficient quantity of safe drinking water]]*WWWW[[#This Row],[Total PoP ]]</f>
        <v>2427</v>
      </c>
      <c r="AR15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0" s="419">
        <f>WWWW[[#This Row],[% Access to unimproved water points]]*WWWW[[#This Row],[Total PoP ]]</f>
        <v>0</v>
      </c>
      <c r="AT15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5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2427</v>
      </c>
      <c r="AV150" s="419">
        <f>WWWW[[#This Row],[HRP1]]/250</f>
        <v>9.7080000000000002</v>
      </c>
      <c r="AW150" s="424">
        <f>1-WWWW[[#This Row],[% Equitable and continuous access to sufficient quantity of domestic water]]</f>
        <v>0</v>
      </c>
      <c r="AX150" s="419">
        <f>WWWW[[#This Row],[%equitable and continuous access to sufficient quantity of safe drinking and domestic water''s GAP]]*WWWW[[#This Row],[Total PoP ]]</f>
        <v>0</v>
      </c>
      <c r="AY150" s="421">
        <f>IF(WWWW[[#This Row],[Total required water points]]-WWWW[[#This Row],['#Water points coverage]]&lt;0,0,WWWW[[#This Row],[Total required water points]]-WWWW[[#This Row],['#Water points coverage]])</f>
        <v>0.29199999999999982</v>
      </c>
      <c r="AZ150" s="421">
        <f>ROUND(IF(WWWW[[#This Row],[Total PoP ]]&lt;250,1,WWWW[[#This Row],[Total PoP ]]/250),0)</f>
        <v>10</v>
      </c>
      <c r="BA15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0" s="419">
        <f>WWWW[[#This Row],[% people access to functioning Latrine]]*WWWW[[#This Row],[Total PoP ]]</f>
        <v>0</v>
      </c>
      <c r="BC150" s="421">
        <f>WWWW[[#This Row],['#_of_Functioning_latrines_in_school]]*50</f>
        <v>0</v>
      </c>
      <c r="BD150" s="421">
        <f>ROUND((WWWW[[#This Row],[Total PoP ]]/6),0)</f>
        <v>405</v>
      </c>
      <c r="BE150" s="421">
        <f>IF(WWWW[[#This Row],[Total required Latrines]]-(WWWW[[#This Row],['#_of_sanitary_fly-proof_HH_latrines]])&lt;0,0,WWWW[[#This Row],[Total required Latrines]]-(WWWW[[#This Row],['#_of_sanitary_fly-proof_HH_latrines]]))</f>
        <v>405</v>
      </c>
      <c r="BF150" s="563">
        <f>1-WWWW[[#This Row],[% people access to functioning Latrine]]</f>
        <v>1</v>
      </c>
      <c r="BG15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1021</v>
      </c>
      <c r="BH150" s="419">
        <f>IF(WWWW[[#This Row],['#_of_functional_handwashing_facilities_at_HH_level]]*6&gt;WWWW[[#This Row],[Total PoP ]],WWWW[[#This Row],[Total PoP ]],WWWW[[#This Row],['#_of_functional_handwashing_facilities_at_HH_level]]*6)</f>
        <v>0</v>
      </c>
      <c r="BI150" s="421">
        <f>IF(WWWW[[#This Row],['# people reached by regular dedicated hygiene promotion]]&gt;WWWW[[#This Row],['# People received regular supply of hygiene items]],WWWW[[#This Row],['# people reached by regular dedicated hygiene promotion]],WWWW[[#This Row],['# People received regular supply of hygiene items]])</f>
        <v>1021</v>
      </c>
      <c r="BJ150" s="424">
        <f>IF(WWWW[[#This Row],[HRP3]]/WWWW[[#This Row],[Total PoP ]]&gt;100%,100%,WWWW[[#This Row],[HRP3]]/WWWW[[#This Row],[Total PoP ]])</f>
        <v>0.42068397198187063</v>
      </c>
      <c r="BK150" s="423">
        <f>1-WWWW[[#This Row],[Hygiene Coverage%]]</f>
        <v>0.57931602801812931</v>
      </c>
      <c r="BL150" s="422">
        <f>WWWW[[#This Row],['# people reached by regular dedicated hygiene promotion]]/WWWW[[#This Row],[Total PoP ]]</f>
        <v>0.42068397198187063</v>
      </c>
      <c r="BM15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0" s="421">
        <f>WWWW[[#This Row],['#_of_affected_women_and_girls_receiving_a_sufficient_quantity_of_sanitary_pads]]</f>
        <v>0</v>
      </c>
      <c r="BO150" s="420">
        <f>IF(WWWW[[#This Row],['# People with access to soap]]&gt;WWWW[[#This Row],['# People with access to Sanity Pads]],WWWW[[#This Row],['# People with access to soap]],WWWW[[#This Row],['# People with access to Sanity Pads]])</f>
        <v>0</v>
      </c>
      <c r="BP150" s="419" t="str">
        <f>IF(OR(WWWW[[#This Row],['#of students in school]]="",WWWW[[#This Row],['#of students in school]]=0),"No","Yes")</f>
        <v>No</v>
      </c>
      <c r="BQ150" s="417" t="str">
        <f>VLOOKUP(WWWW[[#This Row],[Village  Name]],SiteDB6[[Site Name]:[Location Type 1]],9,FALSE)</f>
        <v>Village</v>
      </c>
      <c r="BR150" s="417" t="str">
        <f>VLOOKUP(WWWW[[#This Row],[Village  Name]],SiteDB6[[Site Name]:[Type of Accommodation]],10,FALSE)</f>
        <v>Village</v>
      </c>
      <c r="BS150" s="417" t="str">
        <f>VLOOKUP(WWWW[[#This Row],[Village  Name]],SiteDB6[[Site Name]:[Ethnic or GCA/NGCA]],11,FALSE)</f>
        <v>Muslim</v>
      </c>
      <c r="BT150" s="417">
        <f>VLOOKUP(WWWW[[#This Row],[Village  Name]],SiteDB6[[Site Name]:[Lat]],12,FALSE)</f>
        <v>20.147863431600001</v>
      </c>
      <c r="BU150" s="417">
        <f>VLOOKUP(WWWW[[#This Row],[Village  Name]],SiteDB6[[Site Name]:[Long]],13,FALSE)</f>
        <v>92.846768572000002</v>
      </c>
      <c r="BV150" s="417">
        <f>VLOOKUP(WWWW[[#This Row],[Village  Name]],SiteDB6[[Site Name]:[Pcode]],3,FALSE)</f>
        <v>196209</v>
      </c>
      <c r="BW150" s="425" t="str">
        <f t="shared" si="5"/>
        <v>Covered</v>
      </c>
      <c r="BX150" s="425"/>
      <c r="BY150" s="33"/>
      <c r="CA150" s="431"/>
      <c r="CB150" s="33"/>
      <c r="CC150" s="36"/>
      <c r="CE150" s="37"/>
      <c r="CN150" s="20"/>
    </row>
    <row r="151" spans="1:92" hidden="1">
      <c r="A151" s="412" t="s">
        <v>2380</v>
      </c>
      <c r="B151" s="412" t="s">
        <v>316</v>
      </c>
      <c r="C151" s="418" t="s">
        <v>316</v>
      </c>
      <c r="D151" s="418" t="s">
        <v>329</v>
      </c>
      <c r="E151" s="551" t="s">
        <v>2687</v>
      </c>
      <c r="F151" s="418" t="s">
        <v>297</v>
      </c>
      <c r="G151" s="551" t="str">
        <f>VLOOKUP(WWWW[[#This Row],[Village  Name]],SiteDB6[[Site Name]:[Location Type]],8,FALSE)</f>
        <v>Village</v>
      </c>
      <c r="H151" s="418" t="s">
        <v>2250</v>
      </c>
      <c r="I151" s="420">
        <v>452</v>
      </c>
      <c r="J151" s="420">
        <v>1901</v>
      </c>
      <c r="K151" s="426">
        <v>42736</v>
      </c>
      <c r="L151" s="427">
        <v>44551</v>
      </c>
      <c r="M151" s="420"/>
      <c r="N151" s="420"/>
      <c r="O151" s="420"/>
      <c r="P151" s="420"/>
      <c r="Q151" s="420"/>
      <c r="R151" s="420"/>
      <c r="S151" s="420"/>
      <c r="T151" s="642"/>
      <c r="U151" s="420"/>
      <c r="V151" s="611" t="s">
        <v>132</v>
      </c>
      <c r="W151" s="420"/>
      <c r="X151" s="420"/>
      <c r="Y151" s="420"/>
      <c r="Z151" s="420"/>
      <c r="AA151" s="420"/>
      <c r="AB151" s="642"/>
      <c r="AC151" s="420"/>
      <c r="AD151" s="420"/>
      <c r="AE151" s="420"/>
      <c r="AF151" s="420"/>
      <c r="AG151" s="420"/>
      <c r="AH151" s="420"/>
      <c r="AI151" s="420"/>
      <c r="AJ151" s="420"/>
      <c r="AK151" s="420"/>
      <c r="AL151" s="420"/>
      <c r="AM151" s="642"/>
      <c r="AN151" s="420"/>
      <c r="AO151" s="420"/>
      <c r="AP15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51" s="419">
        <f>WWWW[[#This Row],[%Equitable and continuous access to sufficient quantity of safe drinking water]]*WWWW[[#This Row],[Total PoP ]]</f>
        <v>0</v>
      </c>
      <c r="AR15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1" s="419">
        <f>WWWW[[#This Row],[% Access to unimproved water points]]*WWWW[[#This Row],[Total PoP ]]</f>
        <v>0</v>
      </c>
      <c r="AT15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5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51" s="419">
        <f>WWWW[[#This Row],[HRP1]]/250</f>
        <v>0</v>
      </c>
      <c r="AW151" s="424">
        <f>1-WWWW[[#This Row],[% Equitable and continuous access to sufficient quantity of domestic water]]</f>
        <v>1</v>
      </c>
      <c r="AX151" s="419">
        <f>WWWW[[#This Row],[%equitable and continuous access to sufficient quantity of safe drinking and domestic water''s GAP]]*WWWW[[#This Row],[Total PoP ]]</f>
        <v>1901</v>
      </c>
      <c r="AY151" s="421">
        <f>IF(WWWW[[#This Row],[Total required water points]]-WWWW[[#This Row],['#Water points coverage]]&lt;0,0,WWWW[[#This Row],[Total required water points]]-WWWW[[#This Row],['#Water points coverage]])</f>
        <v>8</v>
      </c>
      <c r="AZ151" s="421">
        <f>ROUND(IF(WWWW[[#This Row],[Total PoP ]]&lt;250,1,WWWW[[#This Row],[Total PoP ]]/250),0)</f>
        <v>8</v>
      </c>
      <c r="BA15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1" s="419">
        <f>WWWW[[#This Row],[% people access to functioning Latrine]]*WWWW[[#This Row],[Total PoP ]]</f>
        <v>0</v>
      </c>
      <c r="BC151" s="421">
        <f>WWWW[[#This Row],['#_of_Functioning_latrines_in_school]]*50</f>
        <v>0</v>
      </c>
      <c r="BD151" s="421">
        <f>ROUND((WWWW[[#This Row],[Total PoP ]]/6),0)</f>
        <v>317</v>
      </c>
      <c r="BE151" s="421">
        <f>IF(WWWW[[#This Row],[Total required Latrines]]-(WWWW[[#This Row],['#_of_sanitary_fly-proof_HH_latrines]])&lt;0,0,WWWW[[#This Row],[Total required Latrines]]-(WWWW[[#This Row],['#_of_sanitary_fly-proof_HH_latrines]]))</f>
        <v>317</v>
      </c>
      <c r="BF151" s="563">
        <f>1-WWWW[[#This Row],[% people access to functioning Latrine]]</f>
        <v>1</v>
      </c>
      <c r="BG15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51" s="419">
        <f>IF(WWWW[[#This Row],['#_of_functional_handwashing_facilities_at_HH_level]]*6&gt;WWWW[[#This Row],[Total PoP ]],WWWW[[#This Row],[Total PoP ]],WWWW[[#This Row],['#_of_functional_handwashing_facilities_at_HH_level]]*6)</f>
        <v>0</v>
      </c>
      <c r="BI151" s="421">
        <f>IF(WWWW[[#This Row],['# people reached by regular dedicated hygiene promotion]]&gt;WWWW[[#This Row],['# People received regular supply of hygiene items]],WWWW[[#This Row],['# people reached by regular dedicated hygiene promotion]],WWWW[[#This Row],['# People received regular supply of hygiene items]])</f>
        <v>0</v>
      </c>
      <c r="BJ151" s="424">
        <f>IF(WWWW[[#This Row],[HRP3]]/WWWW[[#This Row],[Total PoP ]]&gt;100%,100%,WWWW[[#This Row],[HRP3]]/WWWW[[#This Row],[Total PoP ]])</f>
        <v>0</v>
      </c>
      <c r="BK151" s="423">
        <f>1-WWWW[[#This Row],[Hygiene Coverage%]]</f>
        <v>1</v>
      </c>
      <c r="BL151" s="422">
        <f>WWWW[[#This Row],['# people reached by regular dedicated hygiene promotion]]/WWWW[[#This Row],[Total PoP ]]</f>
        <v>0</v>
      </c>
      <c r="BM15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1" s="421">
        <f>WWWW[[#This Row],['#_of_affected_women_and_girls_receiving_a_sufficient_quantity_of_sanitary_pads]]</f>
        <v>0</v>
      </c>
      <c r="BO151" s="420">
        <f>IF(WWWW[[#This Row],['# People with access to soap]]&gt;WWWW[[#This Row],['# People with access to Sanity Pads]],WWWW[[#This Row],['# People with access to soap]],WWWW[[#This Row],['# People with access to Sanity Pads]])</f>
        <v>0</v>
      </c>
      <c r="BP151" s="419" t="str">
        <f>IF(OR(WWWW[[#This Row],['#of students in school]]="",WWWW[[#This Row],['#of students in school]]=0),"No","Yes")</f>
        <v>No</v>
      </c>
      <c r="BQ151" s="417" t="str">
        <f>VLOOKUP(WWWW[[#This Row],[Village  Name]],SiteDB6[[Site Name]:[Location Type 1]],9,FALSE)</f>
        <v>Village</v>
      </c>
      <c r="BR151" s="417" t="str">
        <f>VLOOKUP(WWWW[[#This Row],[Village  Name]],SiteDB6[[Site Name]:[Type of Accommodation]],10,FALSE)</f>
        <v>Village</v>
      </c>
      <c r="BS151" s="417">
        <f>VLOOKUP(WWWW[[#This Row],[Village  Name]],SiteDB6[[Site Name]:[Ethnic or GCA/NGCA]],11,FALSE)</f>
        <v>0</v>
      </c>
      <c r="BT151" s="417">
        <f>VLOOKUP(WWWW[[#This Row],[Village  Name]],SiteDB6[[Site Name]:[Lat]],12,FALSE)</f>
        <v>20.760820389999999</v>
      </c>
      <c r="BU151" s="417">
        <f>VLOOKUP(WWWW[[#This Row],[Village  Name]],SiteDB6[[Site Name]:[Long]],13,FALSE)</f>
        <v>92.960083010000005</v>
      </c>
      <c r="BV151" s="417">
        <f>VLOOKUP(WWWW[[#This Row],[Village  Name]],SiteDB6[[Site Name]:[Pcode]],3,FALSE)</f>
        <v>196893</v>
      </c>
      <c r="BW151" s="425" t="str">
        <f t="shared" si="5"/>
        <v>Covered</v>
      </c>
      <c r="BX151" s="425"/>
      <c r="BY151" s="33"/>
      <c r="CA151" s="431"/>
      <c r="CB151" s="33"/>
      <c r="CC151" s="36"/>
      <c r="CE151" s="37"/>
      <c r="CN151" s="20"/>
    </row>
    <row r="152" spans="1:92" hidden="1">
      <c r="A152" s="412" t="s">
        <v>2380</v>
      </c>
      <c r="B152" s="412" t="s">
        <v>2307</v>
      </c>
      <c r="C152" s="418" t="s">
        <v>2307</v>
      </c>
      <c r="D152" s="418" t="s">
        <v>40</v>
      </c>
      <c r="E152" s="551" t="s">
        <v>2687</v>
      </c>
      <c r="F152" s="418" t="s">
        <v>297</v>
      </c>
      <c r="G152" s="551" t="str">
        <f>VLOOKUP(WWWW[[#This Row],[Village  Name]],SiteDB6[[Site Name]:[Location Type]],8,FALSE)</f>
        <v>Village</v>
      </c>
      <c r="H152" s="418" t="s">
        <v>436</v>
      </c>
      <c r="I152" s="420">
        <v>17</v>
      </c>
      <c r="J152" s="420">
        <v>74</v>
      </c>
      <c r="K152" s="426"/>
      <c r="L152" s="427">
        <v>44104</v>
      </c>
      <c r="M152" s="420"/>
      <c r="N152" s="420" t="s">
        <v>2657</v>
      </c>
      <c r="O152" s="420"/>
      <c r="P152" s="420">
        <v>70</v>
      </c>
      <c r="Q152" s="420"/>
      <c r="R152" s="420"/>
      <c r="S152" s="420"/>
      <c r="T152" s="642"/>
      <c r="U152" s="420"/>
      <c r="V152" s="611" t="s">
        <v>132</v>
      </c>
      <c r="W152" s="420"/>
      <c r="X152" s="420"/>
      <c r="Y152" s="420"/>
      <c r="Z152" s="420"/>
      <c r="AA152" s="420"/>
      <c r="AB152" s="642"/>
      <c r="AC152" s="420"/>
      <c r="AD152" s="420"/>
      <c r="AE152" s="420"/>
      <c r="AF152" s="420"/>
      <c r="AG152" s="420"/>
      <c r="AH152" s="420"/>
      <c r="AI152" s="420"/>
      <c r="AJ152" s="420"/>
      <c r="AK152" s="420"/>
      <c r="AL152" s="420"/>
      <c r="AM152" s="642"/>
      <c r="AN152" s="420"/>
      <c r="AO152" s="420"/>
      <c r="AP15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52" s="419">
        <f>WWWW[[#This Row],[%Equitable and continuous access to sufficient quantity of safe drinking water]]*WWWW[[#This Row],[Total PoP ]]</f>
        <v>74</v>
      </c>
      <c r="AR15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2" s="419">
        <f>WWWW[[#This Row],[% Access to unimproved water points]]*WWWW[[#This Row],[Total PoP ]]</f>
        <v>0</v>
      </c>
      <c r="AT15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5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AV152" s="419">
        <f>WWWW[[#This Row],[HRP1]]/250</f>
        <v>0.29599999999999999</v>
      </c>
      <c r="AW152" s="424">
        <f>1-WWWW[[#This Row],[% Equitable and continuous access to sufficient quantity of domestic water]]</f>
        <v>0</v>
      </c>
      <c r="AX152" s="419">
        <f>WWWW[[#This Row],[%equitable and continuous access to sufficient quantity of safe drinking and domestic water''s GAP]]*WWWW[[#This Row],[Total PoP ]]</f>
        <v>0</v>
      </c>
      <c r="AY152" s="421">
        <f>IF(WWWW[[#This Row],[Total required water points]]-WWWW[[#This Row],['#Water points coverage]]&lt;0,0,WWWW[[#This Row],[Total required water points]]-WWWW[[#This Row],['#Water points coverage]])</f>
        <v>0.70399999999999996</v>
      </c>
      <c r="AZ152" s="421">
        <f>ROUND(IF(WWWW[[#This Row],[Total PoP ]]&lt;250,1,WWWW[[#This Row],[Total PoP ]]/250),0)</f>
        <v>1</v>
      </c>
      <c r="BA15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2" s="419">
        <f>WWWW[[#This Row],[% people access to functioning Latrine]]*WWWW[[#This Row],[Total PoP ]]</f>
        <v>0</v>
      </c>
      <c r="BC152" s="421">
        <f>WWWW[[#This Row],['#_of_Functioning_latrines_in_school]]*50</f>
        <v>0</v>
      </c>
      <c r="BD152" s="421">
        <f>ROUND((WWWW[[#This Row],[Total PoP ]]/6),0)</f>
        <v>12</v>
      </c>
      <c r="BE152" s="421">
        <f>IF(WWWW[[#This Row],[Total required Latrines]]-(WWWW[[#This Row],['#_of_sanitary_fly-proof_HH_latrines]])&lt;0,0,WWWW[[#This Row],[Total required Latrines]]-(WWWW[[#This Row],['#_of_sanitary_fly-proof_HH_latrines]]))</f>
        <v>12</v>
      </c>
      <c r="BF152" s="563">
        <f>1-WWWW[[#This Row],[% people access to functioning Latrine]]</f>
        <v>1</v>
      </c>
      <c r="BG15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52" s="419">
        <f>IF(WWWW[[#This Row],['#_of_functional_handwashing_facilities_at_HH_level]]*6&gt;WWWW[[#This Row],[Total PoP ]],WWWW[[#This Row],[Total PoP ]],WWWW[[#This Row],['#_of_functional_handwashing_facilities_at_HH_level]]*6)</f>
        <v>0</v>
      </c>
      <c r="BI152" s="421">
        <f>IF(WWWW[[#This Row],['# people reached by regular dedicated hygiene promotion]]&gt;WWWW[[#This Row],['# People received regular supply of hygiene items]],WWWW[[#This Row],['# people reached by regular dedicated hygiene promotion]],WWWW[[#This Row],['# People received regular supply of hygiene items]])</f>
        <v>0</v>
      </c>
      <c r="BJ152" s="424">
        <f>IF(WWWW[[#This Row],[HRP3]]/WWWW[[#This Row],[Total PoP ]]&gt;100%,100%,WWWW[[#This Row],[HRP3]]/WWWW[[#This Row],[Total PoP ]])</f>
        <v>0</v>
      </c>
      <c r="BK152" s="423">
        <f>1-WWWW[[#This Row],[Hygiene Coverage%]]</f>
        <v>1</v>
      </c>
      <c r="BL152" s="422">
        <f>WWWW[[#This Row],['# people reached by regular dedicated hygiene promotion]]/WWWW[[#This Row],[Total PoP ]]</f>
        <v>0</v>
      </c>
      <c r="BM15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2" s="421">
        <f>WWWW[[#This Row],['#_of_affected_women_and_girls_receiving_a_sufficient_quantity_of_sanitary_pads]]</f>
        <v>0</v>
      </c>
      <c r="BO152" s="420">
        <f>IF(WWWW[[#This Row],['# People with access to soap]]&gt;WWWW[[#This Row],['# People with access to Sanity Pads]],WWWW[[#This Row],['# People with access to soap]],WWWW[[#This Row],['# People with access to Sanity Pads]])</f>
        <v>0</v>
      </c>
      <c r="BP152" s="419" t="str">
        <f>IF(OR(WWWW[[#This Row],['#of students in school]]="",WWWW[[#This Row],['#of students in school]]=0),"No","Yes")</f>
        <v>No</v>
      </c>
      <c r="BQ152" s="417" t="str">
        <f>VLOOKUP(WWWW[[#This Row],[Village  Name]],SiteDB6[[Site Name]:[Location Type 1]],9,FALSE)</f>
        <v>Village</v>
      </c>
      <c r="BR152" s="417" t="str">
        <f>VLOOKUP(WWWW[[#This Row],[Village  Name]],SiteDB6[[Site Name]:[Type of Accommodation]],10,FALSE)</f>
        <v>Village</v>
      </c>
      <c r="BS152" s="417" t="str">
        <f>VLOOKUP(WWWW[[#This Row],[Village  Name]],SiteDB6[[Site Name]:[Ethnic or GCA/NGCA]],11,FALSE)</f>
        <v>Muslim</v>
      </c>
      <c r="BT152" s="417">
        <f>VLOOKUP(WWWW[[#This Row],[Village  Name]],SiteDB6[[Site Name]:[Lat]],12,FALSE)</f>
        <v>20.193460460000001</v>
      </c>
      <c r="BU152" s="417">
        <f>VLOOKUP(WWWW[[#This Row],[Village  Name]],SiteDB6[[Site Name]:[Long]],13,FALSE)</f>
        <v>92.867782590000004</v>
      </c>
      <c r="BV152" s="417">
        <f>VLOOKUP(WWWW[[#This Row],[Village  Name]],SiteDB6[[Site Name]:[Pcode]],3,FALSE)</f>
        <v>196147</v>
      </c>
      <c r="BW152" s="425" t="str">
        <f t="shared" si="5"/>
        <v>Covered</v>
      </c>
      <c r="BX152" s="425"/>
      <c r="BY152" s="33"/>
      <c r="CA152" s="431"/>
      <c r="CB152" s="33"/>
      <c r="CC152" s="36"/>
      <c r="CE152" s="37"/>
      <c r="CN152" s="20"/>
    </row>
    <row r="153" spans="1:92" hidden="1">
      <c r="A153" s="412" t="s">
        <v>2380</v>
      </c>
      <c r="B153" s="412" t="s">
        <v>400</v>
      </c>
      <c r="C153" s="418" t="s">
        <v>400</v>
      </c>
      <c r="D153" s="418" t="s">
        <v>233</v>
      </c>
      <c r="E153" s="551" t="s">
        <v>2687</v>
      </c>
      <c r="F153" s="418" t="s">
        <v>401</v>
      </c>
      <c r="G153" s="551" t="str">
        <f>VLOOKUP(WWWW[[#This Row],[Village  Name]],SiteDB6[[Site Name]:[Location Type]],8,FALSE)</f>
        <v>Village</v>
      </c>
      <c r="H153" s="418" t="s">
        <v>403</v>
      </c>
      <c r="I153" s="420">
        <v>40</v>
      </c>
      <c r="J153" s="420">
        <v>217</v>
      </c>
      <c r="K153" s="461">
        <v>43530</v>
      </c>
      <c r="L153" s="55">
        <v>43896</v>
      </c>
      <c r="M153" s="420"/>
      <c r="N153" s="420"/>
      <c r="O153" s="420"/>
      <c r="P153" s="420"/>
      <c r="Q153" s="420"/>
      <c r="R153" s="420"/>
      <c r="S153" s="420"/>
      <c r="T153" s="642"/>
      <c r="U153" s="420">
        <v>40</v>
      </c>
      <c r="V153" s="611" t="s">
        <v>132</v>
      </c>
      <c r="W153" s="420"/>
      <c r="X153" s="420"/>
      <c r="Y153" s="420"/>
      <c r="Z153" s="420"/>
      <c r="AA153" s="420"/>
      <c r="AB153" s="642"/>
      <c r="AC153" s="611">
        <v>66</v>
      </c>
      <c r="AD153" s="611">
        <v>454</v>
      </c>
      <c r="AE153" s="611">
        <v>143</v>
      </c>
      <c r="AF153" s="611">
        <v>234</v>
      </c>
      <c r="AG153" s="420"/>
      <c r="AH153" s="420"/>
      <c r="AI153" s="420">
        <v>40</v>
      </c>
      <c r="AJ153" s="420"/>
      <c r="AK153" s="420"/>
      <c r="AL153" s="420"/>
      <c r="AM153" s="642"/>
      <c r="AN153" s="422">
        <v>1</v>
      </c>
      <c r="AO153" s="422">
        <v>1</v>
      </c>
      <c r="AP15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53" s="419">
        <f>WWWW[[#This Row],[%Equitable and continuous access to sufficient quantity of safe drinking water]]*WWWW[[#This Row],[Total PoP ]]</f>
        <v>0</v>
      </c>
      <c r="AR15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3" s="419">
        <f>WWWW[[#This Row],[% Access to unimproved water points]]*WWWW[[#This Row],[Total PoP ]]</f>
        <v>0</v>
      </c>
      <c r="AT15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5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53" s="419">
        <f>WWWW[[#This Row],[HRP1]]/250</f>
        <v>0</v>
      </c>
      <c r="AW153" s="424">
        <f>1-WWWW[[#This Row],[% Equitable and continuous access to sufficient quantity of domestic water]]</f>
        <v>1</v>
      </c>
      <c r="AX153" s="419">
        <f>WWWW[[#This Row],[%equitable and continuous access to sufficient quantity of safe drinking and domestic water''s GAP]]*WWWW[[#This Row],[Total PoP ]]</f>
        <v>217</v>
      </c>
      <c r="AY153" s="421">
        <f>IF(WWWW[[#This Row],[Total required water points]]-WWWW[[#This Row],['#Water points coverage]]&lt;0,0,WWWW[[#This Row],[Total required water points]]-WWWW[[#This Row],['#Water points coverage]])</f>
        <v>1</v>
      </c>
      <c r="AZ153" s="421">
        <f>ROUND(IF(WWWW[[#This Row],[Total PoP ]]&lt;250,1,WWWW[[#This Row],[Total PoP ]]/250),0)</f>
        <v>1</v>
      </c>
      <c r="BA15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153" s="419">
        <f>WWWW[[#This Row],[% people access to functioning Latrine]]*WWWW[[#This Row],[Total PoP ]]</f>
        <v>217</v>
      </c>
      <c r="BC153" s="421">
        <f>WWWW[[#This Row],['#_of_Functioning_latrines_in_school]]*50</f>
        <v>0</v>
      </c>
      <c r="BD153" s="421">
        <f>ROUND((WWWW[[#This Row],[Total PoP ]]/6),0)</f>
        <v>36</v>
      </c>
      <c r="BE153" s="421">
        <f>IF(WWWW[[#This Row],[Total required Latrines]]-(WWWW[[#This Row],['#_of_sanitary_fly-proof_HH_latrines]])&lt;0,0,WWWW[[#This Row],[Total required Latrines]]-(WWWW[[#This Row],['#_of_sanitary_fly-proof_HH_latrines]]))</f>
        <v>0</v>
      </c>
      <c r="BF153" s="563">
        <f>1-WWWW[[#This Row],[% people access to functioning Latrine]]</f>
        <v>0</v>
      </c>
      <c r="BG15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H153" s="419">
        <f>IF(WWWW[[#This Row],['#_of_functional_handwashing_facilities_at_HH_level]]*6&gt;WWWW[[#This Row],[Total PoP ]],WWWW[[#This Row],[Total PoP ]],WWWW[[#This Row],['#_of_functional_handwashing_facilities_at_HH_level]]*6)</f>
        <v>217</v>
      </c>
      <c r="BI153" s="421">
        <f>IF(WWWW[[#This Row],['# people reached by regular dedicated hygiene promotion]]&gt;WWWW[[#This Row],['# People received regular supply of hygiene items]],WWWW[[#This Row],['# people reached by regular dedicated hygiene promotion]],WWWW[[#This Row],['# People received regular supply of hygiene items]])</f>
        <v>217</v>
      </c>
      <c r="BJ153" s="424">
        <f>IF(WWWW[[#This Row],[HRP3]]/WWWW[[#This Row],[Total PoP ]]&gt;100%,100%,WWWW[[#This Row],[HRP3]]/WWWW[[#This Row],[Total PoP ]])</f>
        <v>1</v>
      </c>
      <c r="BK153" s="423">
        <f>1-WWWW[[#This Row],[Hygiene Coverage%]]</f>
        <v>0</v>
      </c>
      <c r="BL153" s="422">
        <f>WWWW[[#This Row],['# people reached by regular dedicated hygiene promotion]]/WWWW[[#This Row],[Total PoP ]]</f>
        <v>1</v>
      </c>
      <c r="BM15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3" s="421">
        <f>WWWW[[#This Row],['#_of_affected_women_and_girls_receiving_a_sufficient_quantity_of_sanitary_pads]]</f>
        <v>0</v>
      </c>
      <c r="BO153" s="420">
        <f>IF(WWWW[[#This Row],['# People with access to soap]]&gt;WWWW[[#This Row],['# People with access to Sanity Pads]],WWWW[[#This Row],['# People with access to soap]],WWWW[[#This Row],['# People with access to Sanity Pads]])</f>
        <v>0</v>
      </c>
      <c r="BP153" s="419" t="str">
        <f>IF(OR(WWWW[[#This Row],['#of students in school]]="",WWWW[[#This Row],['#of students in school]]=0),"No","Yes")</f>
        <v>No</v>
      </c>
      <c r="BQ153" s="417" t="str">
        <f>VLOOKUP(WWWW[[#This Row],[Village  Name]],SiteDB6[[Site Name]:[Location Type 1]],9,FALSE)</f>
        <v>Village</v>
      </c>
      <c r="BR153" s="417" t="str">
        <f>VLOOKUP(WWWW[[#This Row],[Village  Name]],SiteDB6[[Site Name]:[Type of Accommodation]],10,FALSE)</f>
        <v>Relocated</v>
      </c>
      <c r="BS153" s="417" t="str">
        <f>VLOOKUP(WWWW[[#This Row],[Village  Name]],SiteDB6[[Site Name]:[Ethnic or GCA/NGCA]],11,FALSE)</f>
        <v>Rakhine</v>
      </c>
      <c r="BT153" s="417">
        <f>VLOOKUP(WWWW[[#This Row],[Village  Name]],SiteDB6[[Site Name]:[Lat]],12,FALSE)</f>
        <v>20.041981</v>
      </c>
      <c r="BU153" s="417">
        <f>VLOOKUP(WWWW[[#This Row],[Village  Name]],SiteDB6[[Site Name]:[Long]],13,FALSE)</f>
        <v>93.373951000000005</v>
      </c>
      <c r="BV153" s="417" t="str">
        <f>VLOOKUP(WWWW[[#This Row],[Village  Name]],SiteDB6[[Site Name]:[Pcode]],3,FALSE)</f>
        <v>MMR012CMP013</v>
      </c>
      <c r="BW153" s="425" t="str">
        <f>IF(C153="none","Notcovered","Covered")</f>
        <v>Covered</v>
      </c>
      <c r="BX153" s="425"/>
      <c r="BY153" s="33"/>
      <c r="CA153" s="431"/>
      <c r="CB153" s="33"/>
      <c r="CC153" s="36"/>
      <c r="CE153" s="37"/>
      <c r="CN153" s="20"/>
    </row>
    <row r="154" spans="1:92" hidden="1">
      <c r="A154" s="412" t="s">
        <v>2380</v>
      </c>
      <c r="B154" s="412" t="s">
        <v>268</v>
      </c>
      <c r="C154" s="418" t="s">
        <v>268</v>
      </c>
      <c r="D154" s="418" t="s">
        <v>2293</v>
      </c>
      <c r="E154" s="551" t="s">
        <v>2687</v>
      </c>
      <c r="F154" s="418" t="s">
        <v>404</v>
      </c>
      <c r="G154" s="551" t="str">
        <f>VLOOKUP(WWWW[[#This Row],[Village  Name]],SiteDB6[[Site Name]:[Location Type]],8,FALSE)</f>
        <v>Village</v>
      </c>
      <c r="H154" s="418" t="s">
        <v>413</v>
      </c>
      <c r="I154" s="420">
        <v>400</v>
      </c>
      <c r="J154" s="420">
        <v>2050</v>
      </c>
      <c r="K154" s="426" t="s">
        <v>2655</v>
      </c>
      <c r="L154" s="427" t="s">
        <v>2656</v>
      </c>
      <c r="M154" s="420"/>
      <c r="N154" s="420" t="s">
        <v>2657</v>
      </c>
      <c r="O154" s="420"/>
      <c r="P154" s="420"/>
      <c r="Q154" s="420"/>
      <c r="R154" s="420"/>
      <c r="S154" s="420"/>
      <c r="T154" s="642"/>
      <c r="U154" s="420"/>
      <c r="V154" s="611" t="s">
        <v>132</v>
      </c>
      <c r="W154" s="420"/>
      <c r="X154" s="420"/>
      <c r="Y154" s="420"/>
      <c r="Z154" s="420"/>
      <c r="AA154" s="420"/>
      <c r="AB154" s="642"/>
      <c r="AC154" s="420">
        <v>30</v>
      </c>
      <c r="AD154" s="420">
        <v>28</v>
      </c>
      <c r="AE154" s="420">
        <v>30</v>
      </c>
      <c r="AF154" s="420">
        <v>28</v>
      </c>
      <c r="AG154" s="420">
        <v>130</v>
      </c>
      <c r="AH154" s="420">
        <v>11</v>
      </c>
      <c r="AI154" s="420"/>
      <c r="AJ154" s="420"/>
      <c r="AK154" s="420"/>
      <c r="AL154" s="420"/>
      <c r="AM154" s="642"/>
      <c r="AN154" s="420"/>
      <c r="AO154" s="420"/>
      <c r="AP15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54" s="419">
        <f>WWWW[[#This Row],[%Equitable and continuous access to sufficient quantity of safe drinking water]]*WWWW[[#This Row],[Total PoP ]]</f>
        <v>0</v>
      </c>
      <c r="AR15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4" s="419">
        <f>WWWW[[#This Row],[% Access to unimproved water points]]*WWWW[[#This Row],[Total PoP ]]</f>
        <v>0</v>
      </c>
      <c r="AT15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5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54" s="419">
        <f>WWWW[[#This Row],[HRP1]]/250</f>
        <v>0</v>
      </c>
      <c r="AW154" s="424">
        <f>1-WWWW[[#This Row],[% Equitable and continuous access to sufficient quantity of domestic water]]</f>
        <v>1</v>
      </c>
      <c r="AX154" s="419">
        <f>WWWW[[#This Row],[%equitable and continuous access to sufficient quantity of safe drinking and domestic water''s GAP]]*WWWW[[#This Row],[Total PoP ]]</f>
        <v>2050</v>
      </c>
      <c r="AY154" s="421">
        <f>IF(WWWW[[#This Row],[Total required water points]]-WWWW[[#This Row],['#Water points coverage]]&lt;0,0,WWWW[[#This Row],[Total required water points]]-WWWW[[#This Row],['#Water points coverage]])</f>
        <v>8</v>
      </c>
      <c r="AZ154" s="421">
        <f>ROUND(IF(WWWW[[#This Row],[Total PoP ]]&lt;250,1,WWWW[[#This Row],[Total PoP ]]/250),0)</f>
        <v>8</v>
      </c>
      <c r="BA15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4" s="419">
        <f>WWWW[[#This Row],[% people access to functioning Latrine]]*WWWW[[#This Row],[Total PoP ]]</f>
        <v>0</v>
      </c>
      <c r="BC154" s="421">
        <f>WWWW[[#This Row],['#_of_Functioning_latrines_in_school]]*50</f>
        <v>0</v>
      </c>
      <c r="BD154" s="421">
        <f>ROUND((WWWW[[#This Row],[Total PoP ]]/6),0)</f>
        <v>342</v>
      </c>
      <c r="BE154" s="421">
        <f>IF(WWWW[[#This Row],[Total required Latrines]]-(WWWW[[#This Row],['#_of_sanitary_fly-proof_HH_latrines]])&lt;0,0,WWWW[[#This Row],[Total required Latrines]]-(WWWW[[#This Row],['#_of_sanitary_fly-proof_HH_latrines]]))</f>
        <v>342</v>
      </c>
      <c r="BF154" s="563">
        <f>1-WWWW[[#This Row],[% people access to functioning Latrine]]</f>
        <v>1</v>
      </c>
      <c r="BG15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257</v>
      </c>
      <c r="BH154" s="419">
        <f>IF(WWWW[[#This Row],['#_of_functional_handwashing_facilities_at_HH_level]]*6&gt;WWWW[[#This Row],[Total PoP ]],WWWW[[#This Row],[Total PoP ]],WWWW[[#This Row],['#_of_functional_handwashing_facilities_at_HH_level]]*6)</f>
        <v>0</v>
      </c>
      <c r="BI154" s="421">
        <f>IF(WWWW[[#This Row],['# people reached by regular dedicated hygiene promotion]]&gt;WWWW[[#This Row],['# People received regular supply of hygiene items]],WWWW[[#This Row],['# people reached by regular dedicated hygiene promotion]],WWWW[[#This Row],['# People received regular supply of hygiene items]])</f>
        <v>257</v>
      </c>
      <c r="BJ154" s="424">
        <f>IF(WWWW[[#This Row],[HRP3]]/WWWW[[#This Row],[Total PoP ]]&gt;100%,100%,WWWW[[#This Row],[HRP3]]/WWWW[[#This Row],[Total PoP ]])</f>
        <v>0.12536585365853659</v>
      </c>
      <c r="BK154" s="423">
        <f>1-WWWW[[#This Row],[Hygiene Coverage%]]</f>
        <v>0.87463414634146341</v>
      </c>
      <c r="BL154" s="422">
        <f>WWWW[[#This Row],['# people reached by regular dedicated hygiene promotion]]/WWWW[[#This Row],[Total PoP ]]</f>
        <v>0.12536585365853659</v>
      </c>
      <c r="BM15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4" s="421">
        <f>WWWW[[#This Row],['#_of_affected_women_and_girls_receiving_a_sufficient_quantity_of_sanitary_pads]]</f>
        <v>0</v>
      </c>
      <c r="BO154" s="420">
        <f>IF(WWWW[[#This Row],['# People with access to soap]]&gt;WWWW[[#This Row],['# People with access to Sanity Pads]],WWWW[[#This Row],['# People with access to soap]],WWWW[[#This Row],['# People with access to Sanity Pads]])</f>
        <v>0</v>
      </c>
      <c r="BP154" s="419" t="str">
        <f>IF(OR(WWWW[[#This Row],['#of students in school]]="",WWWW[[#This Row],['#of students in school]]=0),"No","Yes")</f>
        <v>No</v>
      </c>
      <c r="BQ154" s="417" t="str">
        <f>VLOOKUP(WWWW[[#This Row],[Village  Name]],SiteDB6[[Site Name]:[Location Type 1]],9,FALSE)</f>
        <v>Village</v>
      </c>
      <c r="BR154" s="417" t="str">
        <f>VLOOKUP(WWWW[[#This Row],[Village  Name]],SiteDB6[[Site Name]:[Type of Accommodation]],10,FALSE)</f>
        <v>Village</v>
      </c>
      <c r="BS154" s="417" t="str">
        <f>VLOOKUP(WWWW[[#This Row],[Village  Name]],SiteDB6[[Site Name]:[Ethnic or GCA/NGCA]],11,FALSE)</f>
        <v>Muslim</v>
      </c>
      <c r="BT154" s="417">
        <f>VLOOKUP(WWWW[[#This Row],[Village  Name]],SiteDB6[[Site Name]:[Lat]],12,FALSE)</f>
        <v>20.099340439999999</v>
      </c>
      <c r="BU154" s="417">
        <f>VLOOKUP(WWWW[[#This Row],[Village  Name]],SiteDB6[[Site Name]:[Long]],13,FALSE)</f>
        <v>92.989143369999994</v>
      </c>
      <c r="BV154" s="417">
        <f>VLOOKUP(WWWW[[#This Row],[Village  Name]],SiteDB6[[Site Name]:[Pcode]],3,FALSE)</f>
        <v>197558</v>
      </c>
      <c r="BW154" s="425" t="str">
        <f>IF(C154="none","Notcovered","Covered")</f>
        <v>Covered</v>
      </c>
      <c r="BX154" s="425"/>
      <c r="BY154" s="33"/>
      <c r="CA154" s="431"/>
      <c r="CB154" s="33"/>
      <c r="CC154" s="36"/>
      <c r="CE154" s="37"/>
      <c r="CN154" s="20"/>
    </row>
    <row r="155" spans="1:92" hidden="1">
      <c r="A155" s="612" t="s">
        <v>2380</v>
      </c>
      <c r="B155" s="412" t="s">
        <v>289</v>
      </c>
      <c r="C155" s="418" t="s">
        <v>289</v>
      </c>
      <c r="D155" s="418" t="s">
        <v>329</v>
      </c>
      <c r="E155" s="551" t="s">
        <v>2687</v>
      </c>
      <c r="F155" s="418" t="s">
        <v>404</v>
      </c>
      <c r="G155" s="551" t="str">
        <f>VLOOKUP(WWWW[[#This Row],[Village  Name]],SiteDB6[[Site Name]:[Location Type]],8,FALSE)</f>
        <v>Village</v>
      </c>
      <c r="H155" s="418" t="s">
        <v>2566</v>
      </c>
      <c r="I155" s="420">
        <v>142</v>
      </c>
      <c r="J155" s="420">
        <v>582</v>
      </c>
      <c r="K155" s="426">
        <v>43359</v>
      </c>
      <c r="L155" s="427">
        <v>43830</v>
      </c>
      <c r="M155" s="420"/>
      <c r="N155" s="420"/>
      <c r="O155" s="420"/>
      <c r="P155" s="420"/>
      <c r="Q155" s="420"/>
      <c r="R155" s="420"/>
      <c r="S155" s="420"/>
      <c r="T155" s="642"/>
      <c r="U155" s="420"/>
      <c r="V155" s="611" t="s">
        <v>132</v>
      </c>
      <c r="W155" s="420"/>
      <c r="X155" s="420"/>
      <c r="Y155" s="420"/>
      <c r="Z155" s="420"/>
      <c r="AA155" s="420"/>
      <c r="AB155" s="642"/>
      <c r="AC155" s="420"/>
      <c r="AD155" s="420"/>
      <c r="AE155" s="420"/>
      <c r="AF155" s="420"/>
      <c r="AG155" s="420"/>
      <c r="AH155" s="420"/>
      <c r="AI155" s="420"/>
      <c r="AJ155" s="420"/>
      <c r="AK155" s="420"/>
      <c r="AL155" s="420"/>
      <c r="AM155" s="642"/>
      <c r="AN155" s="420"/>
      <c r="AO155" s="420"/>
      <c r="AP15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55" s="419">
        <f>WWWW[[#This Row],[%Equitable and continuous access to sufficient quantity of safe drinking water]]*WWWW[[#This Row],[Total PoP ]]</f>
        <v>0</v>
      </c>
      <c r="AR15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5" s="419">
        <f>WWWW[[#This Row],[% Access to unimproved water points]]*WWWW[[#This Row],[Total PoP ]]</f>
        <v>0</v>
      </c>
      <c r="AT15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5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55" s="419">
        <f>WWWW[[#This Row],[HRP1]]/250</f>
        <v>0</v>
      </c>
      <c r="AW155" s="424">
        <f>1-WWWW[[#This Row],[% Equitable and continuous access to sufficient quantity of domestic water]]</f>
        <v>1</v>
      </c>
      <c r="AX155" s="419">
        <f>WWWW[[#This Row],[%equitable and continuous access to sufficient quantity of safe drinking and domestic water''s GAP]]*WWWW[[#This Row],[Total PoP ]]</f>
        <v>582</v>
      </c>
      <c r="AY155" s="421">
        <f>IF(WWWW[[#This Row],[Total required water points]]-WWWW[[#This Row],['#Water points coverage]]&lt;0,0,WWWW[[#This Row],[Total required water points]]-WWWW[[#This Row],['#Water points coverage]])</f>
        <v>2</v>
      </c>
      <c r="AZ155" s="421">
        <f>ROUND(IF(WWWW[[#This Row],[Total PoP ]]&lt;250,1,WWWW[[#This Row],[Total PoP ]]/250),0)</f>
        <v>2</v>
      </c>
      <c r="BA15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5" s="419">
        <f>WWWW[[#This Row],[% people access to functioning Latrine]]*WWWW[[#This Row],[Total PoP ]]</f>
        <v>0</v>
      </c>
      <c r="BC155" s="421">
        <f>WWWW[[#This Row],['#_of_Functioning_latrines_in_school]]*50</f>
        <v>0</v>
      </c>
      <c r="BD155" s="421">
        <f>ROUND((WWWW[[#This Row],[Total PoP ]]/6),0)</f>
        <v>97</v>
      </c>
      <c r="BE155" s="421">
        <f>IF(WWWW[[#This Row],[Total required Latrines]]-(WWWW[[#This Row],['#_of_sanitary_fly-proof_HH_latrines]])&lt;0,0,WWWW[[#This Row],[Total required Latrines]]-(WWWW[[#This Row],['#_of_sanitary_fly-proof_HH_latrines]]))</f>
        <v>97</v>
      </c>
      <c r="BF155" s="563">
        <f>1-WWWW[[#This Row],[% people access to functioning Latrine]]</f>
        <v>1</v>
      </c>
      <c r="BG15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55" s="419">
        <f>IF(WWWW[[#This Row],['#_of_functional_handwashing_facilities_at_HH_level]]*6&gt;WWWW[[#This Row],[Total PoP ]],WWWW[[#This Row],[Total PoP ]],WWWW[[#This Row],['#_of_functional_handwashing_facilities_at_HH_level]]*6)</f>
        <v>0</v>
      </c>
      <c r="BI155" s="421">
        <f>IF(WWWW[[#This Row],['# people reached by regular dedicated hygiene promotion]]&gt;WWWW[[#This Row],['# People received regular supply of hygiene items]],WWWW[[#This Row],['# people reached by regular dedicated hygiene promotion]],WWWW[[#This Row],['# People received regular supply of hygiene items]])</f>
        <v>0</v>
      </c>
      <c r="BJ155" s="424">
        <f>IF(WWWW[[#This Row],[HRP3]]/WWWW[[#This Row],[Total PoP ]]&gt;100%,100%,WWWW[[#This Row],[HRP3]]/WWWW[[#This Row],[Total PoP ]])</f>
        <v>0</v>
      </c>
      <c r="BK155" s="423">
        <f>1-WWWW[[#This Row],[Hygiene Coverage%]]</f>
        <v>1</v>
      </c>
      <c r="BL155" s="422">
        <f>WWWW[[#This Row],['# people reached by regular dedicated hygiene promotion]]/WWWW[[#This Row],[Total PoP ]]</f>
        <v>0</v>
      </c>
      <c r="BM15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5" s="421">
        <f>WWWW[[#This Row],['#_of_affected_women_and_girls_receiving_a_sufficient_quantity_of_sanitary_pads]]</f>
        <v>0</v>
      </c>
      <c r="BO155" s="420">
        <f>IF(WWWW[[#This Row],['# People with access to soap]]&gt;WWWW[[#This Row],['# People with access to Sanity Pads]],WWWW[[#This Row],['# People with access to soap]],WWWW[[#This Row],['# People with access to Sanity Pads]])</f>
        <v>0</v>
      </c>
      <c r="BP155" s="419" t="str">
        <f>IF(OR(WWWW[[#This Row],['#of students in school]]="",WWWW[[#This Row],['#of students in school]]=0),"No","Yes")</f>
        <v>No</v>
      </c>
      <c r="BQ155" s="417" t="str">
        <f>VLOOKUP(WWWW[[#This Row],[Village  Name]],SiteDB6[[Site Name]:[Location Type 1]],9,FALSE)</f>
        <v>Village</v>
      </c>
      <c r="BR155" s="417" t="str">
        <f>VLOOKUP(WWWW[[#This Row],[Village  Name]],SiteDB6[[Site Name]:[Type of Accommodation]],10,FALSE)</f>
        <v>Village</v>
      </c>
      <c r="BS155" s="417">
        <f>VLOOKUP(WWWW[[#This Row],[Village  Name]],SiteDB6[[Site Name]:[Ethnic or GCA/NGCA]],11,FALSE)</f>
        <v>0</v>
      </c>
      <c r="BT155" s="417">
        <f>VLOOKUP(WWWW[[#This Row],[Village  Name]],SiteDB6[[Site Name]:[Lat]],12,FALSE)</f>
        <v>20.068620681762699</v>
      </c>
      <c r="BU155" s="417">
        <f>VLOOKUP(WWWW[[#This Row],[Village  Name]],SiteDB6[[Site Name]:[Long]],13,FALSE)</f>
        <v>92.934440612792997</v>
      </c>
      <c r="BV155" s="417">
        <f>VLOOKUP(WWWW[[#This Row],[Village  Name]],SiteDB6[[Site Name]:[Pcode]],3,FALSE)</f>
        <v>197574</v>
      </c>
      <c r="BW155" s="425" t="str">
        <f>IF(C155="none","Notcovered","Covered")</f>
        <v>Covered</v>
      </c>
      <c r="BX155" s="425"/>
      <c r="BY155" s="33"/>
      <c r="CA155" s="431"/>
      <c r="CB155" s="33"/>
      <c r="CC155" s="36"/>
      <c r="CE155" s="37"/>
      <c r="CN155" s="20"/>
    </row>
    <row r="156" spans="1:92" hidden="1">
      <c r="A156" s="412" t="s">
        <v>2380</v>
      </c>
      <c r="B156" s="412" t="s">
        <v>320</v>
      </c>
      <c r="C156" s="418" t="s">
        <v>320</v>
      </c>
      <c r="D156" s="418" t="s">
        <v>336</v>
      </c>
      <c r="E156" s="551" t="s">
        <v>2687</v>
      </c>
      <c r="F156" s="418" t="s">
        <v>304</v>
      </c>
      <c r="G156" s="551" t="str">
        <f>VLOOKUP(WWWW[[#This Row],[Village  Name]],SiteDB6[[Site Name]:[Location Type]],8,FALSE)</f>
        <v>Village</v>
      </c>
      <c r="H156" s="418" t="s">
        <v>638</v>
      </c>
      <c r="I156" s="420">
        <v>93</v>
      </c>
      <c r="J156" s="420">
        <v>415</v>
      </c>
      <c r="K156" s="426">
        <v>42887</v>
      </c>
      <c r="L156" s="427">
        <v>43616</v>
      </c>
      <c r="M156" s="420"/>
      <c r="N156" s="420"/>
      <c r="O156" s="420"/>
      <c r="P156" s="420"/>
      <c r="Q156" s="420"/>
      <c r="R156" s="420"/>
      <c r="S156" s="420"/>
      <c r="T156" s="642"/>
      <c r="U156" s="420"/>
      <c r="V156" s="611" t="s">
        <v>132</v>
      </c>
      <c r="W156" s="420"/>
      <c r="X156" s="420"/>
      <c r="Y156" s="420"/>
      <c r="Z156" s="420"/>
      <c r="AA156" s="420"/>
      <c r="AB156" s="642"/>
      <c r="AC156" s="420"/>
      <c r="AD156" s="420"/>
      <c r="AE156" s="420"/>
      <c r="AF156" s="420"/>
      <c r="AG156" s="420"/>
      <c r="AH156" s="420"/>
      <c r="AI156" s="420"/>
      <c r="AJ156" s="420"/>
      <c r="AK156" s="420"/>
      <c r="AL156" s="420"/>
      <c r="AM156" s="642"/>
      <c r="AN156" s="420"/>
      <c r="AO156" s="420"/>
      <c r="AP15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56" s="419">
        <f>WWWW[[#This Row],[%Equitable and continuous access to sufficient quantity of safe drinking water]]*WWWW[[#This Row],[Total PoP ]]</f>
        <v>0</v>
      </c>
      <c r="AR15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6" s="419">
        <f>WWWW[[#This Row],[% Access to unimproved water points]]*WWWW[[#This Row],[Total PoP ]]</f>
        <v>0</v>
      </c>
      <c r="AT15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5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56" s="419">
        <f>WWWW[[#This Row],[HRP1]]/250</f>
        <v>0</v>
      </c>
      <c r="AW156" s="424">
        <f>1-WWWW[[#This Row],[% Equitable and continuous access to sufficient quantity of domestic water]]</f>
        <v>1</v>
      </c>
      <c r="AX156" s="419">
        <f>WWWW[[#This Row],[%equitable and continuous access to sufficient quantity of safe drinking and domestic water''s GAP]]*WWWW[[#This Row],[Total PoP ]]</f>
        <v>415</v>
      </c>
      <c r="AY156" s="421">
        <f>IF(WWWW[[#This Row],[Total required water points]]-WWWW[[#This Row],['#Water points coverage]]&lt;0,0,WWWW[[#This Row],[Total required water points]]-WWWW[[#This Row],['#Water points coverage]])</f>
        <v>2</v>
      </c>
      <c r="AZ156" s="421">
        <f>ROUND(IF(WWWW[[#This Row],[Total PoP ]]&lt;250,1,WWWW[[#This Row],[Total PoP ]]/250),0)</f>
        <v>2</v>
      </c>
      <c r="BA15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6" s="419">
        <f>WWWW[[#This Row],[% people access to functioning Latrine]]*WWWW[[#This Row],[Total PoP ]]</f>
        <v>0</v>
      </c>
      <c r="BC156" s="421">
        <f>WWWW[[#This Row],['#_of_Functioning_latrines_in_school]]*50</f>
        <v>0</v>
      </c>
      <c r="BD156" s="421">
        <f>ROUND((WWWW[[#This Row],[Total PoP ]]/6),0)</f>
        <v>69</v>
      </c>
      <c r="BE156" s="421">
        <f>IF(WWWW[[#This Row],[Total required Latrines]]-(WWWW[[#This Row],['#_of_sanitary_fly-proof_HH_latrines]])&lt;0,0,WWWW[[#This Row],[Total required Latrines]]-(WWWW[[#This Row],['#_of_sanitary_fly-proof_HH_latrines]]))</f>
        <v>69</v>
      </c>
      <c r="BF156" s="563">
        <f>1-WWWW[[#This Row],[% people access to functioning Latrine]]</f>
        <v>1</v>
      </c>
      <c r="BG15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56" s="419">
        <f>IF(WWWW[[#This Row],['#_of_functional_handwashing_facilities_at_HH_level]]*6&gt;WWWW[[#This Row],[Total PoP ]],WWWW[[#This Row],[Total PoP ]],WWWW[[#This Row],['#_of_functional_handwashing_facilities_at_HH_level]]*6)</f>
        <v>0</v>
      </c>
      <c r="BI156" s="421">
        <f>IF(WWWW[[#This Row],['# people reached by regular dedicated hygiene promotion]]&gt;WWWW[[#This Row],['# People received regular supply of hygiene items]],WWWW[[#This Row],['# people reached by regular dedicated hygiene promotion]],WWWW[[#This Row],['# People received regular supply of hygiene items]])</f>
        <v>0</v>
      </c>
      <c r="BJ156" s="424">
        <f>IF(WWWW[[#This Row],[HRP3]]/WWWW[[#This Row],[Total PoP ]]&gt;100%,100%,WWWW[[#This Row],[HRP3]]/WWWW[[#This Row],[Total PoP ]])</f>
        <v>0</v>
      </c>
      <c r="BK156" s="423">
        <f>1-WWWW[[#This Row],[Hygiene Coverage%]]</f>
        <v>1</v>
      </c>
      <c r="BL156" s="422">
        <f>WWWW[[#This Row],['# people reached by regular dedicated hygiene promotion]]/WWWW[[#This Row],[Total PoP ]]</f>
        <v>0</v>
      </c>
      <c r="BM15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6" s="421">
        <f>WWWW[[#This Row],['#_of_affected_women_and_girls_receiving_a_sufficient_quantity_of_sanitary_pads]]</f>
        <v>0</v>
      </c>
      <c r="BO156" s="420">
        <f>IF(WWWW[[#This Row],['# People with access to soap]]&gt;WWWW[[#This Row],['# People with access to Sanity Pads]],WWWW[[#This Row],['# People with access to soap]],WWWW[[#This Row],['# People with access to Sanity Pads]])</f>
        <v>0</v>
      </c>
      <c r="BP156" s="419" t="str">
        <f>IF(OR(WWWW[[#This Row],['#of students in school]]="",WWWW[[#This Row],['#of students in school]]=0),"No","Yes")</f>
        <v>No</v>
      </c>
      <c r="BQ156" s="417" t="str">
        <f>VLOOKUP(WWWW[[#This Row],[Village  Name]],SiteDB6[[Site Name]:[Location Type 1]],9,FALSE)</f>
        <v>Village</v>
      </c>
      <c r="BR156" s="417" t="str">
        <f>VLOOKUP(WWWW[[#This Row],[Village  Name]],SiteDB6[[Site Name]:[Type of Accommodation]],10,FALSE)</f>
        <v>Village</v>
      </c>
      <c r="BS156" s="417" t="str">
        <f>VLOOKUP(WWWW[[#This Row],[Village  Name]],SiteDB6[[Site Name]:[Ethnic or GCA/NGCA]],11,FALSE)</f>
        <v>Mro</v>
      </c>
      <c r="BT156" s="417">
        <f>VLOOKUP(WWWW[[#This Row],[Village  Name]],SiteDB6[[Site Name]:[Lat]],12,FALSE)</f>
        <v>20.855012890000001</v>
      </c>
      <c r="BU156" s="417">
        <f>VLOOKUP(WWWW[[#This Row],[Village  Name]],SiteDB6[[Site Name]:[Long]],13,FALSE)</f>
        <v>92.91</v>
      </c>
      <c r="BV156" s="417">
        <f>VLOOKUP(WWWW[[#This Row],[Village  Name]],SiteDB6[[Site Name]:[Pcode]],3,FALSE)</f>
        <v>196824</v>
      </c>
      <c r="BW156" s="425" t="str">
        <f t="shared" ref="BW156:BW206" si="6">IF(C156="none","Notcovered","Covered")</f>
        <v>Covered</v>
      </c>
      <c r="BX156" s="425"/>
      <c r="BY156" s="33"/>
      <c r="CA156" s="431"/>
      <c r="CB156" s="33"/>
      <c r="CC156" s="36"/>
      <c r="CE156" s="37"/>
      <c r="CN156" s="20"/>
    </row>
    <row r="157" spans="1:92" hidden="1">
      <c r="A157" s="412" t="s">
        <v>2380</v>
      </c>
      <c r="B157" s="412" t="s">
        <v>320</v>
      </c>
      <c r="C157" s="418" t="s">
        <v>320</v>
      </c>
      <c r="D157" s="418" t="s">
        <v>336</v>
      </c>
      <c r="E157" s="551" t="s">
        <v>2687</v>
      </c>
      <c r="F157" s="418" t="s">
        <v>304</v>
      </c>
      <c r="G157" s="551" t="str">
        <f>VLOOKUP(WWWW[[#This Row],[Village  Name]],SiteDB6[[Site Name]:[Location Type]],8,FALSE)</f>
        <v>Village</v>
      </c>
      <c r="H157" s="418" t="s">
        <v>549</v>
      </c>
      <c r="I157" s="420">
        <v>326</v>
      </c>
      <c r="J157" s="420">
        <v>1786</v>
      </c>
      <c r="K157" s="426">
        <v>42887</v>
      </c>
      <c r="L157" s="427">
        <v>43616</v>
      </c>
      <c r="M157" s="420"/>
      <c r="N157" s="420"/>
      <c r="O157" s="420"/>
      <c r="P157" s="420"/>
      <c r="Q157" s="420"/>
      <c r="R157" s="420"/>
      <c r="S157" s="420"/>
      <c r="T157" s="642"/>
      <c r="U157" s="420"/>
      <c r="V157" s="611" t="s">
        <v>132</v>
      </c>
      <c r="W157" s="420"/>
      <c r="X157" s="420"/>
      <c r="Y157" s="420"/>
      <c r="Z157" s="420"/>
      <c r="AA157" s="420"/>
      <c r="AB157" s="642"/>
      <c r="AC157" s="420"/>
      <c r="AD157" s="420"/>
      <c r="AE157" s="420"/>
      <c r="AF157" s="420"/>
      <c r="AG157" s="420"/>
      <c r="AH157" s="420"/>
      <c r="AI157" s="420"/>
      <c r="AJ157" s="420"/>
      <c r="AK157" s="420"/>
      <c r="AL157" s="420"/>
      <c r="AM157" s="642"/>
      <c r="AN157" s="420"/>
      <c r="AO157" s="420"/>
      <c r="AP15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57" s="419">
        <f>WWWW[[#This Row],[%Equitable and continuous access to sufficient quantity of safe drinking water]]*WWWW[[#This Row],[Total PoP ]]</f>
        <v>0</v>
      </c>
      <c r="AR15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7" s="419">
        <f>WWWW[[#This Row],[% Access to unimproved water points]]*WWWW[[#This Row],[Total PoP ]]</f>
        <v>0</v>
      </c>
      <c r="AT15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5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57" s="419">
        <f>WWWW[[#This Row],[HRP1]]/250</f>
        <v>0</v>
      </c>
      <c r="AW157" s="424">
        <f>1-WWWW[[#This Row],[% Equitable and continuous access to sufficient quantity of domestic water]]</f>
        <v>1</v>
      </c>
      <c r="AX157" s="419">
        <f>WWWW[[#This Row],[%equitable and continuous access to sufficient quantity of safe drinking and domestic water''s GAP]]*WWWW[[#This Row],[Total PoP ]]</f>
        <v>1786</v>
      </c>
      <c r="AY157" s="421">
        <f>IF(WWWW[[#This Row],[Total required water points]]-WWWW[[#This Row],['#Water points coverage]]&lt;0,0,WWWW[[#This Row],[Total required water points]]-WWWW[[#This Row],['#Water points coverage]])</f>
        <v>7</v>
      </c>
      <c r="AZ157" s="421">
        <f>ROUND(IF(WWWW[[#This Row],[Total PoP ]]&lt;250,1,WWWW[[#This Row],[Total PoP ]]/250),0)</f>
        <v>7</v>
      </c>
      <c r="BA15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7" s="419">
        <f>WWWW[[#This Row],[% people access to functioning Latrine]]*WWWW[[#This Row],[Total PoP ]]</f>
        <v>0</v>
      </c>
      <c r="BC157" s="421">
        <f>WWWW[[#This Row],['#_of_Functioning_latrines_in_school]]*50</f>
        <v>0</v>
      </c>
      <c r="BD157" s="421">
        <f>ROUND((WWWW[[#This Row],[Total PoP ]]/6),0)</f>
        <v>298</v>
      </c>
      <c r="BE157" s="421">
        <f>IF(WWWW[[#This Row],[Total required Latrines]]-(WWWW[[#This Row],['#_of_sanitary_fly-proof_HH_latrines]])&lt;0,0,WWWW[[#This Row],[Total required Latrines]]-(WWWW[[#This Row],['#_of_sanitary_fly-proof_HH_latrines]]))</f>
        <v>298</v>
      </c>
      <c r="BF157" s="563">
        <f>1-WWWW[[#This Row],[% people access to functioning Latrine]]</f>
        <v>1</v>
      </c>
      <c r="BG15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57" s="419">
        <f>IF(WWWW[[#This Row],['#_of_functional_handwashing_facilities_at_HH_level]]*6&gt;WWWW[[#This Row],[Total PoP ]],WWWW[[#This Row],[Total PoP ]],WWWW[[#This Row],['#_of_functional_handwashing_facilities_at_HH_level]]*6)</f>
        <v>0</v>
      </c>
      <c r="BI157" s="421">
        <f>IF(WWWW[[#This Row],['# people reached by regular dedicated hygiene promotion]]&gt;WWWW[[#This Row],['# People received regular supply of hygiene items]],WWWW[[#This Row],['# people reached by regular dedicated hygiene promotion]],WWWW[[#This Row],['# People received regular supply of hygiene items]])</f>
        <v>0</v>
      </c>
      <c r="BJ157" s="424">
        <f>IF(WWWW[[#This Row],[HRP3]]/WWWW[[#This Row],[Total PoP ]]&gt;100%,100%,WWWW[[#This Row],[HRP3]]/WWWW[[#This Row],[Total PoP ]])</f>
        <v>0</v>
      </c>
      <c r="BK157" s="423">
        <f>1-WWWW[[#This Row],[Hygiene Coverage%]]</f>
        <v>1</v>
      </c>
      <c r="BL157" s="422">
        <f>WWWW[[#This Row],['# people reached by regular dedicated hygiene promotion]]/WWWW[[#This Row],[Total PoP ]]</f>
        <v>0</v>
      </c>
      <c r="BM15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7" s="421">
        <f>WWWW[[#This Row],['#_of_affected_women_and_girls_receiving_a_sufficient_quantity_of_sanitary_pads]]</f>
        <v>0</v>
      </c>
      <c r="BO157" s="420">
        <f>IF(WWWW[[#This Row],['# People with access to soap]]&gt;WWWW[[#This Row],['# People with access to Sanity Pads]],WWWW[[#This Row],['# People with access to soap]],WWWW[[#This Row],['# People with access to Sanity Pads]])</f>
        <v>0</v>
      </c>
      <c r="BP157" s="419" t="str">
        <f>IF(OR(WWWW[[#This Row],['#of students in school]]="",WWWW[[#This Row],['#of students in school]]=0),"No","Yes")</f>
        <v>No</v>
      </c>
      <c r="BQ157" s="417" t="str">
        <f>VLOOKUP(WWWW[[#This Row],[Village  Name]],SiteDB6[[Site Name]:[Location Type 1]],9,FALSE)</f>
        <v>Village</v>
      </c>
      <c r="BR157" s="417" t="str">
        <f>VLOOKUP(WWWW[[#This Row],[Village  Name]],SiteDB6[[Site Name]:[Type of Accommodation]],10,FALSE)</f>
        <v>Returned</v>
      </c>
      <c r="BS157" s="417" t="str">
        <f>VLOOKUP(WWWW[[#This Row],[Village  Name]],SiteDB6[[Site Name]:[Ethnic or GCA/NGCA]],11,FALSE)</f>
        <v>Muslim</v>
      </c>
      <c r="BT157" s="504">
        <f>VLOOKUP(WWWW[[#This Row],[Village  Name]],SiteDB6[[Site Name]:[Lat]],12,FALSE)</f>
        <v>93.009900000000002</v>
      </c>
      <c r="BU157" s="504">
        <f>VLOOKUP(WWWW[[#This Row],[Village  Name]],SiteDB6[[Site Name]:[Long]],13,FALSE)</f>
        <v>20.696819999999999</v>
      </c>
      <c r="BV157" s="504" t="str">
        <f>VLOOKUP(WWWW[[#This Row],[Village  Name]],SiteDB6[[Site Name]:[Pcode]],3,FALSE)</f>
        <v>MMR012CMP026</v>
      </c>
      <c r="BW157" s="425" t="str">
        <f t="shared" si="6"/>
        <v>Covered</v>
      </c>
      <c r="BX157" s="425"/>
      <c r="BY157" s="33"/>
      <c r="CA157" s="431"/>
      <c r="CB157" s="33"/>
      <c r="CC157" s="36"/>
      <c r="CE157" s="37"/>
      <c r="CN157" s="20"/>
    </row>
    <row r="158" spans="1:92" hidden="1">
      <c r="A158" s="412" t="s">
        <v>2380</v>
      </c>
      <c r="B158" s="412" t="s">
        <v>320</v>
      </c>
      <c r="C158" s="418" t="s">
        <v>320</v>
      </c>
      <c r="D158" s="418" t="s">
        <v>291</v>
      </c>
      <c r="E158" s="551" t="s">
        <v>2687</v>
      </c>
      <c r="F158" s="418" t="s">
        <v>304</v>
      </c>
      <c r="G158" s="551" t="str">
        <f>VLOOKUP(WWWW[[#This Row],[Village  Name]],SiteDB6[[Site Name]:[Location Type]],8,FALSE)</f>
        <v>Village</v>
      </c>
      <c r="H158" s="418" t="s">
        <v>2246</v>
      </c>
      <c r="I158" s="420">
        <v>128</v>
      </c>
      <c r="J158" s="420">
        <v>770</v>
      </c>
      <c r="K158" s="426">
        <v>43374</v>
      </c>
      <c r="L158" s="427">
        <v>43738</v>
      </c>
      <c r="M158" s="420"/>
      <c r="N158" s="420"/>
      <c r="O158" s="420"/>
      <c r="P158" s="420"/>
      <c r="Q158" s="420"/>
      <c r="R158" s="420"/>
      <c r="S158" s="420"/>
      <c r="T158" s="642"/>
      <c r="U158" s="420"/>
      <c r="V158" s="611" t="s">
        <v>132</v>
      </c>
      <c r="W158" s="420"/>
      <c r="X158" s="420"/>
      <c r="Y158" s="420"/>
      <c r="Z158" s="420"/>
      <c r="AA158" s="420"/>
      <c r="AB158" s="642"/>
      <c r="AC158" s="420"/>
      <c r="AD158" s="420"/>
      <c r="AE158" s="420"/>
      <c r="AF158" s="420"/>
      <c r="AG158" s="420"/>
      <c r="AH158" s="420"/>
      <c r="AI158" s="420"/>
      <c r="AJ158" s="420"/>
      <c r="AK158" s="420"/>
      <c r="AL158" s="420"/>
      <c r="AM158" s="642"/>
      <c r="AN158" s="420"/>
      <c r="AO158" s="420"/>
      <c r="AP15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58" s="419">
        <f>WWWW[[#This Row],[%Equitable and continuous access to sufficient quantity of safe drinking water]]*WWWW[[#This Row],[Total PoP ]]</f>
        <v>0</v>
      </c>
      <c r="AR15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8" s="419">
        <f>WWWW[[#This Row],[% Access to unimproved water points]]*WWWW[[#This Row],[Total PoP ]]</f>
        <v>0</v>
      </c>
      <c r="AT15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5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58" s="419">
        <f>WWWW[[#This Row],[HRP1]]/250</f>
        <v>0</v>
      </c>
      <c r="AW158" s="424">
        <f>1-WWWW[[#This Row],[% Equitable and continuous access to sufficient quantity of domestic water]]</f>
        <v>1</v>
      </c>
      <c r="AX158" s="419">
        <f>WWWW[[#This Row],[%equitable and continuous access to sufficient quantity of safe drinking and domestic water''s GAP]]*WWWW[[#This Row],[Total PoP ]]</f>
        <v>770</v>
      </c>
      <c r="AY158" s="421">
        <f>IF(WWWW[[#This Row],[Total required water points]]-WWWW[[#This Row],['#Water points coverage]]&lt;0,0,WWWW[[#This Row],[Total required water points]]-WWWW[[#This Row],['#Water points coverage]])</f>
        <v>3</v>
      </c>
      <c r="AZ158" s="421">
        <f>ROUND(IF(WWWW[[#This Row],[Total PoP ]]&lt;250,1,WWWW[[#This Row],[Total PoP ]]/250),0)</f>
        <v>3</v>
      </c>
      <c r="BA15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8" s="419">
        <f>WWWW[[#This Row],[% people access to functioning Latrine]]*WWWW[[#This Row],[Total PoP ]]</f>
        <v>0</v>
      </c>
      <c r="BC158" s="421">
        <f>WWWW[[#This Row],['#_of_Functioning_latrines_in_school]]*50</f>
        <v>0</v>
      </c>
      <c r="BD158" s="421">
        <f>ROUND((WWWW[[#This Row],[Total PoP ]]/6),0)</f>
        <v>128</v>
      </c>
      <c r="BE158" s="421">
        <f>IF(WWWW[[#This Row],[Total required Latrines]]-(WWWW[[#This Row],['#_of_sanitary_fly-proof_HH_latrines]])&lt;0,0,WWWW[[#This Row],[Total required Latrines]]-(WWWW[[#This Row],['#_of_sanitary_fly-proof_HH_latrines]]))</f>
        <v>128</v>
      </c>
      <c r="BF158" s="563">
        <f>1-WWWW[[#This Row],[% people access to functioning Latrine]]</f>
        <v>1</v>
      </c>
      <c r="BG15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58" s="419">
        <f>IF(WWWW[[#This Row],['#_of_functional_handwashing_facilities_at_HH_level]]*6&gt;WWWW[[#This Row],[Total PoP ]],WWWW[[#This Row],[Total PoP ]],WWWW[[#This Row],['#_of_functional_handwashing_facilities_at_HH_level]]*6)</f>
        <v>0</v>
      </c>
      <c r="BI158" s="421">
        <f>IF(WWWW[[#This Row],['# people reached by regular dedicated hygiene promotion]]&gt;WWWW[[#This Row],['# People received regular supply of hygiene items]],WWWW[[#This Row],['# people reached by regular dedicated hygiene promotion]],WWWW[[#This Row],['# People received regular supply of hygiene items]])</f>
        <v>0</v>
      </c>
      <c r="BJ158" s="424">
        <f>IF(WWWW[[#This Row],[HRP3]]/WWWW[[#This Row],[Total PoP ]]&gt;100%,100%,WWWW[[#This Row],[HRP3]]/WWWW[[#This Row],[Total PoP ]])</f>
        <v>0</v>
      </c>
      <c r="BK158" s="423">
        <f>1-WWWW[[#This Row],[Hygiene Coverage%]]</f>
        <v>1</v>
      </c>
      <c r="BL158" s="422">
        <f>WWWW[[#This Row],['# people reached by regular dedicated hygiene promotion]]/WWWW[[#This Row],[Total PoP ]]</f>
        <v>0</v>
      </c>
      <c r="BM15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8" s="421">
        <f>WWWW[[#This Row],['#_of_affected_women_and_girls_receiving_a_sufficient_quantity_of_sanitary_pads]]</f>
        <v>0</v>
      </c>
      <c r="BO158" s="420">
        <f>IF(WWWW[[#This Row],['# People with access to soap]]&gt;WWWW[[#This Row],['# People with access to Sanity Pads]],WWWW[[#This Row],['# People with access to soap]],WWWW[[#This Row],['# People with access to Sanity Pads]])</f>
        <v>0</v>
      </c>
      <c r="BP158" s="419" t="str">
        <f>IF(OR(WWWW[[#This Row],['#of students in school]]="",WWWW[[#This Row],['#of students in school]]=0),"No","Yes")</f>
        <v>No</v>
      </c>
      <c r="BQ158" s="417" t="str">
        <f>VLOOKUP(WWWW[[#This Row],[Village  Name]],SiteDB6[[Site Name]:[Location Type 1]],9,FALSE)</f>
        <v>Village</v>
      </c>
      <c r="BR158" s="417" t="str">
        <f>VLOOKUP(WWWW[[#This Row],[Village  Name]],SiteDB6[[Site Name]:[Type of Accommodation]],10,FALSE)</f>
        <v>Village</v>
      </c>
      <c r="BS158" s="417">
        <f>VLOOKUP(WWWW[[#This Row],[Village  Name]],SiteDB6[[Site Name]:[Ethnic or GCA/NGCA]],11,FALSE)</f>
        <v>0</v>
      </c>
      <c r="BT158" s="417">
        <f>VLOOKUP(WWWW[[#This Row],[Village  Name]],SiteDB6[[Site Name]:[Lat]],12,FALSE)</f>
        <v>20.727590559999999</v>
      </c>
      <c r="BU158" s="417">
        <f>VLOOKUP(WWWW[[#This Row],[Village  Name]],SiteDB6[[Site Name]:[Long]],13,FALSE)</f>
        <v>92.969352720000003</v>
      </c>
      <c r="BV158" s="417">
        <f>VLOOKUP(WWWW[[#This Row],[Village  Name]],SiteDB6[[Site Name]:[Pcode]],3,FALSE)</f>
        <v>196816</v>
      </c>
      <c r="BW158" s="425" t="str">
        <f t="shared" si="6"/>
        <v>Covered</v>
      </c>
      <c r="BX158" s="425"/>
      <c r="BY158" s="33"/>
      <c r="CA158" s="431"/>
      <c r="CB158" s="33"/>
      <c r="CC158" s="36"/>
      <c r="CE158" s="37"/>
      <c r="CN158" s="20"/>
    </row>
    <row r="159" spans="1:92" hidden="1">
      <c r="A159" s="412" t="s">
        <v>2380</v>
      </c>
      <c r="B159" s="412" t="s">
        <v>320</v>
      </c>
      <c r="C159" s="418" t="s">
        <v>320</v>
      </c>
      <c r="D159" s="418" t="s">
        <v>291</v>
      </c>
      <c r="E159" s="551" t="s">
        <v>2687</v>
      </c>
      <c r="F159" s="418" t="s">
        <v>304</v>
      </c>
      <c r="G159" s="551" t="str">
        <f>VLOOKUP(WWWW[[#This Row],[Village  Name]],SiteDB6[[Site Name]:[Location Type]],8,FALSE)</f>
        <v>Village</v>
      </c>
      <c r="H159" s="418" t="s">
        <v>2245</v>
      </c>
      <c r="I159" s="420">
        <v>120</v>
      </c>
      <c r="J159" s="420">
        <v>531</v>
      </c>
      <c r="K159" s="426">
        <v>43374</v>
      </c>
      <c r="L159" s="427">
        <v>43738</v>
      </c>
      <c r="M159" s="420"/>
      <c r="N159" s="420"/>
      <c r="O159" s="420"/>
      <c r="P159" s="420"/>
      <c r="Q159" s="420"/>
      <c r="R159" s="420"/>
      <c r="S159" s="420"/>
      <c r="T159" s="642"/>
      <c r="U159" s="420"/>
      <c r="V159" s="611" t="s">
        <v>132</v>
      </c>
      <c r="W159" s="420"/>
      <c r="X159" s="420"/>
      <c r="Y159" s="420"/>
      <c r="Z159" s="420"/>
      <c r="AA159" s="420"/>
      <c r="AB159" s="642"/>
      <c r="AC159" s="420"/>
      <c r="AD159" s="420"/>
      <c r="AE159" s="420"/>
      <c r="AF159" s="420"/>
      <c r="AG159" s="420"/>
      <c r="AH159" s="420"/>
      <c r="AI159" s="420"/>
      <c r="AJ159" s="420"/>
      <c r="AK159" s="420"/>
      <c r="AL159" s="420"/>
      <c r="AM159" s="642"/>
      <c r="AN159" s="420"/>
      <c r="AO159" s="420"/>
      <c r="AP15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59" s="419">
        <f>WWWW[[#This Row],[%Equitable and continuous access to sufficient quantity of safe drinking water]]*WWWW[[#This Row],[Total PoP ]]</f>
        <v>0</v>
      </c>
      <c r="AR15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59" s="419">
        <f>WWWW[[#This Row],[% Access to unimproved water points]]*WWWW[[#This Row],[Total PoP ]]</f>
        <v>0</v>
      </c>
      <c r="AT15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5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59" s="419">
        <f>WWWW[[#This Row],[HRP1]]/250</f>
        <v>0</v>
      </c>
      <c r="AW159" s="424">
        <f>1-WWWW[[#This Row],[% Equitable and continuous access to sufficient quantity of domestic water]]</f>
        <v>1</v>
      </c>
      <c r="AX159" s="419">
        <f>WWWW[[#This Row],[%equitable and continuous access to sufficient quantity of safe drinking and domestic water''s GAP]]*WWWW[[#This Row],[Total PoP ]]</f>
        <v>531</v>
      </c>
      <c r="AY159" s="421">
        <f>IF(WWWW[[#This Row],[Total required water points]]-WWWW[[#This Row],['#Water points coverage]]&lt;0,0,WWWW[[#This Row],[Total required water points]]-WWWW[[#This Row],['#Water points coverage]])</f>
        <v>2</v>
      </c>
      <c r="AZ159" s="421">
        <f>ROUND(IF(WWWW[[#This Row],[Total PoP ]]&lt;250,1,WWWW[[#This Row],[Total PoP ]]/250),0)</f>
        <v>2</v>
      </c>
      <c r="BA15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59" s="419">
        <f>WWWW[[#This Row],[% people access to functioning Latrine]]*WWWW[[#This Row],[Total PoP ]]</f>
        <v>0</v>
      </c>
      <c r="BC159" s="421">
        <f>WWWW[[#This Row],['#_of_Functioning_latrines_in_school]]*50</f>
        <v>0</v>
      </c>
      <c r="BD159" s="421">
        <f>ROUND((WWWW[[#This Row],[Total PoP ]]/6),0)</f>
        <v>89</v>
      </c>
      <c r="BE159" s="421">
        <f>IF(WWWW[[#This Row],[Total required Latrines]]-(WWWW[[#This Row],['#_of_sanitary_fly-proof_HH_latrines]])&lt;0,0,WWWW[[#This Row],[Total required Latrines]]-(WWWW[[#This Row],['#_of_sanitary_fly-proof_HH_latrines]]))</f>
        <v>89</v>
      </c>
      <c r="BF159" s="563">
        <f>1-WWWW[[#This Row],[% people access to functioning Latrine]]</f>
        <v>1</v>
      </c>
      <c r="BG15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59" s="419">
        <f>IF(WWWW[[#This Row],['#_of_functional_handwashing_facilities_at_HH_level]]*6&gt;WWWW[[#This Row],[Total PoP ]],WWWW[[#This Row],[Total PoP ]],WWWW[[#This Row],['#_of_functional_handwashing_facilities_at_HH_level]]*6)</f>
        <v>0</v>
      </c>
      <c r="BI159" s="421">
        <f>IF(WWWW[[#This Row],['# people reached by regular dedicated hygiene promotion]]&gt;WWWW[[#This Row],['# People received regular supply of hygiene items]],WWWW[[#This Row],['# people reached by regular dedicated hygiene promotion]],WWWW[[#This Row],['# People received regular supply of hygiene items]])</f>
        <v>0</v>
      </c>
      <c r="BJ159" s="424">
        <f>IF(WWWW[[#This Row],[HRP3]]/WWWW[[#This Row],[Total PoP ]]&gt;100%,100%,WWWW[[#This Row],[HRP3]]/WWWW[[#This Row],[Total PoP ]])</f>
        <v>0</v>
      </c>
      <c r="BK159" s="423">
        <f>1-WWWW[[#This Row],[Hygiene Coverage%]]</f>
        <v>1</v>
      </c>
      <c r="BL159" s="422">
        <f>WWWW[[#This Row],['# people reached by regular dedicated hygiene promotion]]/WWWW[[#This Row],[Total PoP ]]</f>
        <v>0</v>
      </c>
      <c r="BM15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59" s="421">
        <f>WWWW[[#This Row],['#_of_affected_women_and_girls_receiving_a_sufficient_quantity_of_sanitary_pads]]</f>
        <v>0</v>
      </c>
      <c r="BO159" s="420">
        <f>IF(WWWW[[#This Row],['# People with access to soap]]&gt;WWWW[[#This Row],['# People with access to Sanity Pads]],WWWW[[#This Row],['# People with access to soap]],WWWW[[#This Row],['# People with access to Sanity Pads]])</f>
        <v>0</v>
      </c>
      <c r="BP159" s="419" t="str">
        <f>IF(OR(WWWW[[#This Row],['#of students in school]]="",WWWW[[#This Row],['#of students in school]]=0),"No","Yes")</f>
        <v>No</v>
      </c>
      <c r="BQ159" s="417" t="str">
        <f>VLOOKUP(WWWW[[#This Row],[Village  Name]],SiteDB6[[Site Name]:[Location Type 1]],9,FALSE)</f>
        <v>Village</v>
      </c>
      <c r="BR159" s="417" t="str">
        <f>VLOOKUP(WWWW[[#This Row],[Village  Name]],SiteDB6[[Site Name]:[Type of Accommodation]],10,FALSE)</f>
        <v>Village</v>
      </c>
      <c r="BS159" s="417">
        <f>VLOOKUP(WWWW[[#This Row],[Village  Name]],SiteDB6[[Site Name]:[Ethnic or GCA/NGCA]],11,FALSE)</f>
        <v>0</v>
      </c>
      <c r="BT159" s="417">
        <f>VLOOKUP(WWWW[[#This Row],[Village  Name]],SiteDB6[[Site Name]:[Lat]],12,FALSE)</f>
        <v>20.896429059999999</v>
      </c>
      <c r="BU159" s="417">
        <f>VLOOKUP(WWWW[[#This Row],[Village  Name]],SiteDB6[[Site Name]:[Long]],13,FALSE)</f>
        <v>92.940193179999994</v>
      </c>
      <c r="BV159" s="417">
        <f>VLOOKUP(WWWW[[#This Row],[Village  Name]],SiteDB6[[Site Name]:[Pcode]],3,FALSE)</f>
        <v>196804</v>
      </c>
      <c r="BW159" s="425" t="str">
        <f t="shared" si="6"/>
        <v>Covered</v>
      </c>
      <c r="BX159" s="425"/>
      <c r="BY159" s="33"/>
      <c r="CA159" s="431"/>
      <c r="CB159" s="33"/>
      <c r="CC159" s="36"/>
      <c r="CE159" s="37"/>
      <c r="CN159" s="20"/>
    </row>
    <row r="160" spans="1:92" hidden="1">
      <c r="A160" s="412" t="s">
        <v>2380</v>
      </c>
      <c r="B160" s="412" t="s">
        <v>320</v>
      </c>
      <c r="C160" s="418" t="s">
        <v>320</v>
      </c>
      <c r="D160" s="418" t="s">
        <v>291</v>
      </c>
      <c r="E160" s="551" t="s">
        <v>2687</v>
      </c>
      <c r="F160" s="418" t="s">
        <v>304</v>
      </c>
      <c r="G160" s="551" t="str">
        <f>VLOOKUP(WWWW[[#This Row],[Village  Name]],SiteDB6[[Site Name]:[Location Type]],8,FALSE)</f>
        <v>Village</v>
      </c>
      <c r="H160" s="418" t="s">
        <v>2238</v>
      </c>
      <c r="I160" s="420">
        <v>116</v>
      </c>
      <c r="J160" s="420">
        <v>667</v>
      </c>
      <c r="K160" s="426">
        <v>43374</v>
      </c>
      <c r="L160" s="427">
        <v>43738</v>
      </c>
      <c r="M160" s="420"/>
      <c r="N160" s="420"/>
      <c r="O160" s="420"/>
      <c r="P160" s="420"/>
      <c r="Q160" s="420"/>
      <c r="R160" s="420"/>
      <c r="S160" s="420"/>
      <c r="T160" s="642"/>
      <c r="U160" s="420"/>
      <c r="V160" s="611" t="s">
        <v>132</v>
      </c>
      <c r="W160" s="420"/>
      <c r="X160" s="420"/>
      <c r="Y160" s="420"/>
      <c r="Z160" s="420"/>
      <c r="AA160" s="420"/>
      <c r="AB160" s="642"/>
      <c r="AC160" s="420"/>
      <c r="AD160" s="420"/>
      <c r="AE160" s="420"/>
      <c r="AF160" s="420"/>
      <c r="AG160" s="420"/>
      <c r="AH160" s="420"/>
      <c r="AI160" s="420"/>
      <c r="AJ160" s="420"/>
      <c r="AK160" s="420"/>
      <c r="AL160" s="420"/>
      <c r="AM160" s="642"/>
      <c r="AN160" s="420"/>
      <c r="AO160" s="420"/>
      <c r="AP16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0" s="419">
        <f>WWWW[[#This Row],[%Equitable and continuous access to sufficient quantity of safe drinking water]]*WWWW[[#This Row],[Total PoP ]]</f>
        <v>0</v>
      </c>
      <c r="AR16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0" s="419">
        <f>WWWW[[#This Row],[% Access to unimproved water points]]*WWWW[[#This Row],[Total PoP ]]</f>
        <v>0</v>
      </c>
      <c r="AT16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0" s="419">
        <f>WWWW[[#This Row],[HRP1]]/250</f>
        <v>0</v>
      </c>
      <c r="AW160" s="424">
        <f>1-WWWW[[#This Row],[% Equitable and continuous access to sufficient quantity of domestic water]]</f>
        <v>1</v>
      </c>
      <c r="AX160" s="419">
        <f>WWWW[[#This Row],[%equitable and continuous access to sufficient quantity of safe drinking and domestic water''s GAP]]*WWWW[[#This Row],[Total PoP ]]</f>
        <v>667</v>
      </c>
      <c r="AY160" s="421">
        <f>IF(WWWW[[#This Row],[Total required water points]]-WWWW[[#This Row],['#Water points coverage]]&lt;0,0,WWWW[[#This Row],[Total required water points]]-WWWW[[#This Row],['#Water points coverage]])</f>
        <v>3</v>
      </c>
      <c r="AZ160" s="421">
        <f>ROUND(IF(WWWW[[#This Row],[Total PoP ]]&lt;250,1,WWWW[[#This Row],[Total PoP ]]/250),0)</f>
        <v>3</v>
      </c>
      <c r="BA16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0" s="419">
        <f>WWWW[[#This Row],[% people access to functioning Latrine]]*WWWW[[#This Row],[Total PoP ]]</f>
        <v>0</v>
      </c>
      <c r="BC160" s="421">
        <f>WWWW[[#This Row],['#_of_Functioning_latrines_in_school]]*50</f>
        <v>0</v>
      </c>
      <c r="BD160" s="421">
        <f>ROUND((WWWW[[#This Row],[Total PoP ]]/6),0)</f>
        <v>111</v>
      </c>
      <c r="BE160" s="421">
        <f>IF(WWWW[[#This Row],[Total required Latrines]]-(WWWW[[#This Row],['#_of_sanitary_fly-proof_HH_latrines]])&lt;0,0,WWWW[[#This Row],[Total required Latrines]]-(WWWW[[#This Row],['#_of_sanitary_fly-proof_HH_latrines]]))</f>
        <v>111</v>
      </c>
      <c r="BF160" s="563">
        <f>1-WWWW[[#This Row],[% people access to functioning Latrine]]</f>
        <v>1</v>
      </c>
      <c r="BG16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0" s="419">
        <f>IF(WWWW[[#This Row],['#_of_functional_handwashing_facilities_at_HH_level]]*6&gt;WWWW[[#This Row],[Total PoP ]],WWWW[[#This Row],[Total PoP ]],WWWW[[#This Row],['#_of_functional_handwashing_facilities_at_HH_level]]*6)</f>
        <v>0</v>
      </c>
      <c r="BI160" s="421">
        <f>IF(WWWW[[#This Row],['# people reached by regular dedicated hygiene promotion]]&gt;WWWW[[#This Row],['# People received regular supply of hygiene items]],WWWW[[#This Row],['# people reached by regular dedicated hygiene promotion]],WWWW[[#This Row],['# People received regular supply of hygiene items]])</f>
        <v>0</v>
      </c>
      <c r="BJ160" s="424">
        <f>IF(WWWW[[#This Row],[HRP3]]/WWWW[[#This Row],[Total PoP ]]&gt;100%,100%,WWWW[[#This Row],[HRP3]]/WWWW[[#This Row],[Total PoP ]])</f>
        <v>0</v>
      </c>
      <c r="BK160" s="423">
        <f>1-WWWW[[#This Row],[Hygiene Coverage%]]</f>
        <v>1</v>
      </c>
      <c r="BL160" s="422">
        <f>WWWW[[#This Row],['# people reached by regular dedicated hygiene promotion]]/WWWW[[#This Row],[Total PoP ]]</f>
        <v>0</v>
      </c>
      <c r="BM16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0" s="421">
        <f>WWWW[[#This Row],['#_of_affected_women_and_girls_receiving_a_sufficient_quantity_of_sanitary_pads]]</f>
        <v>0</v>
      </c>
      <c r="BO160" s="420">
        <f>IF(WWWW[[#This Row],['# People with access to soap]]&gt;WWWW[[#This Row],['# People with access to Sanity Pads]],WWWW[[#This Row],['# People with access to soap]],WWWW[[#This Row],['# People with access to Sanity Pads]])</f>
        <v>0</v>
      </c>
      <c r="BP160" s="419" t="str">
        <f>IF(OR(WWWW[[#This Row],['#of students in school]]="",WWWW[[#This Row],['#of students in school]]=0),"No","Yes")</f>
        <v>No</v>
      </c>
      <c r="BQ160" s="417" t="str">
        <f>VLOOKUP(WWWW[[#This Row],[Village  Name]],SiteDB6[[Site Name]:[Location Type 1]],9,FALSE)</f>
        <v>Village</v>
      </c>
      <c r="BR160" s="417" t="str">
        <f>VLOOKUP(WWWW[[#This Row],[Village  Name]],SiteDB6[[Site Name]:[Type of Accommodation]],10,FALSE)</f>
        <v>Village</v>
      </c>
      <c r="BS160" s="417">
        <f>VLOOKUP(WWWW[[#This Row],[Village  Name]],SiteDB6[[Site Name]:[Ethnic or GCA/NGCA]],11,FALSE)</f>
        <v>0</v>
      </c>
      <c r="BT160" s="417">
        <f>VLOOKUP(WWWW[[#This Row],[Village  Name]],SiteDB6[[Site Name]:[Lat]],12,FALSE)</f>
        <v>20.889249800000002</v>
      </c>
      <c r="BU160" s="417">
        <f>VLOOKUP(WWWW[[#This Row],[Village  Name]],SiteDB6[[Site Name]:[Long]],13,FALSE)</f>
        <v>92.939201350000005</v>
      </c>
      <c r="BV160" s="417">
        <f>VLOOKUP(WWWW[[#This Row],[Village  Name]],SiteDB6[[Site Name]:[Pcode]],3,FALSE)</f>
        <v>0</v>
      </c>
      <c r="BW160" s="425" t="str">
        <f t="shared" si="6"/>
        <v>Covered</v>
      </c>
      <c r="BX160" s="425"/>
      <c r="BY160" s="33"/>
      <c r="CA160" s="431"/>
      <c r="CB160" s="33"/>
      <c r="CC160" s="36"/>
      <c r="CE160" s="37"/>
      <c r="CN160" s="20"/>
    </row>
    <row r="161" spans="1:92" hidden="1">
      <c r="A161" s="412" t="s">
        <v>2380</v>
      </c>
      <c r="B161" s="412" t="s">
        <v>320</v>
      </c>
      <c r="C161" s="418" t="s">
        <v>320</v>
      </c>
      <c r="D161" s="418" t="s">
        <v>291</v>
      </c>
      <c r="E161" s="551" t="s">
        <v>2687</v>
      </c>
      <c r="F161" s="418" t="s">
        <v>304</v>
      </c>
      <c r="G161" s="551" t="str">
        <f>VLOOKUP(WWWW[[#This Row],[Village  Name]],SiteDB6[[Site Name]:[Location Type]],8,FALSE)</f>
        <v>Village</v>
      </c>
      <c r="H161" s="418" t="s">
        <v>575</v>
      </c>
      <c r="I161" s="420">
        <v>173</v>
      </c>
      <c r="J161" s="420">
        <v>1090</v>
      </c>
      <c r="K161" s="426">
        <v>43374</v>
      </c>
      <c r="L161" s="427">
        <v>43738</v>
      </c>
      <c r="M161" s="420"/>
      <c r="N161" s="420"/>
      <c r="O161" s="420"/>
      <c r="P161" s="420"/>
      <c r="Q161" s="420"/>
      <c r="R161" s="420"/>
      <c r="S161" s="420"/>
      <c r="T161" s="642"/>
      <c r="U161" s="420"/>
      <c r="V161" s="611" t="s">
        <v>132</v>
      </c>
      <c r="W161" s="420"/>
      <c r="X161" s="420"/>
      <c r="Y161" s="420"/>
      <c r="Z161" s="420"/>
      <c r="AA161" s="420"/>
      <c r="AB161" s="642"/>
      <c r="AC161" s="420"/>
      <c r="AD161" s="420"/>
      <c r="AE161" s="420"/>
      <c r="AF161" s="420"/>
      <c r="AG161" s="420"/>
      <c r="AH161" s="420"/>
      <c r="AI161" s="420"/>
      <c r="AJ161" s="420"/>
      <c r="AK161" s="420"/>
      <c r="AL161" s="420"/>
      <c r="AM161" s="642"/>
      <c r="AN161" s="420"/>
      <c r="AO161" s="420"/>
      <c r="AP16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1" s="419">
        <f>WWWW[[#This Row],[%Equitable and continuous access to sufficient quantity of safe drinking water]]*WWWW[[#This Row],[Total PoP ]]</f>
        <v>0</v>
      </c>
      <c r="AR16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1" s="419">
        <f>WWWW[[#This Row],[% Access to unimproved water points]]*WWWW[[#This Row],[Total PoP ]]</f>
        <v>0</v>
      </c>
      <c r="AT16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1" s="419">
        <f>WWWW[[#This Row],[HRP1]]/250</f>
        <v>0</v>
      </c>
      <c r="AW161" s="424">
        <f>1-WWWW[[#This Row],[% Equitable and continuous access to sufficient quantity of domestic water]]</f>
        <v>1</v>
      </c>
      <c r="AX161" s="419">
        <f>WWWW[[#This Row],[%equitable and continuous access to sufficient quantity of safe drinking and domestic water''s GAP]]*WWWW[[#This Row],[Total PoP ]]</f>
        <v>1090</v>
      </c>
      <c r="AY161" s="421">
        <f>IF(WWWW[[#This Row],[Total required water points]]-WWWW[[#This Row],['#Water points coverage]]&lt;0,0,WWWW[[#This Row],[Total required water points]]-WWWW[[#This Row],['#Water points coverage]])</f>
        <v>4</v>
      </c>
      <c r="AZ161" s="421">
        <f>ROUND(IF(WWWW[[#This Row],[Total PoP ]]&lt;250,1,WWWW[[#This Row],[Total PoP ]]/250),0)</f>
        <v>4</v>
      </c>
      <c r="BA16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1" s="419">
        <f>WWWW[[#This Row],[% people access to functioning Latrine]]*WWWW[[#This Row],[Total PoP ]]</f>
        <v>0</v>
      </c>
      <c r="BC161" s="421">
        <f>WWWW[[#This Row],['#_of_Functioning_latrines_in_school]]*50</f>
        <v>0</v>
      </c>
      <c r="BD161" s="421">
        <f>ROUND((WWWW[[#This Row],[Total PoP ]]/6),0)</f>
        <v>182</v>
      </c>
      <c r="BE161" s="421">
        <f>IF(WWWW[[#This Row],[Total required Latrines]]-(WWWW[[#This Row],['#_of_sanitary_fly-proof_HH_latrines]])&lt;0,0,WWWW[[#This Row],[Total required Latrines]]-(WWWW[[#This Row],['#_of_sanitary_fly-proof_HH_latrines]]))</f>
        <v>182</v>
      </c>
      <c r="BF161" s="563">
        <f>1-WWWW[[#This Row],[% people access to functioning Latrine]]</f>
        <v>1</v>
      </c>
      <c r="BG16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1" s="419">
        <f>IF(WWWW[[#This Row],['#_of_functional_handwashing_facilities_at_HH_level]]*6&gt;WWWW[[#This Row],[Total PoP ]],WWWW[[#This Row],[Total PoP ]],WWWW[[#This Row],['#_of_functional_handwashing_facilities_at_HH_level]]*6)</f>
        <v>0</v>
      </c>
      <c r="BI161" s="421">
        <f>IF(WWWW[[#This Row],['# people reached by regular dedicated hygiene promotion]]&gt;WWWW[[#This Row],['# People received regular supply of hygiene items]],WWWW[[#This Row],['# people reached by regular dedicated hygiene promotion]],WWWW[[#This Row],['# People received regular supply of hygiene items]])</f>
        <v>0</v>
      </c>
      <c r="BJ161" s="424">
        <f>IF(WWWW[[#This Row],[HRP3]]/WWWW[[#This Row],[Total PoP ]]&gt;100%,100%,WWWW[[#This Row],[HRP3]]/WWWW[[#This Row],[Total PoP ]])</f>
        <v>0</v>
      </c>
      <c r="BK161" s="423">
        <f>1-WWWW[[#This Row],[Hygiene Coverage%]]</f>
        <v>1</v>
      </c>
      <c r="BL161" s="422">
        <f>WWWW[[#This Row],['# people reached by regular dedicated hygiene promotion]]/WWWW[[#This Row],[Total PoP ]]</f>
        <v>0</v>
      </c>
      <c r="BM16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1" s="421">
        <f>WWWW[[#This Row],['#_of_affected_women_and_girls_receiving_a_sufficient_quantity_of_sanitary_pads]]</f>
        <v>0</v>
      </c>
      <c r="BO161" s="420">
        <f>IF(WWWW[[#This Row],['# People with access to soap]]&gt;WWWW[[#This Row],['# People with access to Sanity Pads]],WWWW[[#This Row],['# People with access to soap]],WWWW[[#This Row],['# People with access to Sanity Pads]])</f>
        <v>0</v>
      </c>
      <c r="BP161" s="419" t="str">
        <f>IF(OR(WWWW[[#This Row],['#of students in school]]="",WWWW[[#This Row],['#of students in school]]=0),"No","Yes")</f>
        <v>No</v>
      </c>
      <c r="BQ161" s="417" t="str">
        <f>VLOOKUP(WWWW[[#This Row],[Village  Name]],SiteDB6[[Site Name]:[Location Type 1]],9,FALSE)</f>
        <v>Village</v>
      </c>
      <c r="BR161" s="417" t="str">
        <f>VLOOKUP(WWWW[[#This Row],[Village  Name]],SiteDB6[[Site Name]:[Type of Accommodation]],10,FALSE)</f>
        <v>Returned</v>
      </c>
      <c r="BS161" s="417" t="str">
        <f>VLOOKUP(WWWW[[#This Row],[Village  Name]],SiteDB6[[Site Name]:[Ethnic or GCA/NGCA]],11,FALSE)</f>
        <v>Muslim</v>
      </c>
      <c r="BT161" s="417">
        <f>VLOOKUP(WWWW[[#This Row],[Village  Name]],SiteDB6[[Site Name]:[Lat]],12,FALSE)</f>
        <v>20.727589999999999</v>
      </c>
      <c r="BU161" s="417">
        <f>VLOOKUP(WWWW[[#This Row],[Village  Name]],SiteDB6[[Site Name]:[Long]],13,FALSE)</f>
        <v>92.969350000000006</v>
      </c>
      <c r="BV161" s="417" t="str">
        <f>VLOOKUP(WWWW[[#This Row],[Village  Name]],SiteDB6[[Site Name]:[Pcode]],3,FALSE)</f>
        <v>MMR012CMP028</v>
      </c>
      <c r="BW161" s="425" t="str">
        <f t="shared" si="6"/>
        <v>Covered</v>
      </c>
      <c r="BX161" s="425"/>
      <c r="BY161" s="33"/>
      <c r="CA161" s="431"/>
      <c r="CB161" s="33"/>
      <c r="CC161" s="36"/>
      <c r="CE161" s="37"/>
      <c r="CN161" s="20"/>
    </row>
    <row r="162" spans="1:92" hidden="1">
      <c r="A162" s="412" t="s">
        <v>2380</v>
      </c>
      <c r="B162" s="412" t="s">
        <v>320</v>
      </c>
      <c r="C162" s="418" t="s">
        <v>320</v>
      </c>
      <c r="D162" s="418" t="s">
        <v>291</v>
      </c>
      <c r="E162" s="551" t="s">
        <v>2687</v>
      </c>
      <c r="F162" s="418" t="s">
        <v>304</v>
      </c>
      <c r="G162" s="551" t="str">
        <f>VLOOKUP(WWWW[[#This Row],[Village  Name]],SiteDB6[[Site Name]:[Location Type]],8,FALSE)</f>
        <v>Village</v>
      </c>
      <c r="H162" s="418" t="s">
        <v>2247</v>
      </c>
      <c r="I162" s="420">
        <v>174</v>
      </c>
      <c r="J162" s="420">
        <v>665</v>
      </c>
      <c r="K162" s="426">
        <v>43374</v>
      </c>
      <c r="L162" s="427">
        <v>43738</v>
      </c>
      <c r="M162" s="420"/>
      <c r="N162" s="420"/>
      <c r="O162" s="420"/>
      <c r="P162" s="420"/>
      <c r="Q162" s="420"/>
      <c r="R162" s="420"/>
      <c r="S162" s="420"/>
      <c r="T162" s="642"/>
      <c r="U162" s="420"/>
      <c r="V162" s="611" t="s">
        <v>132</v>
      </c>
      <c r="W162" s="420"/>
      <c r="X162" s="420"/>
      <c r="Y162" s="420"/>
      <c r="Z162" s="420"/>
      <c r="AA162" s="420"/>
      <c r="AB162" s="642"/>
      <c r="AC162" s="420"/>
      <c r="AD162" s="420"/>
      <c r="AE162" s="420"/>
      <c r="AF162" s="420"/>
      <c r="AG162" s="420"/>
      <c r="AH162" s="420"/>
      <c r="AI162" s="420"/>
      <c r="AJ162" s="420"/>
      <c r="AK162" s="420"/>
      <c r="AL162" s="420"/>
      <c r="AM162" s="642"/>
      <c r="AN162" s="420"/>
      <c r="AO162" s="420"/>
      <c r="AP16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2" s="419">
        <f>WWWW[[#This Row],[%Equitable and continuous access to sufficient quantity of safe drinking water]]*WWWW[[#This Row],[Total PoP ]]</f>
        <v>0</v>
      </c>
      <c r="AR16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2" s="419">
        <f>WWWW[[#This Row],[% Access to unimproved water points]]*WWWW[[#This Row],[Total PoP ]]</f>
        <v>0</v>
      </c>
      <c r="AT16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2" s="419">
        <f>WWWW[[#This Row],[HRP1]]/250</f>
        <v>0</v>
      </c>
      <c r="AW162" s="424">
        <f>1-WWWW[[#This Row],[% Equitable and continuous access to sufficient quantity of domestic water]]</f>
        <v>1</v>
      </c>
      <c r="AX162" s="419">
        <f>WWWW[[#This Row],[%equitable and continuous access to sufficient quantity of safe drinking and domestic water''s GAP]]*WWWW[[#This Row],[Total PoP ]]</f>
        <v>665</v>
      </c>
      <c r="AY162" s="421">
        <f>IF(WWWW[[#This Row],[Total required water points]]-WWWW[[#This Row],['#Water points coverage]]&lt;0,0,WWWW[[#This Row],[Total required water points]]-WWWW[[#This Row],['#Water points coverage]])</f>
        <v>3</v>
      </c>
      <c r="AZ162" s="421">
        <f>ROUND(IF(WWWW[[#This Row],[Total PoP ]]&lt;250,1,WWWW[[#This Row],[Total PoP ]]/250),0)</f>
        <v>3</v>
      </c>
      <c r="BA16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2" s="419">
        <f>WWWW[[#This Row],[% people access to functioning Latrine]]*WWWW[[#This Row],[Total PoP ]]</f>
        <v>0</v>
      </c>
      <c r="BC162" s="421">
        <f>WWWW[[#This Row],['#_of_Functioning_latrines_in_school]]*50</f>
        <v>0</v>
      </c>
      <c r="BD162" s="421">
        <f>ROUND((WWWW[[#This Row],[Total PoP ]]/6),0)</f>
        <v>111</v>
      </c>
      <c r="BE162" s="421">
        <f>IF(WWWW[[#This Row],[Total required Latrines]]-(WWWW[[#This Row],['#_of_sanitary_fly-proof_HH_latrines]])&lt;0,0,WWWW[[#This Row],[Total required Latrines]]-(WWWW[[#This Row],['#_of_sanitary_fly-proof_HH_latrines]]))</f>
        <v>111</v>
      </c>
      <c r="BF162" s="563">
        <f>1-WWWW[[#This Row],[% people access to functioning Latrine]]</f>
        <v>1</v>
      </c>
      <c r="BG16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2" s="419">
        <f>IF(WWWW[[#This Row],['#_of_functional_handwashing_facilities_at_HH_level]]*6&gt;WWWW[[#This Row],[Total PoP ]],WWWW[[#This Row],[Total PoP ]],WWWW[[#This Row],['#_of_functional_handwashing_facilities_at_HH_level]]*6)</f>
        <v>0</v>
      </c>
      <c r="BI162" s="421">
        <f>IF(WWWW[[#This Row],['# people reached by regular dedicated hygiene promotion]]&gt;WWWW[[#This Row],['# People received regular supply of hygiene items]],WWWW[[#This Row],['# people reached by regular dedicated hygiene promotion]],WWWW[[#This Row],['# People received regular supply of hygiene items]])</f>
        <v>0</v>
      </c>
      <c r="BJ162" s="424">
        <f>IF(WWWW[[#This Row],[HRP3]]/WWWW[[#This Row],[Total PoP ]]&gt;100%,100%,WWWW[[#This Row],[HRP3]]/WWWW[[#This Row],[Total PoP ]])</f>
        <v>0</v>
      </c>
      <c r="BK162" s="423">
        <f>1-WWWW[[#This Row],[Hygiene Coverage%]]</f>
        <v>1</v>
      </c>
      <c r="BL162" s="422">
        <f>WWWW[[#This Row],['# people reached by regular dedicated hygiene promotion]]/WWWW[[#This Row],[Total PoP ]]</f>
        <v>0</v>
      </c>
      <c r="BM16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2" s="421">
        <f>WWWW[[#This Row],['#_of_affected_women_and_girls_receiving_a_sufficient_quantity_of_sanitary_pads]]</f>
        <v>0</v>
      </c>
      <c r="BO162" s="420">
        <f>IF(WWWW[[#This Row],['# People with access to soap]]&gt;WWWW[[#This Row],['# People with access to Sanity Pads]],WWWW[[#This Row],['# People with access to soap]],WWWW[[#This Row],['# People with access to Sanity Pads]])</f>
        <v>0</v>
      </c>
      <c r="BP162" s="419" t="str">
        <f>IF(OR(WWWW[[#This Row],['#of students in school]]="",WWWW[[#This Row],['#of students in school]]=0),"No","Yes")</f>
        <v>No</v>
      </c>
      <c r="BQ162" s="417" t="str">
        <f>VLOOKUP(WWWW[[#This Row],[Village  Name]],SiteDB6[[Site Name]:[Location Type 1]],9,FALSE)</f>
        <v>Village</v>
      </c>
      <c r="BR162" s="417" t="str">
        <f>VLOOKUP(WWWW[[#This Row],[Village  Name]],SiteDB6[[Site Name]:[Type of Accommodation]],10,FALSE)</f>
        <v>Village</v>
      </c>
      <c r="BS162" s="417">
        <f>VLOOKUP(WWWW[[#This Row],[Village  Name]],SiteDB6[[Site Name]:[Ethnic or GCA/NGCA]],11,FALSE)</f>
        <v>0</v>
      </c>
      <c r="BT162" s="417">
        <f>VLOOKUP(WWWW[[#This Row],[Village  Name]],SiteDB6[[Site Name]:[Lat]],12,FALSE)</f>
        <v>20.883239750000001</v>
      </c>
      <c r="BU162" s="417">
        <f>VLOOKUP(WWWW[[#This Row],[Village  Name]],SiteDB6[[Site Name]:[Long]],13,FALSE)</f>
        <v>92.936859130000002</v>
      </c>
      <c r="BV162" s="417">
        <f>VLOOKUP(WWWW[[#This Row],[Village  Name]],SiteDB6[[Site Name]:[Pcode]],3,FALSE)</f>
        <v>196813</v>
      </c>
      <c r="BW162" s="425" t="str">
        <f t="shared" si="6"/>
        <v>Covered</v>
      </c>
      <c r="BX162" s="425"/>
      <c r="BY162" s="33"/>
      <c r="CA162" s="431"/>
      <c r="CB162" s="33"/>
      <c r="CC162" s="36"/>
      <c r="CE162" s="37"/>
      <c r="CN162" s="20"/>
    </row>
    <row r="163" spans="1:92" hidden="1">
      <c r="A163" s="412" t="s">
        <v>2380</v>
      </c>
      <c r="B163" s="412" t="s">
        <v>320</v>
      </c>
      <c r="C163" s="418" t="s">
        <v>320</v>
      </c>
      <c r="D163" s="418" t="s">
        <v>291</v>
      </c>
      <c r="E163" s="551" t="s">
        <v>2687</v>
      </c>
      <c r="F163" s="418" t="s">
        <v>304</v>
      </c>
      <c r="G163" s="551" t="str">
        <f>VLOOKUP(WWWW[[#This Row],[Village  Name]],SiteDB6[[Site Name]:[Location Type]],8,FALSE)</f>
        <v>Village</v>
      </c>
      <c r="H163" s="418" t="s">
        <v>2249</v>
      </c>
      <c r="I163" s="420">
        <v>82</v>
      </c>
      <c r="J163" s="420">
        <v>304</v>
      </c>
      <c r="K163" s="426">
        <v>43374</v>
      </c>
      <c r="L163" s="427">
        <v>43738</v>
      </c>
      <c r="M163" s="420"/>
      <c r="N163" s="420"/>
      <c r="O163" s="420"/>
      <c r="P163" s="420"/>
      <c r="Q163" s="420"/>
      <c r="R163" s="420"/>
      <c r="S163" s="420"/>
      <c r="T163" s="642"/>
      <c r="U163" s="420"/>
      <c r="V163" s="611" t="s">
        <v>132</v>
      </c>
      <c r="W163" s="420"/>
      <c r="X163" s="420"/>
      <c r="Y163" s="420"/>
      <c r="Z163" s="420"/>
      <c r="AA163" s="420"/>
      <c r="AB163" s="642"/>
      <c r="AC163" s="420"/>
      <c r="AD163" s="420"/>
      <c r="AE163" s="420"/>
      <c r="AF163" s="420"/>
      <c r="AG163" s="420"/>
      <c r="AH163" s="420"/>
      <c r="AI163" s="420"/>
      <c r="AJ163" s="420"/>
      <c r="AK163" s="420"/>
      <c r="AL163" s="420"/>
      <c r="AM163" s="642"/>
      <c r="AN163" s="420"/>
      <c r="AO163" s="420"/>
      <c r="AP16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3" s="419">
        <f>WWWW[[#This Row],[%Equitable and continuous access to sufficient quantity of safe drinking water]]*WWWW[[#This Row],[Total PoP ]]</f>
        <v>0</v>
      </c>
      <c r="AR16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3" s="419">
        <f>WWWW[[#This Row],[% Access to unimproved water points]]*WWWW[[#This Row],[Total PoP ]]</f>
        <v>0</v>
      </c>
      <c r="AT16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3" s="419">
        <f>WWWW[[#This Row],[HRP1]]/250</f>
        <v>0</v>
      </c>
      <c r="AW163" s="424">
        <f>1-WWWW[[#This Row],[% Equitable and continuous access to sufficient quantity of domestic water]]</f>
        <v>1</v>
      </c>
      <c r="AX163" s="419">
        <f>WWWW[[#This Row],[%equitable and continuous access to sufficient quantity of safe drinking and domestic water''s GAP]]*WWWW[[#This Row],[Total PoP ]]</f>
        <v>304</v>
      </c>
      <c r="AY163" s="421">
        <f>IF(WWWW[[#This Row],[Total required water points]]-WWWW[[#This Row],['#Water points coverage]]&lt;0,0,WWWW[[#This Row],[Total required water points]]-WWWW[[#This Row],['#Water points coverage]])</f>
        <v>1</v>
      </c>
      <c r="AZ163" s="421">
        <f>ROUND(IF(WWWW[[#This Row],[Total PoP ]]&lt;250,1,WWWW[[#This Row],[Total PoP ]]/250),0)</f>
        <v>1</v>
      </c>
      <c r="BA16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3" s="419">
        <f>WWWW[[#This Row],[% people access to functioning Latrine]]*WWWW[[#This Row],[Total PoP ]]</f>
        <v>0</v>
      </c>
      <c r="BC163" s="421">
        <f>WWWW[[#This Row],['#_of_Functioning_latrines_in_school]]*50</f>
        <v>0</v>
      </c>
      <c r="BD163" s="421">
        <f>ROUND((WWWW[[#This Row],[Total PoP ]]/6),0)</f>
        <v>51</v>
      </c>
      <c r="BE163" s="421">
        <f>IF(WWWW[[#This Row],[Total required Latrines]]-(WWWW[[#This Row],['#_of_sanitary_fly-proof_HH_latrines]])&lt;0,0,WWWW[[#This Row],[Total required Latrines]]-(WWWW[[#This Row],['#_of_sanitary_fly-proof_HH_latrines]]))</f>
        <v>51</v>
      </c>
      <c r="BF163" s="563">
        <f>1-WWWW[[#This Row],[% people access to functioning Latrine]]</f>
        <v>1</v>
      </c>
      <c r="BG16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3" s="419">
        <f>IF(WWWW[[#This Row],['#_of_functional_handwashing_facilities_at_HH_level]]*6&gt;WWWW[[#This Row],[Total PoP ]],WWWW[[#This Row],[Total PoP ]],WWWW[[#This Row],['#_of_functional_handwashing_facilities_at_HH_level]]*6)</f>
        <v>0</v>
      </c>
      <c r="BI163" s="421">
        <f>IF(WWWW[[#This Row],['# people reached by regular dedicated hygiene promotion]]&gt;WWWW[[#This Row],['# People received regular supply of hygiene items]],WWWW[[#This Row],['# people reached by regular dedicated hygiene promotion]],WWWW[[#This Row],['# People received regular supply of hygiene items]])</f>
        <v>0</v>
      </c>
      <c r="BJ163" s="424">
        <f>IF(WWWW[[#This Row],[HRP3]]/WWWW[[#This Row],[Total PoP ]]&gt;100%,100%,WWWW[[#This Row],[HRP3]]/WWWW[[#This Row],[Total PoP ]])</f>
        <v>0</v>
      </c>
      <c r="BK163" s="423">
        <f>1-WWWW[[#This Row],[Hygiene Coverage%]]</f>
        <v>1</v>
      </c>
      <c r="BL163" s="422">
        <f>WWWW[[#This Row],['# people reached by regular dedicated hygiene promotion]]/WWWW[[#This Row],[Total PoP ]]</f>
        <v>0</v>
      </c>
      <c r="BM16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3" s="421">
        <f>WWWW[[#This Row],['#_of_affected_women_and_girls_receiving_a_sufficient_quantity_of_sanitary_pads]]</f>
        <v>0</v>
      </c>
      <c r="BO163" s="420">
        <f>IF(WWWW[[#This Row],['# People with access to soap]]&gt;WWWW[[#This Row],['# People with access to Sanity Pads]],WWWW[[#This Row],['# People with access to soap]],WWWW[[#This Row],['# People with access to Sanity Pads]])</f>
        <v>0</v>
      </c>
      <c r="BP163" s="419" t="str">
        <f>IF(OR(WWWW[[#This Row],['#of students in school]]="",WWWW[[#This Row],['#of students in school]]=0),"No","Yes")</f>
        <v>No</v>
      </c>
      <c r="BQ163" s="417" t="str">
        <f>VLOOKUP(WWWW[[#This Row],[Village  Name]],SiteDB6[[Site Name]:[Location Type 1]],9,FALSE)</f>
        <v>Village</v>
      </c>
      <c r="BR163" s="417" t="str">
        <f>VLOOKUP(WWWW[[#This Row],[Village  Name]],SiteDB6[[Site Name]:[Type of Accommodation]],10,FALSE)</f>
        <v>Village</v>
      </c>
      <c r="BS163" s="417">
        <f>VLOOKUP(WWWW[[#This Row],[Village  Name]],SiteDB6[[Site Name]:[Ethnic or GCA/NGCA]],11,FALSE)</f>
        <v>0</v>
      </c>
      <c r="BT163" s="417">
        <f>VLOOKUP(WWWW[[#This Row],[Village  Name]],SiteDB6[[Site Name]:[Lat]],12,FALSE)</f>
        <v>20.932960510000001</v>
      </c>
      <c r="BU163" s="417">
        <f>VLOOKUP(WWWW[[#This Row],[Village  Name]],SiteDB6[[Site Name]:[Long]],13,FALSE)</f>
        <v>92.930267330000007</v>
      </c>
      <c r="BV163" s="417">
        <f>VLOOKUP(WWWW[[#This Row],[Village  Name]],SiteDB6[[Site Name]:[Pcode]],3,FALSE)</f>
        <v>196755</v>
      </c>
      <c r="BW163" s="425" t="str">
        <f t="shared" si="6"/>
        <v>Covered</v>
      </c>
      <c r="BX163" s="425"/>
      <c r="BY163" s="33"/>
      <c r="CA163" s="431"/>
      <c r="CB163" s="33"/>
      <c r="CC163" s="36"/>
      <c r="CE163" s="37"/>
      <c r="CN163" s="20"/>
    </row>
    <row r="164" spans="1:92" hidden="1">
      <c r="A164" s="412" t="s">
        <v>2380</v>
      </c>
      <c r="B164" s="412" t="s">
        <v>320</v>
      </c>
      <c r="C164" s="418" t="s">
        <v>320</v>
      </c>
      <c r="D164" s="418" t="s">
        <v>291</v>
      </c>
      <c r="E164" s="551" t="s">
        <v>2687</v>
      </c>
      <c r="F164" s="418" t="s">
        <v>304</v>
      </c>
      <c r="G164" s="551" t="str">
        <f>VLOOKUP(WWWW[[#This Row],[Village  Name]],SiteDB6[[Site Name]:[Location Type]],8,FALSE)</f>
        <v>Village</v>
      </c>
      <c r="H164" s="418" t="s">
        <v>2248</v>
      </c>
      <c r="I164" s="420">
        <v>71</v>
      </c>
      <c r="J164" s="420">
        <v>292</v>
      </c>
      <c r="K164" s="426">
        <v>43374</v>
      </c>
      <c r="L164" s="427">
        <v>43738</v>
      </c>
      <c r="M164" s="420"/>
      <c r="N164" s="420"/>
      <c r="O164" s="420"/>
      <c r="P164" s="420"/>
      <c r="Q164" s="420"/>
      <c r="R164" s="420"/>
      <c r="S164" s="420"/>
      <c r="T164" s="642"/>
      <c r="U164" s="420"/>
      <c r="V164" s="611" t="s">
        <v>132</v>
      </c>
      <c r="W164" s="420"/>
      <c r="X164" s="420"/>
      <c r="Y164" s="420"/>
      <c r="Z164" s="420"/>
      <c r="AA164" s="420"/>
      <c r="AB164" s="642"/>
      <c r="AC164" s="420"/>
      <c r="AD164" s="420"/>
      <c r="AE164" s="420"/>
      <c r="AF164" s="420"/>
      <c r="AG164" s="420"/>
      <c r="AH164" s="420"/>
      <c r="AI164" s="420"/>
      <c r="AJ164" s="420"/>
      <c r="AK164" s="420"/>
      <c r="AL164" s="420"/>
      <c r="AM164" s="642"/>
      <c r="AN164" s="420"/>
      <c r="AO164" s="420"/>
      <c r="AP16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4" s="419">
        <f>WWWW[[#This Row],[%Equitable and continuous access to sufficient quantity of safe drinking water]]*WWWW[[#This Row],[Total PoP ]]</f>
        <v>0</v>
      </c>
      <c r="AR16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4" s="419">
        <f>WWWW[[#This Row],[% Access to unimproved water points]]*WWWW[[#This Row],[Total PoP ]]</f>
        <v>0</v>
      </c>
      <c r="AT16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4" s="419">
        <f>WWWW[[#This Row],[HRP1]]/250</f>
        <v>0</v>
      </c>
      <c r="AW164" s="424">
        <f>1-WWWW[[#This Row],[% Equitable and continuous access to sufficient quantity of domestic water]]</f>
        <v>1</v>
      </c>
      <c r="AX164" s="419">
        <f>WWWW[[#This Row],[%equitable and continuous access to sufficient quantity of safe drinking and domestic water''s GAP]]*WWWW[[#This Row],[Total PoP ]]</f>
        <v>292</v>
      </c>
      <c r="AY164" s="421">
        <f>IF(WWWW[[#This Row],[Total required water points]]-WWWW[[#This Row],['#Water points coverage]]&lt;0,0,WWWW[[#This Row],[Total required water points]]-WWWW[[#This Row],['#Water points coverage]])</f>
        <v>1</v>
      </c>
      <c r="AZ164" s="421">
        <f>ROUND(IF(WWWW[[#This Row],[Total PoP ]]&lt;250,1,WWWW[[#This Row],[Total PoP ]]/250),0)</f>
        <v>1</v>
      </c>
      <c r="BA16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4" s="419">
        <f>WWWW[[#This Row],[% people access to functioning Latrine]]*WWWW[[#This Row],[Total PoP ]]</f>
        <v>0</v>
      </c>
      <c r="BC164" s="421">
        <f>WWWW[[#This Row],['#_of_Functioning_latrines_in_school]]*50</f>
        <v>0</v>
      </c>
      <c r="BD164" s="421">
        <f>ROUND((WWWW[[#This Row],[Total PoP ]]/6),0)</f>
        <v>49</v>
      </c>
      <c r="BE164" s="421">
        <f>IF(WWWW[[#This Row],[Total required Latrines]]-(WWWW[[#This Row],['#_of_sanitary_fly-proof_HH_latrines]])&lt;0,0,WWWW[[#This Row],[Total required Latrines]]-(WWWW[[#This Row],['#_of_sanitary_fly-proof_HH_latrines]]))</f>
        <v>49</v>
      </c>
      <c r="BF164" s="563">
        <f>1-WWWW[[#This Row],[% people access to functioning Latrine]]</f>
        <v>1</v>
      </c>
      <c r="BG16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4" s="419">
        <f>IF(WWWW[[#This Row],['#_of_functional_handwashing_facilities_at_HH_level]]*6&gt;WWWW[[#This Row],[Total PoP ]],WWWW[[#This Row],[Total PoP ]],WWWW[[#This Row],['#_of_functional_handwashing_facilities_at_HH_level]]*6)</f>
        <v>0</v>
      </c>
      <c r="BI164" s="421">
        <f>IF(WWWW[[#This Row],['# people reached by regular dedicated hygiene promotion]]&gt;WWWW[[#This Row],['# People received regular supply of hygiene items]],WWWW[[#This Row],['# people reached by regular dedicated hygiene promotion]],WWWW[[#This Row],['# People received regular supply of hygiene items]])</f>
        <v>0</v>
      </c>
      <c r="BJ164" s="424">
        <f>IF(WWWW[[#This Row],[HRP3]]/WWWW[[#This Row],[Total PoP ]]&gt;100%,100%,WWWW[[#This Row],[HRP3]]/WWWW[[#This Row],[Total PoP ]])</f>
        <v>0</v>
      </c>
      <c r="BK164" s="423">
        <f>1-WWWW[[#This Row],[Hygiene Coverage%]]</f>
        <v>1</v>
      </c>
      <c r="BL164" s="422">
        <f>WWWW[[#This Row],['# people reached by regular dedicated hygiene promotion]]/WWWW[[#This Row],[Total PoP ]]</f>
        <v>0</v>
      </c>
      <c r="BM16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4" s="421">
        <f>WWWW[[#This Row],['#_of_affected_women_and_girls_receiving_a_sufficient_quantity_of_sanitary_pads]]</f>
        <v>0</v>
      </c>
      <c r="BO164" s="420">
        <f>IF(WWWW[[#This Row],['# People with access to soap]]&gt;WWWW[[#This Row],['# People with access to Sanity Pads]],WWWW[[#This Row],['# People with access to soap]],WWWW[[#This Row],['# People with access to Sanity Pads]])</f>
        <v>0</v>
      </c>
      <c r="BP164" s="419" t="str">
        <f>IF(OR(WWWW[[#This Row],['#of students in school]]="",WWWW[[#This Row],['#of students in school]]=0),"No","Yes")</f>
        <v>No</v>
      </c>
      <c r="BQ164" s="417" t="str">
        <f>VLOOKUP(WWWW[[#This Row],[Village  Name]],SiteDB6[[Site Name]:[Location Type 1]],9,FALSE)</f>
        <v>Village</v>
      </c>
      <c r="BR164" s="417" t="str">
        <f>VLOOKUP(WWWW[[#This Row],[Village  Name]],SiteDB6[[Site Name]:[Type of Accommodation]],10,FALSE)</f>
        <v>Village</v>
      </c>
      <c r="BS164" s="417">
        <f>VLOOKUP(WWWW[[#This Row],[Village  Name]],SiteDB6[[Site Name]:[Ethnic or GCA/NGCA]],11,FALSE)</f>
        <v>0</v>
      </c>
      <c r="BT164" s="417">
        <f>VLOOKUP(WWWW[[#This Row],[Village  Name]],SiteDB6[[Site Name]:[Lat]],12,FALSE)</f>
        <v>0</v>
      </c>
      <c r="BU164" s="417">
        <f>VLOOKUP(WWWW[[#This Row],[Village  Name]],SiteDB6[[Site Name]:[Long]],13,FALSE)</f>
        <v>0</v>
      </c>
      <c r="BV164" s="417">
        <f>VLOOKUP(WWWW[[#This Row],[Village  Name]],SiteDB6[[Site Name]:[Pcode]],3,FALSE)</f>
        <v>220647</v>
      </c>
      <c r="BW164" s="425" t="str">
        <f t="shared" si="6"/>
        <v>Covered</v>
      </c>
      <c r="BX164" s="425"/>
      <c r="BY164" s="33"/>
      <c r="CA164" s="431"/>
      <c r="CB164" s="33"/>
      <c r="CC164" s="36"/>
      <c r="CE164" s="37"/>
      <c r="CN164" s="20"/>
    </row>
    <row r="165" spans="1:92" hidden="1">
      <c r="A165" s="412" t="s">
        <v>2380</v>
      </c>
      <c r="B165" s="412" t="s">
        <v>320</v>
      </c>
      <c r="C165" s="418" t="s">
        <v>320</v>
      </c>
      <c r="D165" s="418" t="s">
        <v>291</v>
      </c>
      <c r="E165" s="551" t="s">
        <v>2687</v>
      </c>
      <c r="F165" s="418" t="s">
        <v>304</v>
      </c>
      <c r="G165" s="551" t="str">
        <f>VLOOKUP(WWWW[[#This Row],[Village  Name]],SiteDB6[[Site Name]:[Location Type]],8,FALSE)</f>
        <v>Village</v>
      </c>
      <c r="H165" s="418" t="s">
        <v>2250</v>
      </c>
      <c r="I165" s="420">
        <v>156</v>
      </c>
      <c r="J165" s="420">
        <v>677</v>
      </c>
      <c r="K165" s="426">
        <v>43374</v>
      </c>
      <c r="L165" s="427">
        <v>43738</v>
      </c>
      <c r="M165" s="420"/>
      <c r="N165" s="420"/>
      <c r="O165" s="420"/>
      <c r="P165" s="420"/>
      <c r="Q165" s="420"/>
      <c r="R165" s="420"/>
      <c r="S165" s="420"/>
      <c r="T165" s="642"/>
      <c r="U165" s="420"/>
      <c r="V165" s="611" t="s">
        <v>132</v>
      </c>
      <c r="W165" s="420"/>
      <c r="X165" s="420"/>
      <c r="Y165" s="420"/>
      <c r="Z165" s="420"/>
      <c r="AA165" s="420"/>
      <c r="AB165" s="642"/>
      <c r="AC165" s="420"/>
      <c r="AD165" s="420"/>
      <c r="AE165" s="420"/>
      <c r="AF165" s="420"/>
      <c r="AG165" s="420"/>
      <c r="AH165" s="420"/>
      <c r="AI165" s="420"/>
      <c r="AJ165" s="420"/>
      <c r="AK165" s="420"/>
      <c r="AL165" s="420"/>
      <c r="AM165" s="642"/>
      <c r="AN165" s="420"/>
      <c r="AO165" s="420"/>
      <c r="AP16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5" s="419">
        <f>WWWW[[#This Row],[%Equitable and continuous access to sufficient quantity of safe drinking water]]*WWWW[[#This Row],[Total PoP ]]</f>
        <v>0</v>
      </c>
      <c r="AR16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5" s="419">
        <f>WWWW[[#This Row],[% Access to unimproved water points]]*WWWW[[#This Row],[Total PoP ]]</f>
        <v>0</v>
      </c>
      <c r="AT16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5" s="419">
        <f>WWWW[[#This Row],[HRP1]]/250</f>
        <v>0</v>
      </c>
      <c r="AW165" s="424">
        <f>1-WWWW[[#This Row],[% Equitable and continuous access to sufficient quantity of domestic water]]</f>
        <v>1</v>
      </c>
      <c r="AX165" s="419">
        <f>WWWW[[#This Row],[%equitable and continuous access to sufficient quantity of safe drinking and domestic water''s GAP]]*WWWW[[#This Row],[Total PoP ]]</f>
        <v>677</v>
      </c>
      <c r="AY165" s="421">
        <f>IF(WWWW[[#This Row],[Total required water points]]-WWWW[[#This Row],['#Water points coverage]]&lt;0,0,WWWW[[#This Row],[Total required water points]]-WWWW[[#This Row],['#Water points coverage]])</f>
        <v>3</v>
      </c>
      <c r="AZ165" s="421">
        <f>ROUND(IF(WWWW[[#This Row],[Total PoP ]]&lt;250,1,WWWW[[#This Row],[Total PoP ]]/250),0)</f>
        <v>3</v>
      </c>
      <c r="BA16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5" s="419">
        <f>WWWW[[#This Row],[% people access to functioning Latrine]]*WWWW[[#This Row],[Total PoP ]]</f>
        <v>0</v>
      </c>
      <c r="BC165" s="421">
        <f>WWWW[[#This Row],['#_of_Functioning_latrines_in_school]]*50</f>
        <v>0</v>
      </c>
      <c r="BD165" s="421">
        <f>ROUND((WWWW[[#This Row],[Total PoP ]]/6),0)</f>
        <v>113</v>
      </c>
      <c r="BE165" s="421">
        <f>IF(WWWW[[#This Row],[Total required Latrines]]-(WWWW[[#This Row],['#_of_sanitary_fly-proof_HH_latrines]])&lt;0,0,WWWW[[#This Row],[Total required Latrines]]-(WWWW[[#This Row],['#_of_sanitary_fly-proof_HH_latrines]]))</f>
        <v>113</v>
      </c>
      <c r="BF165" s="563">
        <f>1-WWWW[[#This Row],[% people access to functioning Latrine]]</f>
        <v>1</v>
      </c>
      <c r="BG16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5" s="419">
        <f>IF(WWWW[[#This Row],['#_of_functional_handwashing_facilities_at_HH_level]]*6&gt;WWWW[[#This Row],[Total PoP ]],WWWW[[#This Row],[Total PoP ]],WWWW[[#This Row],['#_of_functional_handwashing_facilities_at_HH_level]]*6)</f>
        <v>0</v>
      </c>
      <c r="BI165" s="421">
        <f>IF(WWWW[[#This Row],['# people reached by regular dedicated hygiene promotion]]&gt;WWWW[[#This Row],['# People received regular supply of hygiene items]],WWWW[[#This Row],['# people reached by regular dedicated hygiene promotion]],WWWW[[#This Row],['# People received regular supply of hygiene items]])</f>
        <v>0</v>
      </c>
      <c r="BJ165" s="424">
        <f>IF(WWWW[[#This Row],[HRP3]]/WWWW[[#This Row],[Total PoP ]]&gt;100%,100%,WWWW[[#This Row],[HRP3]]/WWWW[[#This Row],[Total PoP ]])</f>
        <v>0</v>
      </c>
      <c r="BK165" s="423">
        <f>1-WWWW[[#This Row],[Hygiene Coverage%]]</f>
        <v>1</v>
      </c>
      <c r="BL165" s="422">
        <f>WWWW[[#This Row],['# people reached by regular dedicated hygiene promotion]]/WWWW[[#This Row],[Total PoP ]]</f>
        <v>0</v>
      </c>
      <c r="BM16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5" s="421">
        <f>WWWW[[#This Row],['#_of_affected_women_and_girls_receiving_a_sufficient_quantity_of_sanitary_pads]]</f>
        <v>0</v>
      </c>
      <c r="BO165" s="420">
        <f>IF(WWWW[[#This Row],['# People with access to soap]]&gt;WWWW[[#This Row],['# People with access to Sanity Pads]],WWWW[[#This Row],['# People with access to soap]],WWWW[[#This Row],['# People with access to Sanity Pads]])</f>
        <v>0</v>
      </c>
      <c r="BP165" s="419" t="str">
        <f>IF(OR(WWWW[[#This Row],['#of students in school]]="",WWWW[[#This Row],['#of students in school]]=0),"No","Yes")</f>
        <v>No</v>
      </c>
      <c r="BQ165" s="417" t="str">
        <f>VLOOKUP(WWWW[[#This Row],[Village  Name]],SiteDB6[[Site Name]:[Location Type 1]],9,FALSE)</f>
        <v>Village</v>
      </c>
      <c r="BR165" s="417" t="str">
        <f>VLOOKUP(WWWW[[#This Row],[Village  Name]],SiteDB6[[Site Name]:[Type of Accommodation]],10,FALSE)</f>
        <v>Village</v>
      </c>
      <c r="BS165" s="417">
        <f>VLOOKUP(WWWW[[#This Row],[Village  Name]],SiteDB6[[Site Name]:[Ethnic or GCA/NGCA]],11,FALSE)</f>
        <v>0</v>
      </c>
      <c r="BT165" s="417">
        <f>VLOOKUP(WWWW[[#This Row],[Village  Name]],SiteDB6[[Site Name]:[Lat]],12,FALSE)</f>
        <v>20.760820389999999</v>
      </c>
      <c r="BU165" s="417">
        <f>VLOOKUP(WWWW[[#This Row],[Village  Name]],SiteDB6[[Site Name]:[Long]],13,FALSE)</f>
        <v>92.960083010000005</v>
      </c>
      <c r="BV165" s="417">
        <f>VLOOKUP(WWWW[[#This Row],[Village  Name]],SiteDB6[[Site Name]:[Pcode]],3,FALSE)</f>
        <v>196893</v>
      </c>
      <c r="BW165" s="425" t="str">
        <f t="shared" si="6"/>
        <v>Covered</v>
      </c>
      <c r="BX165" s="425"/>
      <c r="BY165" s="33"/>
      <c r="CA165" s="431"/>
      <c r="CB165" s="33"/>
      <c r="CC165" s="36"/>
      <c r="CE165" s="37"/>
      <c r="CN165" s="20"/>
    </row>
    <row r="166" spans="1:92" hidden="1">
      <c r="A166" s="412" t="s">
        <v>2380</v>
      </c>
      <c r="B166" s="412" t="s">
        <v>320</v>
      </c>
      <c r="C166" s="418" t="s">
        <v>320</v>
      </c>
      <c r="D166" s="418" t="s">
        <v>291</v>
      </c>
      <c r="E166" s="551" t="s">
        <v>2687</v>
      </c>
      <c r="F166" s="418" t="s">
        <v>304</v>
      </c>
      <c r="G166" s="551" t="str">
        <f>VLOOKUP(WWWW[[#This Row],[Village  Name]],SiteDB6[[Site Name]:[Location Type]],8,FALSE)</f>
        <v>Village</v>
      </c>
      <c r="H166" s="418" t="s">
        <v>2251</v>
      </c>
      <c r="I166" s="420">
        <v>286</v>
      </c>
      <c r="J166" s="420">
        <v>1372</v>
      </c>
      <c r="K166" s="426">
        <v>43374</v>
      </c>
      <c r="L166" s="427">
        <v>43738</v>
      </c>
      <c r="M166" s="420"/>
      <c r="N166" s="420"/>
      <c r="O166" s="420"/>
      <c r="P166" s="420"/>
      <c r="Q166" s="420"/>
      <c r="R166" s="420"/>
      <c r="S166" s="420"/>
      <c r="T166" s="642"/>
      <c r="U166" s="420"/>
      <c r="V166" s="611" t="s">
        <v>132</v>
      </c>
      <c r="W166" s="420"/>
      <c r="X166" s="420"/>
      <c r="Y166" s="420"/>
      <c r="Z166" s="420"/>
      <c r="AA166" s="420"/>
      <c r="AB166" s="642"/>
      <c r="AC166" s="420"/>
      <c r="AD166" s="420"/>
      <c r="AE166" s="420"/>
      <c r="AF166" s="420"/>
      <c r="AG166" s="420"/>
      <c r="AH166" s="420"/>
      <c r="AI166" s="420"/>
      <c r="AJ166" s="420"/>
      <c r="AK166" s="420"/>
      <c r="AL166" s="420"/>
      <c r="AM166" s="642"/>
      <c r="AN166" s="420"/>
      <c r="AO166" s="420"/>
      <c r="AP16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6" s="419">
        <f>WWWW[[#This Row],[%Equitable and continuous access to sufficient quantity of safe drinking water]]*WWWW[[#This Row],[Total PoP ]]</f>
        <v>0</v>
      </c>
      <c r="AR16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6" s="419">
        <f>WWWW[[#This Row],[% Access to unimproved water points]]*WWWW[[#This Row],[Total PoP ]]</f>
        <v>0</v>
      </c>
      <c r="AT16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6" s="419">
        <f>WWWW[[#This Row],[HRP1]]/250</f>
        <v>0</v>
      </c>
      <c r="AW166" s="424">
        <f>1-WWWW[[#This Row],[% Equitable and continuous access to sufficient quantity of domestic water]]</f>
        <v>1</v>
      </c>
      <c r="AX166" s="419">
        <f>WWWW[[#This Row],[%equitable and continuous access to sufficient quantity of safe drinking and domestic water''s GAP]]*WWWW[[#This Row],[Total PoP ]]</f>
        <v>1372</v>
      </c>
      <c r="AY166" s="421">
        <f>IF(WWWW[[#This Row],[Total required water points]]-WWWW[[#This Row],['#Water points coverage]]&lt;0,0,WWWW[[#This Row],[Total required water points]]-WWWW[[#This Row],['#Water points coverage]])</f>
        <v>5</v>
      </c>
      <c r="AZ166" s="421">
        <f>ROUND(IF(WWWW[[#This Row],[Total PoP ]]&lt;250,1,WWWW[[#This Row],[Total PoP ]]/250),0)</f>
        <v>5</v>
      </c>
      <c r="BA16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6" s="419">
        <f>WWWW[[#This Row],[% people access to functioning Latrine]]*WWWW[[#This Row],[Total PoP ]]</f>
        <v>0</v>
      </c>
      <c r="BC166" s="421">
        <f>WWWW[[#This Row],['#_of_Functioning_latrines_in_school]]*50</f>
        <v>0</v>
      </c>
      <c r="BD166" s="421">
        <f>ROUND((WWWW[[#This Row],[Total PoP ]]/6),0)</f>
        <v>229</v>
      </c>
      <c r="BE166" s="421">
        <f>IF(WWWW[[#This Row],[Total required Latrines]]-(WWWW[[#This Row],['#_of_sanitary_fly-proof_HH_latrines]])&lt;0,0,WWWW[[#This Row],[Total required Latrines]]-(WWWW[[#This Row],['#_of_sanitary_fly-proof_HH_latrines]]))</f>
        <v>229</v>
      </c>
      <c r="BF166" s="563">
        <f>1-WWWW[[#This Row],[% people access to functioning Latrine]]</f>
        <v>1</v>
      </c>
      <c r="BG16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6" s="419">
        <f>IF(WWWW[[#This Row],['#_of_functional_handwashing_facilities_at_HH_level]]*6&gt;WWWW[[#This Row],[Total PoP ]],WWWW[[#This Row],[Total PoP ]],WWWW[[#This Row],['#_of_functional_handwashing_facilities_at_HH_level]]*6)</f>
        <v>0</v>
      </c>
      <c r="BI166" s="421">
        <f>IF(WWWW[[#This Row],['# people reached by regular dedicated hygiene promotion]]&gt;WWWW[[#This Row],['# People received regular supply of hygiene items]],WWWW[[#This Row],['# people reached by regular dedicated hygiene promotion]],WWWW[[#This Row],['# People received regular supply of hygiene items]])</f>
        <v>0</v>
      </c>
      <c r="BJ166" s="424">
        <f>IF(WWWW[[#This Row],[HRP3]]/WWWW[[#This Row],[Total PoP ]]&gt;100%,100%,WWWW[[#This Row],[HRP3]]/WWWW[[#This Row],[Total PoP ]])</f>
        <v>0</v>
      </c>
      <c r="BK166" s="423">
        <f>1-WWWW[[#This Row],[Hygiene Coverage%]]</f>
        <v>1</v>
      </c>
      <c r="BL166" s="422">
        <f>WWWW[[#This Row],['# people reached by regular dedicated hygiene promotion]]/WWWW[[#This Row],[Total PoP ]]</f>
        <v>0</v>
      </c>
      <c r="BM16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6" s="421">
        <f>WWWW[[#This Row],['#_of_affected_women_and_girls_receiving_a_sufficient_quantity_of_sanitary_pads]]</f>
        <v>0</v>
      </c>
      <c r="BO166" s="420">
        <f>IF(WWWW[[#This Row],['# People with access to soap]]&gt;WWWW[[#This Row],['# People with access to Sanity Pads]],WWWW[[#This Row],['# People with access to soap]],WWWW[[#This Row],['# People with access to Sanity Pads]])</f>
        <v>0</v>
      </c>
      <c r="BP166" s="419" t="str">
        <f>IF(OR(WWWW[[#This Row],['#of students in school]]="",WWWW[[#This Row],['#of students in school]]=0),"No","Yes")</f>
        <v>No</v>
      </c>
      <c r="BQ166" s="417" t="str">
        <f>VLOOKUP(WWWW[[#This Row],[Village  Name]],SiteDB6[[Site Name]:[Location Type 1]],9,FALSE)</f>
        <v>Village</v>
      </c>
      <c r="BR166" s="417" t="str">
        <f>VLOOKUP(WWWW[[#This Row],[Village  Name]],SiteDB6[[Site Name]:[Type of Accommodation]],10,FALSE)</f>
        <v>Village</v>
      </c>
      <c r="BS166" s="417">
        <f>VLOOKUP(WWWW[[#This Row],[Village  Name]],SiteDB6[[Site Name]:[Ethnic or GCA/NGCA]],11,FALSE)</f>
        <v>0</v>
      </c>
      <c r="BT166" s="417">
        <f>VLOOKUP(WWWW[[#This Row],[Village  Name]],SiteDB6[[Site Name]:[Lat]],12,FALSE)</f>
        <v>20.785549159999999</v>
      </c>
      <c r="BU166" s="417">
        <f>VLOOKUP(WWWW[[#This Row],[Village  Name]],SiteDB6[[Site Name]:[Long]],13,FALSE)</f>
        <v>92.971076969999999</v>
      </c>
      <c r="BV166" s="417">
        <f>VLOOKUP(WWWW[[#This Row],[Village  Name]],SiteDB6[[Site Name]:[Pcode]],3,FALSE)</f>
        <v>196889</v>
      </c>
      <c r="BW166" s="425" t="str">
        <f t="shared" si="6"/>
        <v>Covered</v>
      </c>
      <c r="BX166" s="425"/>
      <c r="BY166" s="33"/>
      <c r="CA166" s="431"/>
      <c r="CB166" s="33"/>
      <c r="CC166" s="36"/>
      <c r="CE166" s="37"/>
      <c r="CN166" s="20"/>
    </row>
    <row r="167" spans="1:92" hidden="1">
      <c r="A167" s="412" t="s">
        <v>2380</v>
      </c>
      <c r="B167" s="612" t="s">
        <v>301</v>
      </c>
      <c r="C167" s="612" t="s">
        <v>301</v>
      </c>
      <c r="D167" s="457"/>
      <c r="E167" s="551" t="s">
        <v>2687</v>
      </c>
      <c r="F167" s="457" t="s">
        <v>304</v>
      </c>
      <c r="G167" s="596" t="str">
        <f>VLOOKUP(WWWW[[#This Row],[Village  Name]],SiteDB6[[Site Name]:[Location Type]],8,FALSE)</f>
        <v>Village</v>
      </c>
      <c r="H167" s="457" t="s">
        <v>568</v>
      </c>
      <c r="I167" s="611">
        <v>92</v>
      </c>
      <c r="J167" s="611">
        <v>559</v>
      </c>
      <c r="K167" s="461"/>
      <c r="L167" s="55"/>
      <c r="M167" s="611"/>
      <c r="N167" s="611"/>
      <c r="O167" s="611"/>
      <c r="P167" s="611"/>
      <c r="Q167" s="611"/>
      <c r="R167" s="611"/>
      <c r="S167" s="611"/>
      <c r="T167" s="643"/>
      <c r="U167" s="611"/>
      <c r="V167" s="611"/>
      <c r="W167" s="611"/>
      <c r="X167" s="611"/>
      <c r="Y167" s="611"/>
      <c r="Z167" s="611"/>
      <c r="AA167" s="611"/>
      <c r="AB167" s="643"/>
      <c r="AC167" s="611"/>
      <c r="AD167" s="611"/>
      <c r="AE167" s="611"/>
      <c r="AF167" s="611"/>
      <c r="AG167" s="611"/>
      <c r="AH167" s="611"/>
      <c r="AI167" s="611"/>
      <c r="AJ167" s="611"/>
      <c r="AK167" s="611"/>
      <c r="AL167" s="611"/>
      <c r="AM167" s="643"/>
      <c r="AN167" s="611"/>
      <c r="AO167" s="611"/>
      <c r="AP167"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7" s="565">
        <f>WWWW[[#This Row],[%Equitable and continuous access to sufficient quantity of safe drinking water]]*WWWW[[#This Row],[Total PoP ]]</f>
        <v>0</v>
      </c>
      <c r="AR16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7" s="565">
        <f>WWWW[[#This Row],[% Access to unimproved water points]]*WWWW[[#This Row],[Total PoP ]]</f>
        <v>0</v>
      </c>
      <c r="AT16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7" s="565">
        <f>WWWW[[#This Row],[HRP1]]/250</f>
        <v>0</v>
      </c>
      <c r="AW167" s="555">
        <f>1-WWWW[[#This Row],[% Equitable and continuous access to sufficient quantity of domestic water]]</f>
        <v>1</v>
      </c>
      <c r="AX167" s="565">
        <f>WWWW[[#This Row],[%equitable and continuous access to sufficient quantity of safe drinking and domestic water''s GAP]]*WWWW[[#This Row],[Total PoP ]]</f>
        <v>559</v>
      </c>
      <c r="AY167" s="557">
        <f>IF(WWWW[[#This Row],[Total required water points]]-WWWW[[#This Row],['#Water points coverage]]&lt;0,0,WWWW[[#This Row],[Total required water points]]-WWWW[[#This Row],['#Water points coverage]])</f>
        <v>2</v>
      </c>
      <c r="AZ167" s="557">
        <f>ROUND(IF(WWWW[[#This Row],[Total PoP ]]&lt;250,1,WWWW[[#This Row],[Total PoP ]]/250),0)</f>
        <v>2</v>
      </c>
      <c r="BA167"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7" s="565">
        <f>WWWW[[#This Row],[% people access to functioning Latrine]]*WWWW[[#This Row],[Total PoP ]]</f>
        <v>0</v>
      </c>
      <c r="BC167" s="421">
        <f>WWWW[[#This Row],['#_of_Functioning_latrines_in_school]]*50</f>
        <v>0</v>
      </c>
      <c r="BD167" s="557">
        <f>ROUND((WWWW[[#This Row],[Total PoP ]]/6),0)</f>
        <v>93</v>
      </c>
      <c r="BE167" s="421">
        <f>IF(WWWW[[#This Row],[Total required Latrines]]-(WWWW[[#This Row],['#_of_sanitary_fly-proof_HH_latrines]])&lt;0,0,WWWW[[#This Row],[Total required Latrines]]-(WWWW[[#This Row],['#_of_sanitary_fly-proof_HH_latrines]]))</f>
        <v>93</v>
      </c>
      <c r="BF167" s="563">
        <f>1-WWWW[[#This Row],[% people access to functioning Latrine]]</f>
        <v>1</v>
      </c>
      <c r="BG16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7" s="565">
        <f>IF(WWWW[[#This Row],['#_of_functional_handwashing_facilities_at_HH_level]]*6&gt;WWWW[[#This Row],[Total PoP ]],WWWW[[#This Row],[Total PoP ]],WWWW[[#This Row],['#_of_functional_handwashing_facilities_at_HH_level]]*6)</f>
        <v>0</v>
      </c>
      <c r="BI167" s="557">
        <f>IF(WWWW[[#This Row],['# people reached by regular dedicated hygiene promotion]]&gt;WWWW[[#This Row],['# People received regular supply of hygiene items]],WWWW[[#This Row],['# people reached by regular dedicated hygiene promotion]],WWWW[[#This Row],['# People received regular supply of hygiene items]])</f>
        <v>0</v>
      </c>
      <c r="BJ167" s="555">
        <f>IF(WWWW[[#This Row],[HRP3]]/WWWW[[#This Row],[Total PoP ]]&gt;100%,100%,WWWW[[#This Row],[HRP3]]/WWWW[[#This Row],[Total PoP ]])</f>
        <v>0</v>
      </c>
      <c r="BK167" s="558">
        <f>1-WWWW[[#This Row],[Hygiene Coverage%]]</f>
        <v>1</v>
      </c>
      <c r="BL167" s="556">
        <f>WWWW[[#This Row],['# people reached by regular dedicated hygiene promotion]]/WWWW[[#This Row],[Total PoP ]]</f>
        <v>0</v>
      </c>
      <c r="BM16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7" s="557">
        <f>WWWW[[#This Row],['#_of_affected_women_and_girls_receiving_a_sufficient_quantity_of_sanitary_pads]]</f>
        <v>0</v>
      </c>
      <c r="BO167" s="611">
        <f>IF(WWWW[[#This Row],['# People with access to soap]]&gt;WWWW[[#This Row],['# People with access to Sanity Pads]],WWWW[[#This Row],['# People with access to soap]],WWWW[[#This Row],['# People with access to Sanity Pads]])</f>
        <v>0</v>
      </c>
      <c r="BP167" s="458" t="str">
        <f>IF(OR(WWWW[[#This Row],['#of students in school]]="",WWWW[[#This Row],['#of students in school]]=0),"No","Yes")</f>
        <v>No</v>
      </c>
      <c r="BQ167" s="559" t="str">
        <f>VLOOKUP(WWWW[[#This Row],[Village  Name]],SiteDB6[[Site Name]:[Location Type 1]],9,FALSE)</f>
        <v>Village</v>
      </c>
      <c r="BR167" s="559" t="str">
        <f>VLOOKUP(WWWW[[#This Row],[Village  Name]],SiteDB6[[Site Name]:[Type of Accommodation]],10,FALSE)</f>
        <v>Returned</v>
      </c>
      <c r="BS167" s="559" t="str">
        <f>VLOOKUP(WWWW[[#This Row],[Village  Name]],SiteDB6[[Site Name]:[Ethnic or GCA/NGCA]],11,FALSE)</f>
        <v>Rakhine</v>
      </c>
      <c r="BT167" s="559">
        <f>VLOOKUP(WWWW[[#This Row],[Village  Name]],SiteDB6[[Site Name]:[Lat]],12,FALSE)</f>
        <v>20.720213000000001</v>
      </c>
      <c r="BU167" s="559">
        <f>VLOOKUP(WWWW[[#This Row],[Village  Name]],SiteDB6[[Site Name]:[Long]],13,FALSE)</f>
        <v>92.961841000000007</v>
      </c>
      <c r="BV167" s="559" t="str">
        <f>VLOOKUP(WWWW[[#This Row],[Village  Name]],SiteDB6[[Site Name]:[Pcode]],3,FALSE)</f>
        <v>MMR012CMP024</v>
      </c>
      <c r="BW167" s="587" t="str">
        <f t="shared" si="6"/>
        <v>Notcovered</v>
      </c>
      <c r="BX167" s="587"/>
      <c r="BY167" s="33"/>
      <c r="CA167" s="431"/>
      <c r="CB167" s="33"/>
      <c r="CC167" s="36"/>
      <c r="CE167" s="37"/>
      <c r="CN167" s="20"/>
    </row>
    <row r="168" spans="1:92" hidden="1">
      <c r="A168" s="412" t="s">
        <v>2380</v>
      </c>
      <c r="B168" s="612" t="s">
        <v>301</v>
      </c>
      <c r="C168" s="612" t="s">
        <v>301</v>
      </c>
      <c r="D168" s="457"/>
      <c r="E168" s="551" t="s">
        <v>2687</v>
      </c>
      <c r="F168" s="457" t="s">
        <v>304</v>
      </c>
      <c r="G168" s="596" t="str">
        <f>VLOOKUP(WWWW[[#This Row],[Village  Name]],SiteDB6[[Site Name]:[Location Type]],8,FALSE)</f>
        <v>Village</v>
      </c>
      <c r="H168" s="457" t="s">
        <v>558</v>
      </c>
      <c r="I168" s="611">
        <v>116</v>
      </c>
      <c r="J168" s="611">
        <v>802</v>
      </c>
      <c r="K168" s="461"/>
      <c r="L168" s="55"/>
      <c r="M168" s="611"/>
      <c r="N168" s="611"/>
      <c r="O168" s="611"/>
      <c r="P168" s="611"/>
      <c r="Q168" s="611"/>
      <c r="R168" s="611"/>
      <c r="S168" s="611"/>
      <c r="T168" s="643"/>
      <c r="U168" s="611"/>
      <c r="V168" s="611"/>
      <c r="W168" s="611"/>
      <c r="X168" s="611"/>
      <c r="Y168" s="611"/>
      <c r="Z168" s="611"/>
      <c r="AA168" s="611"/>
      <c r="AB168" s="643"/>
      <c r="AC168" s="611"/>
      <c r="AD168" s="611"/>
      <c r="AE168" s="611"/>
      <c r="AF168" s="611"/>
      <c r="AG168" s="611"/>
      <c r="AH168" s="611"/>
      <c r="AI168" s="611"/>
      <c r="AJ168" s="611"/>
      <c r="AK168" s="611"/>
      <c r="AL168" s="611"/>
      <c r="AM168" s="643"/>
      <c r="AN168" s="611"/>
      <c r="AO168" s="611"/>
      <c r="AP168"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8" s="565">
        <f>WWWW[[#This Row],[%Equitable and continuous access to sufficient quantity of safe drinking water]]*WWWW[[#This Row],[Total PoP ]]</f>
        <v>0</v>
      </c>
      <c r="AR16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8" s="565">
        <f>WWWW[[#This Row],[% Access to unimproved water points]]*WWWW[[#This Row],[Total PoP ]]</f>
        <v>0</v>
      </c>
      <c r="AT16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8" s="565">
        <f>WWWW[[#This Row],[HRP1]]/250</f>
        <v>0</v>
      </c>
      <c r="AW168" s="555">
        <f>1-WWWW[[#This Row],[% Equitable and continuous access to sufficient quantity of domestic water]]</f>
        <v>1</v>
      </c>
      <c r="AX168" s="565">
        <f>WWWW[[#This Row],[%equitable and continuous access to sufficient quantity of safe drinking and domestic water''s GAP]]*WWWW[[#This Row],[Total PoP ]]</f>
        <v>802</v>
      </c>
      <c r="AY168" s="557">
        <f>IF(WWWW[[#This Row],[Total required water points]]-WWWW[[#This Row],['#Water points coverage]]&lt;0,0,WWWW[[#This Row],[Total required water points]]-WWWW[[#This Row],['#Water points coverage]])</f>
        <v>3</v>
      </c>
      <c r="AZ168" s="557">
        <f>ROUND(IF(WWWW[[#This Row],[Total PoP ]]&lt;250,1,WWWW[[#This Row],[Total PoP ]]/250),0)</f>
        <v>3</v>
      </c>
      <c r="BA168"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8" s="565">
        <f>WWWW[[#This Row],[% people access to functioning Latrine]]*WWWW[[#This Row],[Total PoP ]]</f>
        <v>0</v>
      </c>
      <c r="BC168" s="421">
        <f>WWWW[[#This Row],['#_of_Functioning_latrines_in_school]]*50</f>
        <v>0</v>
      </c>
      <c r="BD168" s="557">
        <f>ROUND((WWWW[[#This Row],[Total PoP ]]/6),0)</f>
        <v>134</v>
      </c>
      <c r="BE168" s="421">
        <f>IF(WWWW[[#This Row],[Total required Latrines]]-(WWWW[[#This Row],['#_of_sanitary_fly-proof_HH_latrines]])&lt;0,0,WWWW[[#This Row],[Total required Latrines]]-(WWWW[[#This Row],['#_of_sanitary_fly-proof_HH_latrines]]))</f>
        <v>134</v>
      </c>
      <c r="BF168" s="563">
        <f>1-WWWW[[#This Row],[% people access to functioning Latrine]]</f>
        <v>1</v>
      </c>
      <c r="BG16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8" s="565">
        <f>IF(WWWW[[#This Row],['#_of_functional_handwashing_facilities_at_HH_level]]*6&gt;WWWW[[#This Row],[Total PoP ]],WWWW[[#This Row],[Total PoP ]],WWWW[[#This Row],['#_of_functional_handwashing_facilities_at_HH_level]]*6)</f>
        <v>0</v>
      </c>
      <c r="BI168" s="557">
        <f>IF(WWWW[[#This Row],['# people reached by regular dedicated hygiene promotion]]&gt;WWWW[[#This Row],['# People received regular supply of hygiene items]],WWWW[[#This Row],['# people reached by regular dedicated hygiene promotion]],WWWW[[#This Row],['# People received regular supply of hygiene items]])</f>
        <v>0</v>
      </c>
      <c r="BJ168" s="555">
        <f>IF(WWWW[[#This Row],[HRP3]]/WWWW[[#This Row],[Total PoP ]]&gt;100%,100%,WWWW[[#This Row],[HRP3]]/WWWW[[#This Row],[Total PoP ]])</f>
        <v>0</v>
      </c>
      <c r="BK168" s="558">
        <f>1-WWWW[[#This Row],[Hygiene Coverage%]]</f>
        <v>1</v>
      </c>
      <c r="BL168" s="556">
        <f>WWWW[[#This Row],['# people reached by regular dedicated hygiene promotion]]/WWWW[[#This Row],[Total PoP ]]</f>
        <v>0</v>
      </c>
      <c r="BM16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8" s="557">
        <f>WWWW[[#This Row],['#_of_affected_women_and_girls_receiving_a_sufficient_quantity_of_sanitary_pads]]</f>
        <v>0</v>
      </c>
      <c r="BO168" s="611">
        <f>IF(WWWW[[#This Row],['# People with access to soap]]&gt;WWWW[[#This Row],['# People with access to Sanity Pads]],WWWW[[#This Row],['# People with access to soap]],WWWW[[#This Row],['# People with access to Sanity Pads]])</f>
        <v>0</v>
      </c>
      <c r="BP168" s="458" t="str">
        <f>IF(OR(WWWW[[#This Row],['#of students in school]]="",WWWW[[#This Row],['#of students in school]]=0),"No","Yes")</f>
        <v>No</v>
      </c>
      <c r="BQ168" s="559" t="str">
        <f>VLOOKUP(WWWW[[#This Row],[Village  Name]],SiteDB6[[Site Name]:[Location Type 1]],9,FALSE)</f>
        <v>Village</v>
      </c>
      <c r="BR168" s="559" t="str">
        <f>VLOOKUP(WWWW[[#This Row],[Village  Name]],SiteDB6[[Site Name]:[Type of Accommodation]],10,FALSE)</f>
        <v>Returned</v>
      </c>
      <c r="BS168" s="559" t="str">
        <f>VLOOKUP(WWWW[[#This Row],[Village  Name]],SiteDB6[[Site Name]:[Ethnic or GCA/NGCA]],11,FALSE)</f>
        <v>Muslim</v>
      </c>
      <c r="BT168" s="559">
        <f>VLOOKUP(WWWW[[#This Row],[Village  Name]],SiteDB6[[Site Name]:[Lat]],12,FALSE)</f>
        <v>20.713259999999998</v>
      </c>
      <c r="BU168" s="559">
        <f>VLOOKUP(WWWW[[#This Row],[Village  Name]],SiteDB6[[Site Name]:[Long]],13,FALSE)</f>
        <v>93.014089999999996</v>
      </c>
      <c r="BV168" s="559" t="str">
        <f>VLOOKUP(WWWW[[#This Row],[Village  Name]],SiteDB6[[Site Name]:[Pcode]],3,FALSE)</f>
        <v>MMR012CMP027</v>
      </c>
      <c r="BW168" s="587" t="str">
        <f t="shared" si="6"/>
        <v>Notcovered</v>
      </c>
      <c r="BX168" s="587"/>
      <c r="BY168" s="33"/>
      <c r="CA168" s="431"/>
      <c r="CB168" s="33"/>
      <c r="CC168" s="36"/>
      <c r="CE168" s="37"/>
      <c r="CN168" s="20"/>
    </row>
    <row r="169" spans="1:92" hidden="1">
      <c r="A169" s="412" t="s">
        <v>2380</v>
      </c>
      <c r="B169" s="612" t="s">
        <v>301</v>
      </c>
      <c r="C169" s="612" t="s">
        <v>301</v>
      </c>
      <c r="D169" s="457"/>
      <c r="E169" s="551" t="s">
        <v>2687</v>
      </c>
      <c r="F169" s="457" t="s">
        <v>304</v>
      </c>
      <c r="G169" s="596" t="str">
        <f>VLOOKUP(WWWW[[#This Row],[Village  Name]],SiteDB6[[Site Name]:[Location Type]],8,FALSE)</f>
        <v>Village</v>
      </c>
      <c r="H169" s="457" t="s">
        <v>647</v>
      </c>
      <c r="I169" s="611">
        <v>97</v>
      </c>
      <c r="J169" s="611">
        <v>557</v>
      </c>
      <c r="K169" s="461"/>
      <c r="L169" s="55"/>
      <c r="M169" s="611"/>
      <c r="N169" s="611"/>
      <c r="O169" s="611"/>
      <c r="P169" s="611"/>
      <c r="Q169" s="611"/>
      <c r="R169" s="611"/>
      <c r="S169" s="611"/>
      <c r="T169" s="643"/>
      <c r="U169" s="611"/>
      <c r="V169" s="611"/>
      <c r="W169" s="611"/>
      <c r="X169" s="611"/>
      <c r="Y169" s="611"/>
      <c r="Z169" s="611"/>
      <c r="AA169" s="611"/>
      <c r="AB169" s="643"/>
      <c r="AC169" s="611"/>
      <c r="AD169" s="611"/>
      <c r="AE169" s="611"/>
      <c r="AF169" s="611"/>
      <c r="AG169" s="611"/>
      <c r="AH169" s="611"/>
      <c r="AI169" s="611"/>
      <c r="AJ169" s="611"/>
      <c r="AK169" s="611"/>
      <c r="AL169" s="611"/>
      <c r="AM169" s="643"/>
      <c r="AN169" s="611"/>
      <c r="AO169" s="611"/>
      <c r="AP169"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69" s="565">
        <f>WWWW[[#This Row],[%Equitable and continuous access to sufficient quantity of safe drinking water]]*WWWW[[#This Row],[Total PoP ]]</f>
        <v>0</v>
      </c>
      <c r="AR16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69" s="565">
        <f>WWWW[[#This Row],[% Access to unimproved water points]]*WWWW[[#This Row],[Total PoP ]]</f>
        <v>0</v>
      </c>
      <c r="AT16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6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69" s="565">
        <f>WWWW[[#This Row],[HRP1]]/250</f>
        <v>0</v>
      </c>
      <c r="AW169" s="555">
        <f>1-WWWW[[#This Row],[% Equitable and continuous access to sufficient quantity of domestic water]]</f>
        <v>1</v>
      </c>
      <c r="AX169" s="565">
        <f>WWWW[[#This Row],[%equitable and continuous access to sufficient quantity of safe drinking and domestic water''s GAP]]*WWWW[[#This Row],[Total PoP ]]</f>
        <v>557</v>
      </c>
      <c r="AY169" s="557">
        <f>IF(WWWW[[#This Row],[Total required water points]]-WWWW[[#This Row],['#Water points coverage]]&lt;0,0,WWWW[[#This Row],[Total required water points]]-WWWW[[#This Row],['#Water points coverage]])</f>
        <v>2</v>
      </c>
      <c r="AZ169" s="557">
        <f>ROUND(IF(WWWW[[#This Row],[Total PoP ]]&lt;250,1,WWWW[[#This Row],[Total PoP ]]/250),0)</f>
        <v>2</v>
      </c>
      <c r="BA169"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69" s="565">
        <f>WWWW[[#This Row],[% people access to functioning Latrine]]*WWWW[[#This Row],[Total PoP ]]</f>
        <v>0</v>
      </c>
      <c r="BC169" s="421">
        <f>WWWW[[#This Row],['#_of_Functioning_latrines_in_school]]*50</f>
        <v>0</v>
      </c>
      <c r="BD169" s="557">
        <f>ROUND((WWWW[[#This Row],[Total PoP ]]/6),0)</f>
        <v>93</v>
      </c>
      <c r="BE169" s="421">
        <f>IF(WWWW[[#This Row],[Total required Latrines]]-(WWWW[[#This Row],['#_of_sanitary_fly-proof_HH_latrines]])&lt;0,0,WWWW[[#This Row],[Total required Latrines]]-(WWWW[[#This Row],['#_of_sanitary_fly-proof_HH_latrines]]))</f>
        <v>93</v>
      </c>
      <c r="BF169" s="563">
        <f>1-WWWW[[#This Row],[% people access to functioning Latrine]]</f>
        <v>1</v>
      </c>
      <c r="BG16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69" s="565">
        <f>IF(WWWW[[#This Row],['#_of_functional_handwashing_facilities_at_HH_level]]*6&gt;WWWW[[#This Row],[Total PoP ]],WWWW[[#This Row],[Total PoP ]],WWWW[[#This Row],['#_of_functional_handwashing_facilities_at_HH_level]]*6)</f>
        <v>0</v>
      </c>
      <c r="BI169" s="557">
        <f>IF(WWWW[[#This Row],['# people reached by regular dedicated hygiene promotion]]&gt;WWWW[[#This Row],['# People received regular supply of hygiene items]],WWWW[[#This Row],['# people reached by regular dedicated hygiene promotion]],WWWW[[#This Row],['# People received regular supply of hygiene items]])</f>
        <v>0</v>
      </c>
      <c r="BJ169" s="555">
        <f>IF(WWWW[[#This Row],[HRP3]]/WWWW[[#This Row],[Total PoP ]]&gt;100%,100%,WWWW[[#This Row],[HRP3]]/WWWW[[#This Row],[Total PoP ]])</f>
        <v>0</v>
      </c>
      <c r="BK169" s="558">
        <f>1-WWWW[[#This Row],[Hygiene Coverage%]]</f>
        <v>1</v>
      </c>
      <c r="BL169" s="556">
        <f>WWWW[[#This Row],['# people reached by regular dedicated hygiene promotion]]/WWWW[[#This Row],[Total PoP ]]</f>
        <v>0</v>
      </c>
      <c r="BM16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69" s="557">
        <f>WWWW[[#This Row],['#_of_affected_women_and_girls_receiving_a_sufficient_quantity_of_sanitary_pads]]</f>
        <v>0</v>
      </c>
      <c r="BO169" s="611">
        <f>IF(WWWW[[#This Row],['# People with access to soap]]&gt;WWWW[[#This Row],['# People with access to Sanity Pads]],WWWW[[#This Row],['# People with access to soap]],WWWW[[#This Row],['# People with access to Sanity Pads]])</f>
        <v>0</v>
      </c>
      <c r="BP169" s="458" t="str">
        <f>IF(OR(WWWW[[#This Row],['#of students in school]]="",WWWW[[#This Row],['#of students in school]]=0),"No","Yes")</f>
        <v>No</v>
      </c>
      <c r="BQ169" s="559" t="str">
        <f>VLOOKUP(WWWW[[#This Row],[Village  Name]],SiteDB6[[Site Name]:[Location Type 1]],9,FALSE)</f>
        <v>Village</v>
      </c>
      <c r="BR169" s="559" t="str">
        <f>VLOOKUP(WWWW[[#This Row],[Village  Name]],SiteDB6[[Site Name]:[Type of Accommodation]],10,FALSE)</f>
        <v>Relocated</v>
      </c>
      <c r="BS169" s="559" t="str">
        <f>VLOOKUP(WWWW[[#This Row],[Village  Name]],SiteDB6[[Site Name]:[Ethnic or GCA/NGCA]],11,FALSE)</f>
        <v>Muslim</v>
      </c>
      <c r="BT169" s="559">
        <f>VLOOKUP(WWWW[[#This Row],[Village  Name]],SiteDB6[[Site Name]:[Lat]],12,FALSE)</f>
        <v>20.886997999999998</v>
      </c>
      <c r="BU169" s="559">
        <f>VLOOKUP(WWWW[[#This Row],[Village  Name]],SiteDB6[[Site Name]:[Long]],13,FALSE)</f>
        <v>93.006497999999993</v>
      </c>
      <c r="BV169" s="559" t="str">
        <f>VLOOKUP(WWWW[[#This Row],[Village  Name]],SiteDB6[[Site Name]:[Pcode]],3,FALSE)</f>
        <v>MMR012CMP030</v>
      </c>
      <c r="BW169" s="587" t="str">
        <f t="shared" si="6"/>
        <v>Notcovered</v>
      </c>
      <c r="BX169" s="587"/>
      <c r="BY169" s="33"/>
      <c r="CA169" s="431"/>
      <c r="CB169" s="33"/>
      <c r="CC169" s="36"/>
      <c r="CE169" s="37"/>
      <c r="CN169" s="20"/>
    </row>
    <row r="170" spans="1:92" hidden="1">
      <c r="A170" s="412" t="s">
        <v>2380</v>
      </c>
      <c r="B170" s="612" t="s">
        <v>301</v>
      </c>
      <c r="C170" s="612" t="s">
        <v>301</v>
      </c>
      <c r="D170" s="457"/>
      <c r="E170" s="551" t="s">
        <v>2687</v>
      </c>
      <c r="F170" s="457" t="s">
        <v>304</v>
      </c>
      <c r="G170" s="596" t="str">
        <f>VLOOKUP(WWWW[[#This Row],[Village  Name]],SiteDB6[[Site Name]:[Location Type]],8,FALSE)</f>
        <v>Village</v>
      </c>
      <c r="H170" s="457" t="s">
        <v>612</v>
      </c>
      <c r="I170" s="611">
        <v>18</v>
      </c>
      <c r="J170" s="611">
        <v>157</v>
      </c>
      <c r="K170" s="461"/>
      <c r="L170" s="55"/>
      <c r="M170" s="611"/>
      <c r="N170" s="611"/>
      <c r="O170" s="611"/>
      <c r="P170" s="611"/>
      <c r="Q170" s="611"/>
      <c r="R170" s="611"/>
      <c r="S170" s="611"/>
      <c r="T170" s="643"/>
      <c r="U170" s="611"/>
      <c r="V170" s="611"/>
      <c r="W170" s="611"/>
      <c r="X170" s="611"/>
      <c r="Y170" s="611"/>
      <c r="Z170" s="611"/>
      <c r="AA170" s="611"/>
      <c r="AB170" s="643"/>
      <c r="AC170" s="611"/>
      <c r="AD170" s="611"/>
      <c r="AE170" s="611"/>
      <c r="AF170" s="611"/>
      <c r="AG170" s="611"/>
      <c r="AH170" s="611"/>
      <c r="AI170" s="611"/>
      <c r="AJ170" s="611"/>
      <c r="AK170" s="611"/>
      <c r="AL170" s="611"/>
      <c r="AM170" s="643"/>
      <c r="AN170" s="611"/>
      <c r="AO170" s="611"/>
      <c r="AP170"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0" s="565">
        <f>WWWW[[#This Row],[%Equitable and continuous access to sufficient quantity of safe drinking water]]*WWWW[[#This Row],[Total PoP ]]</f>
        <v>0</v>
      </c>
      <c r="AR17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0" s="565">
        <f>WWWW[[#This Row],[% Access to unimproved water points]]*WWWW[[#This Row],[Total PoP ]]</f>
        <v>0</v>
      </c>
      <c r="AT17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0" s="565">
        <f>WWWW[[#This Row],[HRP1]]/250</f>
        <v>0</v>
      </c>
      <c r="AW170" s="555">
        <f>1-WWWW[[#This Row],[% Equitable and continuous access to sufficient quantity of domestic water]]</f>
        <v>1</v>
      </c>
      <c r="AX170" s="565">
        <f>WWWW[[#This Row],[%equitable and continuous access to sufficient quantity of safe drinking and domestic water''s GAP]]*WWWW[[#This Row],[Total PoP ]]</f>
        <v>157</v>
      </c>
      <c r="AY170" s="557">
        <f>IF(WWWW[[#This Row],[Total required water points]]-WWWW[[#This Row],['#Water points coverage]]&lt;0,0,WWWW[[#This Row],[Total required water points]]-WWWW[[#This Row],['#Water points coverage]])</f>
        <v>1</v>
      </c>
      <c r="AZ170" s="557">
        <f>ROUND(IF(WWWW[[#This Row],[Total PoP ]]&lt;250,1,WWWW[[#This Row],[Total PoP ]]/250),0)</f>
        <v>1</v>
      </c>
      <c r="BA17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0" s="565">
        <f>WWWW[[#This Row],[% people access to functioning Latrine]]*WWWW[[#This Row],[Total PoP ]]</f>
        <v>0</v>
      </c>
      <c r="BC170" s="421">
        <f>WWWW[[#This Row],['#_of_Functioning_latrines_in_school]]*50</f>
        <v>0</v>
      </c>
      <c r="BD170" s="557">
        <f>ROUND((WWWW[[#This Row],[Total PoP ]]/6),0)</f>
        <v>26</v>
      </c>
      <c r="BE170" s="421">
        <f>IF(WWWW[[#This Row],[Total required Latrines]]-(WWWW[[#This Row],['#_of_sanitary_fly-proof_HH_latrines]])&lt;0,0,WWWW[[#This Row],[Total required Latrines]]-(WWWW[[#This Row],['#_of_sanitary_fly-proof_HH_latrines]]))</f>
        <v>26</v>
      </c>
      <c r="BF170" s="563">
        <f>1-WWWW[[#This Row],[% people access to functioning Latrine]]</f>
        <v>1</v>
      </c>
      <c r="BG17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70" s="565">
        <f>IF(WWWW[[#This Row],['#_of_functional_handwashing_facilities_at_HH_level]]*6&gt;WWWW[[#This Row],[Total PoP ]],WWWW[[#This Row],[Total PoP ]],WWWW[[#This Row],['#_of_functional_handwashing_facilities_at_HH_level]]*6)</f>
        <v>0</v>
      </c>
      <c r="BI170" s="557">
        <f>IF(WWWW[[#This Row],['# people reached by regular dedicated hygiene promotion]]&gt;WWWW[[#This Row],['# People received regular supply of hygiene items]],WWWW[[#This Row],['# people reached by regular dedicated hygiene promotion]],WWWW[[#This Row],['# People received regular supply of hygiene items]])</f>
        <v>0</v>
      </c>
      <c r="BJ170" s="555">
        <f>IF(WWWW[[#This Row],[HRP3]]/WWWW[[#This Row],[Total PoP ]]&gt;100%,100%,WWWW[[#This Row],[HRP3]]/WWWW[[#This Row],[Total PoP ]])</f>
        <v>0</v>
      </c>
      <c r="BK170" s="558">
        <f>1-WWWW[[#This Row],[Hygiene Coverage%]]</f>
        <v>1</v>
      </c>
      <c r="BL170" s="556">
        <f>WWWW[[#This Row],['# people reached by regular dedicated hygiene promotion]]/WWWW[[#This Row],[Total PoP ]]</f>
        <v>0</v>
      </c>
      <c r="BM17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0" s="557">
        <f>WWWW[[#This Row],['#_of_affected_women_and_girls_receiving_a_sufficient_quantity_of_sanitary_pads]]</f>
        <v>0</v>
      </c>
      <c r="BO170" s="611">
        <f>IF(WWWW[[#This Row],['# People with access to soap]]&gt;WWWW[[#This Row],['# People with access to Sanity Pads]],WWWW[[#This Row],['# People with access to soap]],WWWW[[#This Row],['# People with access to Sanity Pads]])</f>
        <v>0</v>
      </c>
      <c r="BP170" s="458" t="str">
        <f>IF(OR(WWWW[[#This Row],['#of students in school]]="",WWWW[[#This Row],['#of students in school]]=0),"No","Yes")</f>
        <v>No</v>
      </c>
      <c r="BQ170" s="559" t="str">
        <f>VLOOKUP(WWWW[[#This Row],[Village  Name]],SiteDB6[[Site Name]:[Location Type 1]],9,FALSE)</f>
        <v>Village</v>
      </c>
      <c r="BR170" s="559" t="str">
        <f>VLOOKUP(WWWW[[#This Row],[Village  Name]],SiteDB6[[Site Name]:[Type of Accommodation]],10,FALSE)</f>
        <v>Returned</v>
      </c>
      <c r="BS170" s="559" t="str">
        <f>VLOOKUP(WWWW[[#This Row],[Village  Name]],SiteDB6[[Site Name]:[Ethnic or GCA/NGCA]],11,FALSE)</f>
        <v>Muslim</v>
      </c>
      <c r="BT170" s="559">
        <f>VLOOKUP(WWWW[[#This Row],[Village  Name]],SiteDB6[[Site Name]:[Lat]],12,FALSE)</f>
        <v>20.805734000000001</v>
      </c>
      <c r="BU170" s="559">
        <f>VLOOKUP(WWWW[[#This Row],[Village  Name]],SiteDB6[[Site Name]:[Long]],13,FALSE)</f>
        <v>92.982675999999998</v>
      </c>
      <c r="BV170" s="559" t="str">
        <f>VLOOKUP(WWWW[[#This Row],[Village  Name]],SiteDB6[[Site Name]:[Pcode]],3,FALSE)</f>
        <v>MMR012CMP020</v>
      </c>
      <c r="BW170" s="587" t="str">
        <f t="shared" si="6"/>
        <v>Notcovered</v>
      </c>
      <c r="BX170" s="587"/>
      <c r="BY170" s="33"/>
      <c r="CA170" s="431"/>
      <c r="CB170" s="33"/>
      <c r="CC170" s="36"/>
      <c r="CE170" s="37"/>
      <c r="CN170" s="20"/>
    </row>
    <row r="171" spans="1:92" hidden="1">
      <c r="A171" s="412" t="s">
        <v>2380</v>
      </c>
      <c r="B171" s="612" t="s">
        <v>301</v>
      </c>
      <c r="C171" s="612" t="s">
        <v>301</v>
      </c>
      <c r="D171" s="457"/>
      <c r="E171" s="551" t="s">
        <v>2687</v>
      </c>
      <c r="F171" s="457" t="s">
        <v>304</v>
      </c>
      <c r="G171" s="596" t="str">
        <f>VLOOKUP(WWWW[[#This Row],[Village  Name]],SiteDB6[[Site Name]:[Location Type]],8,FALSE)</f>
        <v>Village</v>
      </c>
      <c r="H171" s="457" t="s">
        <v>595</v>
      </c>
      <c r="I171" s="611">
        <v>144</v>
      </c>
      <c r="J171" s="611">
        <v>1006</v>
      </c>
      <c r="K171" s="461"/>
      <c r="L171" s="55"/>
      <c r="M171" s="611"/>
      <c r="N171" s="611"/>
      <c r="O171" s="611"/>
      <c r="P171" s="611"/>
      <c r="Q171" s="611"/>
      <c r="R171" s="611"/>
      <c r="S171" s="611"/>
      <c r="T171" s="643"/>
      <c r="U171" s="611"/>
      <c r="V171" s="611"/>
      <c r="W171" s="611"/>
      <c r="X171" s="611"/>
      <c r="Y171" s="611"/>
      <c r="Z171" s="611"/>
      <c r="AA171" s="611"/>
      <c r="AB171" s="643"/>
      <c r="AC171" s="611"/>
      <c r="AD171" s="611"/>
      <c r="AE171" s="611"/>
      <c r="AF171" s="611"/>
      <c r="AG171" s="611"/>
      <c r="AH171" s="611"/>
      <c r="AI171" s="611"/>
      <c r="AJ171" s="611"/>
      <c r="AK171" s="611"/>
      <c r="AL171" s="611"/>
      <c r="AM171" s="643"/>
      <c r="AN171" s="611"/>
      <c r="AO171" s="611"/>
      <c r="AP171"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1" s="565">
        <f>WWWW[[#This Row],[%Equitable and continuous access to sufficient quantity of safe drinking water]]*WWWW[[#This Row],[Total PoP ]]</f>
        <v>0</v>
      </c>
      <c r="AR17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1" s="565">
        <f>WWWW[[#This Row],[% Access to unimproved water points]]*WWWW[[#This Row],[Total PoP ]]</f>
        <v>0</v>
      </c>
      <c r="AT17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1" s="565">
        <f>WWWW[[#This Row],[HRP1]]/250</f>
        <v>0</v>
      </c>
      <c r="AW171" s="555">
        <f>1-WWWW[[#This Row],[% Equitable and continuous access to sufficient quantity of domestic water]]</f>
        <v>1</v>
      </c>
      <c r="AX171" s="565">
        <f>WWWW[[#This Row],[%equitable and continuous access to sufficient quantity of safe drinking and domestic water''s GAP]]*WWWW[[#This Row],[Total PoP ]]</f>
        <v>1006</v>
      </c>
      <c r="AY171" s="557">
        <f>IF(WWWW[[#This Row],[Total required water points]]-WWWW[[#This Row],['#Water points coverage]]&lt;0,0,WWWW[[#This Row],[Total required water points]]-WWWW[[#This Row],['#Water points coverage]])</f>
        <v>4</v>
      </c>
      <c r="AZ171" s="557">
        <f>ROUND(IF(WWWW[[#This Row],[Total PoP ]]&lt;250,1,WWWW[[#This Row],[Total PoP ]]/250),0)</f>
        <v>4</v>
      </c>
      <c r="BA171"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1" s="565">
        <f>WWWW[[#This Row],[% people access to functioning Latrine]]*WWWW[[#This Row],[Total PoP ]]</f>
        <v>0</v>
      </c>
      <c r="BC171" s="421">
        <f>WWWW[[#This Row],['#_of_Functioning_latrines_in_school]]*50</f>
        <v>0</v>
      </c>
      <c r="BD171" s="557">
        <f>ROUND((WWWW[[#This Row],[Total PoP ]]/6),0)</f>
        <v>168</v>
      </c>
      <c r="BE171" s="421">
        <f>IF(WWWW[[#This Row],[Total required Latrines]]-(WWWW[[#This Row],['#_of_sanitary_fly-proof_HH_latrines]])&lt;0,0,WWWW[[#This Row],[Total required Latrines]]-(WWWW[[#This Row],['#_of_sanitary_fly-proof_HH_latrines]]))</f>
        <v>168</v>
      </c>
      <c r="BF171" s="563">
        <f>1-WWWW[[#This Row],[% people access to functioning Latrine]]</f>
        <v>1</v>
      </c>
      <c r="BG17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71" s="565">
        <f>IF(WWWW[[#This Row],['#_of_functional_handwashing_facilities_at_HH_level]]*6&gt;WWWW[[#This Row],[Total PoP ]],WWWW[[#This Row],[Total PoP ]],WWWW[[#This Row],['#_of_functional_handwashing_facilities_at_HH_level]]*6)</f>
        <v>0</v>
      </c>
      <c r="BI171" s="557">
        <f>IF(WWWW[[#This Row],['# people reached by regular dedicated hygiene promotion]]&gt;WWWW[[#This Row],['# People received regular supply of hygiene items]],WWWW[[#This Row],['# people reached by regular dedicated hygiene promotion]],WWWW[[#This Row],['# People received regular supply of hygiene items]])</f>
        <v>0</v>
      </c>
      <c r="BJ171" s="555">
        <f>IF(WWWW[[#This Row],[HRP3]]/WWWW[[#This Row],[Total PoP ]]&gt;100%,100%,WWWW[[#This Row],[HRP3]]/WWWW[[#This Row],[Total PoP ]])</f>
        <v>0</v>
      </c>
      <c r="BK171" s="558">
        <f>1-WWWW[[#This Row],[Hygiene Coverage%]]</f>
        <v>1</v>
      </c>
      <c r="BL171" s="556">
        <f>WWWW[[#This Row],['# people reached by regular dedicated hygiene promotion]]/WWWW[[#This Row],[Total PoP ]]</f>
        <v>0</v>
      </c>
      <c r="BM17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1" s="557">
        <f>WWWW[[#This Row],['#_of_affected_women_and_girls_receiving_a_sufficient_quantity_of_sanitary_pads]]</f>
        <v>0</v>
      </c>
      <c r="BO171" s="611">
        <f>IF(WWWW[[#This Row],['# People with access to soap]]&gt;WWWW[[#This Row],['# People with access to Sanity Pads]],WWWW[[#This Row],['# People with access to soap]],WWWW[[#This Row],['# People with access to Sanity Pads]])</f>
        <v>0</v>
      </c>
      <c r="BP171" s="458" t="str">
        <f>IF(OR(WWWW[[#This Row],['#of students in school]]="",WWWW[[#This Row],['#of students in school]]=0),"No","Yes")</f>
        <v>No</v>
      </c>
      <c r="BQ171" s="559" t="str">
        <f>VLOOKUP(WWWW[[#This Row],[Village  Name]],SiteDB6[[Site Name]:[Location Type 1]],9,FALSE)</f>
        <v>Village</v>
      </c>
      <c r="BR171" s="559" t="str">
        <f>VLOOKUP(WWWW[[#This Row],[Village  Name]],SiteDB6[[Site Name]:[Type of Accommodation]],10,FALSE)</f>
        <v>Returned</v>
      </c>
      <c r="BS171" s="559" t="str">
        <f>VLOOKUP(WWWW[[#This Row],[Village  Name]],SiteDB6[[Site Name]:[Ethnic or GCA/NGCA]],11,FALSE)</f>
        <v>Muslim</v>
      </c>
      <c r="BT171" s="559">
        <f>VLOOKUP(WWWW[[#This Row],[Village  Name]],SiteDB6[[Site Name]:[Lat]],12,FALSE)</f>
        <v>20.78332</v>
      </c>
      <c r="BU171" s="559">
        <f>VLOOKUP(WWWW[[#This Row],[Village  Name]],SiteDB6[[Site Name]:[Long]],13,FALSE)</f>
        <v>92.987399999999994</v>
      </c>
      <c r="BV171" s="559" t="str">
        <f>VLOOKUP(WWWW[[#This Row],[Village  Name]],SiteDB6[[Site Name]:[Pcode]],3,FALSE)</f>
        <v>MMR012CMP029</v>
      </c>
      <c r="BW171" s="587" t="str">
        <f t="shared" si="6"/>
        <v>Notcovered</v>
      </c>
      <c r="BX171" s="587"/>
      <c r="BY171" s="33"/>
      <c r="CA171" s="431"/>
      <c r="CB171" s="33"/>
      <c r="CC171" s="36"/>
      <c r="CE171" s="37"/>
      <c r="CN171" s="20"/>
    </row>
    <row r="172" spans="1:92" hidden="1">
      <c r="A172" s="412" t="s">
        <v>2380</v>
      </c>
      <c r="B172" s="612" t="s">
        <v>310</v>
      </c>
      <c r="C172" s="612" t="s">
        <v>310</v>
      </c>
      <c r="D172" s="457" t="s">
        <v>2681</v>
      </c>
      <c r="E172" s="551" t="s">
        <v>2686</v>
      </c>
      <c r="F172" s="457" t="s">
        <v>307</v>
      </c>
      <c r="G172" s="596" t="str">
        <f>VLOOKUP(WWWW[[#This Row],[Village  Name]],SiteDB6[[Site Name]:[Location Type]],8,FALSE)</f>
        <v>Village</v>
      </c>
      <c r="H172" s="457" t="s">
        <v>2016</v>
      </c>
      <c r="I172" s="611">
        <v>210</v>
      </c>
      <c r="J172" s="611">
        <v>694</v>
      </c>
      <c r="K172" s="461">
        <v>44134</v>
      </c>
      <c r="L172" s="55"/>
      <c r="M172" s="611"/>
      <c r="N172" s="611"/>
      <c r="O172" s="611"/>
      <c r="P172" s="611"/>
      <c r="Q172" s="611"/>
      <c r="R172" s="611"/>
      <c r="S172" s="611"/>
      <c r="T172" s="643"/>
      <c r="U172" s="611"/>
      <c r="V172" s="611" t="s">
        <v>132</v>
      </c>
      <c r="W172" s="611"/>
      <c r="X172" s="611"/>
      <c r="Y172" s="611"/>
      <c r="Z172" s="611"/>
      <c r="AA172" s="611"/>
      <c r="AB172" s="643"/>
      <c r="AC172" s="611"/>
      <c r="AD172" s="611"/>
      <c r="AE172" s="611"/>
      <c r="AF172" s="611"/>
      <c r="AG172" s="611"/>
      <c r="AH172" s="611"/>
      <c r="AI172" s="611"/>
      <c r="AJ172" s="611"/>
      <c r="AK172" s="611"/>
      <c r="AL172" s="611"/>
      <c r="AM172" s="643"/>
      <c r="AN172" s="611"/>
      <c r="AO172" s="611"/>
      <c r="AP172"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2" s="565">
        <f>WWWW[[#This Row],[%Equitable and continuous access to sufficient quantity of safe drinking water]]*WWWW[[#This Row],[Total PoP ]]</f>
        <v>0</v>
      </c>
      <c r="AR17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2" s="565">
        <f>WWWW[[#This Row],[% Access to unimproved water points]]*WWWW[[#This Row],[Total PoP ]]</f>
        <v>0</v>
      </c>
      <c r="AT17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2" s="565">
        <f>WWWW[[#This Row],[HRP1]]/250</f>
        <v>0</v>
      </c>
      <c r="AW172" s="555">
        <f>1-WWWW[[#This Row],[% Equitable and continuous access to sufficient quantity of domestic water]]</f>
        <v>1</v>
      </c>
      <c r="AX172" s="565">
        <f>WWWW[[#This Row],[%equitable and continuous access to sufficient quantity of safe drinking and domestic water''s GAP]]*WWWW[[#This Row],[Total PoP ]]</f>
        <v>694</v>
      </c>
      <c r="AY172" s="557">
        <f>IF(WWWW[[#This Row],[Total required water points]]-WWWW[[#This Row],['#Water points coverage]]&lt;0,0,WWWW[[#This Row],[Total required water points]]-WWWW[[#This Row],['#Water points coverage]])</f>
        <v>3</v>
      </c>
      <c r="AZ172" s="557">
        <f>ROUND(IF(WWWW[[#This Row],[Total PoP ]]&lt;250,1,WWWW[[#This Row],[Total PoP ]]/250),0)</f>
        <v>3</v>
      </c>
      <c r="BA172"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2" s="565">
        <f>WWWW[[#This Row],[% people access to functioning Latrine]]*WWWW[[#This Row],[Total PoP ]]</f>
        <v>0</v>
      </c>
      <c r="BC172" s="421">
        <f>WWWW[[#This Row],['#_of_Functioning_latrines_in_school]]*50</f>
        <v>0</v>
      </c>
      <c r="BD172" s="557">
        <f>ROUND((WWWW[[#This Row],[Total PoP ]]/6),0)</f>
        <v>116</v>
      </c>
      <c r="BE172" s="421">
        <f>IF(WWWW[[#This Row],[Total required Latrines]]-(WWWW[[#This Row],['#_of_sanitary_fly-proof_HH_latrines]])&lt;0,0,WWWW[[#This Row],[Total required Latrines]]-(WWWW[[#This Row],['#_of_sanitary_fly-proof_HH_latrines]]))</f>
        <v>116</v>
      </c>
      <c r="BF172" s="563">
        <f>1-WWWW[[#This Row],[% people access to functioning Latrine]]</f>
        <v>1</v>
      </c>
      <c r="BG17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72" s="565">
        <f>IF(WWWW[[#This Row],['#_of_functional_handwashing_facilities_at_HH_level]]*6&gt;WWWW[[#This Row],[Total PoP ]],WWWW[[#This Row],[Total PoP ]],WWWW[[#This Row],['#_of_functional_handwashing_facilities_at_HH_level]]*6)</f>
        <v>0</v>
      </c>
      <c r="BI172" s="557">
        <f>IF(WWWW[[#This Row],['# people reached by regular dedicated hygiene promotion]]&gt;WWWW[[#This Row],['# People received regular supply of hygiene items]],WWWW[[#This Row],['# people reached by regular dedicated hygiene promotion]],WWWW[[#This Row],['# People received regular supply of hygiene items]])</f>
        <v>0</v>
      </c>
      <c r="BJ172" s="555">
        <f>IF(WWWW[[#This Row],[HRP3]]/WWWW[[#This Row],[Total PoP ]]&gt;100%,100%,WWWW[[#This Row],[HRP3]]/WWWW[[#This Row],[Total PoP ]])</f>
        <v>0</v>
      </c>
      <c r="BK172" s="558">
        <f>1-WWWW[[#This Row],[Hygiene Coverage%]]</f>
        <v>1</v>
      </c>
      <c r="BL172" s="556">
        <f>WWWW[[#This Row],['# people reached by regular dedicated hygiene promotion]]/WWWW[[#This Row],[Total PoP ]]</f>
        <v>0</v>
      </c>
      <c r="BM17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2" s="557">
        <f>WWWW[[#This Row],['#_of_affected_women_and_girls_receiving_a_sufficient_quantity_of_sanitary_pads]]</f>
        <v>0</v>
      </c>
      <c r="BO172" s="611">
        <f>IF(WWWW[[#This Row],['# People with access to soap]]&gt;WWWW[[#This Row],['# People with access to Sanity Pads]],WWWW[[#This Row],['# People with access to soap]],WWWW[[#This Row],['# People with access to Sanity Pads]])</f>
        <v>0</v>
      </c>
      <c r="BP172" s="458" t="str">
        <f>IF(OR(WWWW[[#This Row],['#of students in school]]="",WWWW[[#This Row],['#of students in school]]=0),"No","Yes")</f>
        <v>No</v>
      </c>
      <c r="BQ172" s="559" t="str">
        <f>VLOOKUP(WWWW[[#This Row],[Village  Name]],SiteDB6[[Site Name]:[Location Type 1]],9,FALSE)</f>
        <v>Village</v>
      </c>
      <c r="BR172" s="559" t="str">
        <f>VLOOKUP(WWWW[[#This Row],[Village  Name]],SiteDB6[[Site Name]:[Type of Accommodation]],10,FALSE)</f>
        <v>Village</v>
      </c>
      <c r="BS172" s="559" t="str">
        <f>VLOOKUP(WWWW[[#This Row],[Village  Name]],SiteDB6[[Site Name]:[Ethnic or GCA/NGCA]],11,FALSE)</f>
        <v>Muslim</v>
      </c>
      <c r="BT172" s="559">
        <f>VLOOKUP(WWWW[[#This Row],[Village  Name]],SiteDB6[[Site Name]:[Lat]],12,FALSE)</f>
        <v>21.012830730000001</v>
      </c>
      <c r="BU172" s="559">
        <f>VLOOKUP(WWWW[[#This Row],[Village  Name]],SiteDB6[[Site Name]:[Long]],13,FALSE)</f>
        <v>92.338958739999995</v>
      </c>
      <c r="BV172" s="559">
        <f>VLOOKUP(WWWW[[#This Row],[Village  Name]],SiteDB6[[Site Name]:[Pcode]],3,FALSE)</f>
        <v>197878</v>
      </c>
      <c r="BW172" s="587" t="str">
        <f t="shared" si="6"/>
        <v>Covered</v>
      </c>
      <c r="BX172" s="587"/>
      <c r="BY172" s="33"/>
      <c r="CA172" s="431"/>
      <c r="CB172" s="33"/>
      <c r="CC172" s="36"/>
      <c r="CE172" s="37"/>
      <c r="CN172" s="20"/>
    </row>
    <row r="173" spans="1:92" hidden="1">
      <c r="A173" s="412" t="s">
        <v>2380</v>
      </c>
      <c r="B173" s="612" t="s">
        <v>310</v>
      </c>
      <c r="C173" s="612" t="s">
        <v>310</v>
      </c>
      <c r="D173" s="457" t="s">
        <v>2681</v>
      </c>
      <c r="E173" s="551" t="s">
        <v>2686</v>
      </c>
      <c r="F173" s="457" t="s">
        <v>307</v>
      </c>
      <c r="G173" s="596" t="str">
        <f>VLOOKUP(WWWW[[#This Row],[Village  Name]],SiteDB6[[Site Name]:[Location Type]],8,FALSE)</f>
        <v>Village</v>
      </c>
      <c r="H173" s="457" t="s">
        <v>2017</v>
      </c>
      <c r="I173" s="611">
        <v>87</v>
      </c>
      <c r="J173" s="611">
        <v>412</v>
      </c>
      <c r="K173" s="461">
        <v>44134</v>
      </c>
      <c r="L173" s="55"/>
      <c r="M173" s="611"/>
      <c r="N173" s="611"/>
      <c r="O173" s="611"/>
      <c r="P173" s="611"/>
      <c r="Q173" s="611"/>
      <c r="R173" s="611"/>
      <c r="S173" s="611"/>
      <c r="T173" s="643"/>
      <c r="U173" s="611"/>
      <c r="V173" s="611" t="s">
        <v>132</v>
      </c>
      <c r="W173" s="611"/>
      <c r="X173" s="611"/>
      <c r="Y173" s="611"/>
      <c r="Z173" s="611"/>
      <c r="AA173" s="611"/>
      <c r="AB173" s="643"/>
      <c r="AC173" s="611"/>
      <c r="AD173" s="611"/>
      <c r="AE173" s="611"/>
      <c r="AF173" s="611"/>
      <c r="AG173" s="611"/>
      <c r="AH173" s="611"/>
      <c r="AI173" s="611"/>
      <c r="AJ173" s="611"/>
      <c r="AK173" s="611"/>
      <c r="AL173" s="611"/>
      <c r="AM173" s="643"/>
      <c r="AN173" s="611"/>
      <c r="AO173" s="611"/>
      <c r="AP173"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3" s="565">
        <f>WWWW[[#This Row],[%Equitable and continuous access to sufficient quantity of safe drinking water]]*WWWW[[#This Row],[Total PoP ]]</f>
        <v>0</v>
      </c>
      <c r="AR17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3" s="565">
        <f>WWWW[[#This Row],[% Access to unimproved water points]]*WWWW[[#This Row],[Total PoP ]]</f>
        <v>0</v>
      </c>
      <c r="AT17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3" s="565">
        <f>WWWW[[#This Row],[HRP1]]/250</f>
        <v>0</v>
      </c>
      <c r="AW173" s="555">
        <f>1-WWWW[[#This Row],[% Equitable and continuous access to sufficient quantity of domestic water]]</f>
        <v>1</v>
      </c>
      <c r="AX173" s="565">
        <f>WWWW[[#This Row],[%equitable and continuous access to sufficient quantity of safe drinking and domestic water''s GAP]]*WWWW[[#This Row],[Total PoP ]]</f>
        <v>412</v>
      </c>
      <c r="AY173" s="557">
        <f>IF(WWWW[[#This Row],[Total required water points]]-WWWW[[#This Row],['#Water points coverage]]&lt;0,0,WWWW[[#This Row],[Total required water points]]-WWWW[[#This Row],['#Water points coverage]])</f>
        <v>2</v>
      </c>
      <c r="AZ173" s="557">
        <f>ROUND(IF(WWWW[[#This Row],[Total PoP ]]&lt;250,1,WWWW[[#This Row],[Total PoP ]]/250),0)</f>
        <v>2</v>
      </c>
      <c r="BA173"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3" s="565">
        <f>WWWW[[#This Row],[% people access to functioning Latrine]]*WWWW[[#This Row],[Total PoP ]]</f>
        <v>0</v>
      </c>
      <c r="BC173" s="421">
        <f>WWWW[[#This Row],['#_of_Functioning_latrines_in_school]]*50</f>
        <v>0</v>
      </c>
      <c r="BD173" s="557">
        <f>ROUND((WWWW[[#This Row],[Total PoP ]]/6),0)</f>
        <v>69</v>
      </c>
      <c r="BE173" s="421">
        <f>IF(WWWW[[#This Row],[Total required Latrines]]-(WWWW[[#This Row],['#_of_sanitary_fly-proof_HH_latrines]])&lt;0,0,WWWW[[#This Row],[Total required Latrines]]-(WWWW[[#This Row],['#_of_sanitary_fly-proof_HH_latrines]]))</f>
        <v>69</v>
      </c>
      <c r="BF173" s="563">
        <f>1-WWWW[[#This Row],[% people access to functioning Latrine]]</f>
        <v>1</v>
      </c>
      <c r="BG17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73" s="565">
        <f>IF(WWWW[[#This Row],['#_of_functional_handwashing_facilities_at_HH_level]]*6&gt;WWWW[[#This Row],[Total PoP ]],WWWW[[#This Row],[Total PoP ]],WWWW[[#This Row],['#_of_functional_handwashing_facilities_at_HH_level]]*6)</f>
        <v>0</v>
      </c>
      <c r="BI173" s="557">
        <f>IF(WWWW[[#This Row],['# people reached by regular dedicated hygiene promotion]]&gt;WWWW[[#This Row],['# People received regular supply of hygiene items]],WWWW[[#This Row],['# people reached by regular dedicated hygiene promotion]],WWWW[[#This Row],['# People received regular supply of hygiene items]])</f>
        <v>0</v>
      </c>
      <c r="BJ173" s="555">
        <f>IF(WWWW[[#This Row],[HRP3]]/WWWW[[#This Row],[Total PoP ]]&gt;100%,100%,WWWW[[#This Row],[HRP3]]/WWWW[[#This Row],[Total PoP ]])</f>
        <v>0</v>
      </c>
      <c r="BK173" s="558">
        <f>1-WWWW[[#This Row],[Hygiene Coverage%]]</f>
        <v>1</v>
      </c>
      <c r="BL173" s="556">
        <f>WWWW[[#This Row],['# people reached by regular dedicated hygiene promotion]]/WWWW[[#This Row],[Total PoP ]]</f>
        <v>0</v>
      </c>
      <c r="BM17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3" s="557">
        <f>WWWW[[#This Row],['#_of_affected_women_and_girls_receiving_a_sufficient_quantity_of_sanitary_pads]]</f>
        <v>0</v>
      </c>
      <c r="BO173" s="611">
        <f>IF(WWWW[[#This Row],['# People with access to soap]]&gt;WWWW[[#This Row],['# People with access to Sanity Pads]],WWWW[[#This Row],['# People with access to soap]],WWWW[[#This Row],['# People with access to Sanity Pads]])</f>
        <v>0</v>
      </c>
      <c r="BP173" s="458" t="str">
        <f>IF(OR(WWWW[[#This Row],['#of students in school]]="",WWWW[[#This Row],['#of students in school]]=0),"No","Yes")</f>
        <v>No</v>
      </c>
      <c r="BQ173" s="559" t="str">
        <f>VLOOKUP(WWWW[[#This Row],[Village  Name]],SiteDB6[[Site Name]:[Location Type 1]],9,FALSE)</f>
        <v>Village</v>
      </c>
      <c r="BR173" s="559" t="str">
        <f>VLOOKUP(WWWW[[#This Row],[Village  Name]],SiteDB6[[Site Name]:[Type of Accommodation]],10,FALSE)</f>
        <v>Village</v>
      </c>
      <c r="BS173" s="559" t="str">
        <f>VLOOKUP(WWWW[[#This Row],[Village  Name]],SiteDB6[[Site Name]:[Ethnic or GCA/NGCA]],11,FALSE)</f>
        <v>Rakhine</v>
      </c>
      <c r="BT173" s="559">
        <f>VLOOKUP(WWWW[[#This Row],[Village  Name]],SiteDB6[[Site Name]:[Lat]],12,FALSE)</f>
        <v>21.218200679999999</v>
      </c>
      <c r="BU173" s="559">
        <f>VLOOKUP(WWWW[[#This Row],[Village  Name]],SiteDB6[[Site Name]:[Long]],13,FALSE)</f>
        <v>92.323173519999997</v>
      </c>
      <c r="BV173" s="559">
        <f>VLOOKUP(WWWW[[#This Row],[Village  Name]],SiteDB6[[Site Name]:[Pcode]],3,FALSE)</f>
        <v>197830</v>
      </c>
      <c r="BW173" s="587" t="str">
        <f t="shared" si="6"/>
        <v>Covered</v>
      </c>
      <c r="BX173" s="587"/>
      <c r="BY173" s="33"/>
      <c r="CA173" s="431"/>
      <c r="CB173" s="33"/>
      <c r="CC173" s="36"/>
      <c r="CE173" s="37"/>
      <c r="CN173" s="20"/>
    </row>
    <row r="174" spans="1:92" hidden="1">
      <c r="A174" s="412" t="s">
        <v>2380</v>
      </c>
      <c r="B174" s="612" t="s">
        <v>310</v>
      </c>
      <c r="C174" s="612" t="s">
        <v>310</v>
      </c>
      <c r="D174" s="457" t="s">
        <v>2681</v>
      </c>
      <c r="E174" s="551" t="s">
        <v>2686</v>
      </c>
      <c r="F174" s="457" t="s">
        <v>307</v>
      </c>
      <c r="G174" s="596" t="str">
        <f>VLOOKUP(WWWW[[#This Row],[Village  Name]],SiteDB6[[Site Name]:[Location Type]],8,FALSE)</f>
        <v>Village</v>
      </c>
      <c r="H174" s="457" t="s">
        <v>2730</v>
      </c>
      <c r="I174" s="611">
        <v>34</v>
      </c>
      <c r="J174" s="611">
        <v>163</v>
      </c>
      <c r="K174" s="461">
        <v>44134</v>
      </c>
      <c r="L174" s="55"/>
      <c r="M174" s="611"/>
      <c r="N174" s="611"/>
      <c r="O174" s="611"/>
      <c r="P174" s="611"/>
      <c r="Q174" s="611"/>
      <c r="R174" s="611"/>
      <c r="S174" s="611"/>
      <c r="T174" s="643"/>
      <c r="U174" s="611"/>
      <c r="V174" s="611" t="s">
        <v>132</v>
      </c>
      <c r="W174" s="611"/>
      <c r="X174" s="611"/>
      <c r="Y174" s="611"/>
      <c r="Z174" s="611"/>
      <c r="AA174" s="611"/>
      <c r="AB174" s="643"/>
      <c r="AC174" s="611"/>
      <c r="AD174" s="611"/>
      <c r="AE174" s="611"/>
      <c r="AF174" s="611"/>
      <c r="AG174" s="611"/>
      <c r="AH174" s="611"/>
      <c r="AI174" s="611"/>
      <c r="AJ174" s="611"/>
      <c r="AK174" s="611"/>
      <c r="AL174" s="611"/>
      <c r="AM174" s="643"/>
      <c r="AN174" s="611"/>
      <c r="AO174" s="611"/>
      <c r="AP174"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4" s="565">
        <f>WWWW[[#This Row],[%Equitable and continuous access to sufficient quantity of safe drinking water]]*WWWW[[#This Row],[Total PoP ]]</f>
        <v>0</v>
      </c>
      <c r="AR17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4" s="565">
        <f>WWWW[[#This Row],[% Access to unimproved water points]]*WWWW[[#This Row],[Total PoP ]]</f>
        <v>0</v>
      </c>
      <c r="AT17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4" s="565">
        <f>WWWW[[#This Row],[HRP1]]/250</f>
        <v>0</v>
      </c>
      <c r="AW174" s="555">
        <f>1-WWWW[[#This Row],[% Equitable and continuous access to sufficient quantity of domestic water]]</f>
        <v>1</v>
      </c>
      <c r="AX174" s="565">
        <f>WWWW[[#This Row],[%equitable and continuous access to sufficient quantity of safe drinking and domestic water''s GAP]]*WWWW[[#This Row],[Total PoP ]]</f>
        <v>163</v>
      </c>
      <c r="AY174" s="557">
        <f>IF(WWWW[[#This Row],[Total required water points]]-WWWW[[#This Row],['#Water points coverage]]&lt;0,0,WWWW[[#This Row],[Total required water points]]-WWWW[[#This Row],['#Water points coverage]])</f>
        <v>1</v>
      </c>
      <c r="AZ174" s="557">
        <f>ROUND(IF(WWWW[[#This Row],[Total PoP ]]&lt;250,1,WWWW[[#This Row],[Total PoP ]]/250),0)</f>
        <v>1</v>
      </c>
      <c r="BA174"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4" s="565">
        <f>WWWW[[#This Row],[% people access to functioning Latrine]]*WWWW[[#This Row],[Total PoP ]]</f>
        <v>0</v>
      </c>
      <c r="BC174" s="421">
        <f>WWWW[[#This Row],['#_of_Functioning_latrines_in_school]]*50</f>
        <v>0</v>
      </c>
      <c r="BD174" s="557">
        <f>ROUND((WWWW[[#This Row],[Total PoP ]]/6),0)</f>
        <v>27</v>
      </c>
      <c r="BE174" s="421">
        <f>IF(WWWW[[#This Row],[Total required Latrines]]-(WWWW[[#This Row],['#_of_sanitary_fly-proof_HH_latrines]])&lt;0,0,WWWW[[#This Row],[Total required Latrines]]-(WWWW[[#This Row],['#_of_sanitary_fly-proof_HH_latrines]]))</f>
        <v>27</v>
      </c>
      <c r="BF174" s="563">
        <f>1-WWWW[[#This Row],[% people access to functioning Latrine]]</f>
        <v>1</v>
      </c>
      <c r="BG17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74" s="565">
        <f>IF(WWWW[[#This Row],['#_of_functional_handwashing_facilities_at_HH_level]]*6&gt;WWWW[[#This Row],[Total PoP ]],WWWW[[#This Row],[Total PoP ]],WWWW[[#This Row],['#_of_functional_handwashing_facilities_at_HH_level]]*6)</f>
        <v>0</v>
      </c>
      <c r="BI174" s="557">
        <f>IF(WWWW[[#This Row],['# people reached by regular dedicated hygiene promotion]]&gt;WWWW[[#This Row],['# People received regular supply of hygiene items]],WWWW[[#This Row],['# people reached by regular dedicated hygiene promotion]],WWWW[[#This Row],['# People received regular supply of hygiene items]])</f>
        <v>0</v>
      </c>
      <c r="BJ174" s="555">
        <f>IF(WWWW[[#This Row],[HRP3]]/WWWW[[#This Row],[Total PoP ]]&gt;100%,100%,WWWW[[#This Row],[HRP3]]/WWWW[[#This Row],[Total PoP ]])</f>
        <v>0</v>
      </c>
      <c r="BK174" s="558">
        <f>1-WWWW[[#This Row],[Hygiene Coverage%]]</f>
        <v>1</v>
      </c>
      <c r="BL174" s="556">
        <f>WWWW[[#This Row],['# people reached by regular dedicated hygiene promotion]]/WWWW[[#This Row],[Total PoP ]]</f>
        <v>0</v>
      </c>
      <c r="BM17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4" s="557">
        <f>WWWW[[#This Row],['#_of_affected_women_and_girls_receiving_a_sufficient_quantity_of_sanitary_pads]]</f>
        <v>0</v>
      </c>
      <c r="BO174" s="611">
        <f>IF(WWWW[[#This Row],['# People with access to soap]]&gt;WWWW[[#This Row],['# People with access to Sanity Pads]],WWWW[[#This Row],['# People with access to soap]],WWWW[[#This Row],['# People with access to Sanity Pads]])</f>
        <v>0</v>
      </c>
      <c r="BP174" s="458" t="str">
        <f>IF(OR(WWWW[[#This Row],['#of students in school]]="",WWWW[[#This Row],['#of students in school]]=0),"No","Yes")</f>
        <v>No</v>
      </c>
      <c r="BQ174" s="559" t="str">
        <f>VLOOKUP(WWWW[[#This Row],[Village  Name]],SiteDB6[[Site Name]:[Location Type 1]],9,FALSE)</f>
        <v>Village</v>
      </c>
      <c r="BR174" s="559" t="str">
        <f>VLOOKUP(WWWW[[#This Row],[Village  Name]],SiteDB6[[Site Name]:[Type of Accommodation]],10,FALSE)</f>
        <v>Village</v>
      </c>
      <c r="BS174" s="559" t="str">
        <f>VLOOKUP(WWWW[[#This Row],[Village  Name]],SiteDB6[[Site Name]:[Ethnic or GCA/NGCA]],11,FALSE)</f>
        <v>Rakhine</v>
      </c>
      <c r="BT174" s="559">
        <f>VLOOKUP(WWWW[[#This Row],[Village  Name]],SiteDB6[[Site Name]:[Lat]],12,FALSE)</f>
        <v>21.153581620000001</v>
      </c>
      <c r="BU174" s="559">
        <f>VLOOKUP(WWWW[[#This Row],[Village  Name]],SiteDB6[[Site Name]:[Long]],13,FALSE)</f>
        <v>92.250885010000005</v>
      </c>
      <c r="BV174" s="559">
        <f>VLOOKUP(WWWW[[#This Row],[Village  Name]],SiteDB6[[Site Name]:[Pcode]],3,FALSE)</f>
        <v>220747</v>
      </c>
      <c r="BW174" s="587" t="str">
        <f t="shared" si="6"/>
        <v>Covered</v>
      </c>
      <c r="BX174" s="587"/>
      <c r="BY174" s="33"/>
      <c r="CA174" s="431"/>
      <c r="CB174" s="33"/>
      <c r="CC174" s="36"/>
      <c r="CE174" s="37"/>
      <c r="CN174" s="20"/>
    </row>
    <row r="175" spans="1:92" hidden="1">
      <c r="A175" s="412" t="s">
        <v>2380</v>
      </c>
      <c r="B175" s="612" t="s">
        <v>310</v>
      </c>
      <c r="C175" s="612" t="s">
        <v>310</v>
      </c>
      <c r="D175" s="457" t="s">
        <v>2681</v>
      </c>
      <c r="E175" s="551" t="s">
        <v>2686</v>
      </c>
      <c r="F175" s="457" t="s">
        <v>307</v>
      </c>
      <c r="G175" s="596" t="str">
        <f>VLOOKUP(WWWW[[#This Row],[Village  Name]],SiteDB6[[Site Name]:[Location Type]],8,FALSE)</f>
        <v>Village</v>
      </c>
      <c r="H175" s="457" t="s">
        <v>2012</v>
      </c>
      <c r="I175" s="611">
        <v>144</v>
      </c>
      <c r="J175" s="611">
        <v>742</v>
      </c>
      <c r="K175" s="461">
        <v>44134</v>
      </c>
      <c r="L175" s="55"/>
      <c r="M175" s="611"/>
      <c r="N175" s="611"/>
      <c r="O175" s="611"/>
      <c r="P175" s="611"/>
      <c r="Q175" s="611"/>
      <c r="R175" s="611"/>
      <c r="S175" s="611"/>
      <c r="T175" s="643"/>
      <c r="U175" s="611"/>
      <c r="V175" s="611" t="s">
        <v>132</v>
      </c>
      <c r="W175" s="611"/>
      <c r="X175" s="611"/>
      <c r="Y175" s="611"/>
      <c r="Z175" s="611"/>
      <c r="AA175" s="611"/>
      <c r="AB175" s="643"/>
      <c r="AC175" s="611"/>
      <c r="AD175" s="611"/>
      <c r="AE175" s="611"/>
      <c r="AF175" s="611"/>
      <c r="AG175" s="611"/>
      <c r="AH175" s="611"/>
      <c r="AI175" s="611"/>
      <c r="AJ175" s="611"/>
      <c r="AK175" s="611"/>
      <c r="AL175" s="611"/>
      <c r="AM175" s="643"/>
      <c r="AN175" s="611"/>
      <c r="AO175" s="611"/>
      <c r="AP175"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5" s="565">
        <f>WWWW[[#This Row],[%Equitable and continuous access to sufficient quantity of safe drinking water]]*WWWW[[#This Row],[Total PoP ]]</f>
        <v>0</v>
      </c>
      <c r="AR17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5" s="565">
        <f>WWWW[[#This Row],[% Access to unimproved water points]]*WWWW[[#This Row],[Total PoP ]]</f>
        <v>0</v>
      </c>
      <c r="AT17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5" s="565">
        <f>WWWW[[#This Row],[HRP1]]/250</f>
        <v>0</v>
      </c>
      <c r="AW175" s="555">
        <f>1-WWWW[[#This Row],[% Equitable and continuous access to sufficient quantity of domestic water]]</f>
        <v>1</v>
      </c>
      <c r="AX175" s="565">
        <f>WWWW[[#This Row],[%equitable and continuous access to sufficient quantity of safe drinking and domestic water''s GAP]]*WWWW[[#This Row],[Total PoP ]]</f>
        <v>742</v>
      </c>
      <c r="AY175" s="557">
        <f>IF(WWWW[[#This Row],[Total required water points]]-WWWW[[#This Row],['#Water points coverage]]&lt;0,0,WWWW[[#This Row],[Total required water points]]-WWWW[[#This Row],['#Water points coverage]])</f>
        <v>3</v>
      </c>
      <c r="AZ175" s="557">
        <f>ROUND(IF(WWWW[[#This Row],[Total PoP ]]&lt;250,1,WWWW[[#This Row],[Total PoP ]]/250),0)</f>
        <v>3</v>
      </c>
      <c r="BA175"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5" s="565">
        <f>WWWW[[#This Row],[% people access to functioning Latrine]]*WWWW[[#This Row],[Total PoP ]]</f>
        <v>0</v>
      </c>
      <c r="BC175" s="421">
        <f>WWWW[[#This Row],['#_of_Functioning_latrines_in_school]]*50</f>
        <v>0</v>
      </c>
      <c r="BD175" s="557">
        <f>ROUND((WWWW[[#This Row],[Total PoP ]]/6),0)</f>
        <v>124</v>
      </c>
      <c r="BE175" s="421">
        <f>IF(WWWW[[#This Row],[Total required Latrines]]-(WWWW[[#This Row],['#_of_sanitary_fly-proof_HH_latrines]])&lt;0,0,WWWW[[#This Row],[Total required Latrines]]-(WWWW[[#This Row],['#_of_sanitary_fly-proof_HH_latrines]]))</f>
        <v>124</v>
      </c>
      <c r="BF175" s="563">
        <f>1-WWWW[[#This Row],[% people access to functioning Latrine]]</f>
        <v>1</v>
      </c>
      <c r="BG17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75" s="565">
        <f>IF(WWWW[[#This Row],['#_of_functional_handwashing_facilities_at_HH_level]]*6&gt;WWWW[[#This Row],[Total PoP ]],WWWW[[#This Row],[Total PoP ]],WWWW[[#This Row],['#_of_functional_handwashing_facilities_at_HH_level]]*6)</f>
        <v>0</v>
      </c>
      <c r="BI175" s="557">
        <f>IF(WWWW[[#This Row],['# people reached by regular dedicated hygiene promotion]]&gt;WWWW[[#This Row],['# People received regular supply of hygiene items]],WWWW[[#This Row],['# people reached by regular dedicated hygiene promotion]],WWWW[[#This Row],['# People received regular supply of hygiene items]])</f>
        <v>0</v>
      </c>
      <c r="BJ175" s="555">
        <f>IF(WWWW[[#This Row],[HRP3]]/WWWW[[#This Row],[Total PoP ]]&gt;100%,100%,WWWW[[#This Row],[HRP3]]/WWWW[[#This Row],[Total PoP ]])</f>
        <v>0</v>
      </c>
      <c r="BK175" s="558">
        <f>1-WWWW[[#This Row],[Hygiene Coverage%]]</f>
        <v>1</v>
      </c>
      <c r="BL175" s="556">
        <f>WWWW[[#This Row],['# people reached by regular dedicated hygiene promotion]]/WWWW[[#This Row],[Total PoP ]]</f>
        <v>0</v>
      </c>
      <c r="BM17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5" s="557">
        <f>WWWW[[#This Row],['#_of_affected_women_and_girls_receiving_a_sufficient_quantity_of_sanitary_pads]]</f>
        <v>0</v>
      </c>
      <c r="BO175" s="611">
        <f>IF(WWWW[[#This Row],['# People with access to soap]]&gt;WWWW[[#This Row],['# People with access to Sanity Pads]],WWWW[[#This Row],['# People with access to soap]],WWWW[[#This Row],['# People with access to Sanity Pads]])</f>
        <v>0</v>
      </c>
      <c r="BP175" s="458" t="str">
        <f>IF(OR(WWWW[[#This Row],['#of students in school]]="",WWWW[[#This Row],['#of students in school]]=0),"No","Yes")</f>
        <v>No</v>
      </c>
      <c r="BQ175" s="559" t="str">
        <f>VLOOKUP(WWWW[[#This Row],[Village  Name]],SiteDB6[[Site Name]:[Location Type 1]],9,FALSE)</f>
        <v>Village</v>
      </c>
      <c r="BR175" s="559" t="str">
        <f>VLOOKUP(WWWW[[#This Row],[Village  Name]],SiteDB6[[Site Name]:[Type of Accommodation]],10,FALSE)</f>
        <v>Village</v>
      </c>
      <c r="BS175" s="559" t="str">
        <f>VLOOKUP(WWWW[[#This Row],[Village  Name]],SiteDB6[[Site Name]:[Ethnic or GCA/NGCA]],11,FALSE)</f>
        <v>Rakhine</v>
      </c>
      <c r="BT175" s="559">
        <f>VLOOKUP(WWWW[[#This Row],[Village  Name]],SiteDB6[[Site Name]:[Lat]],12,FALSE)</f>
        <v>21.177719119999999</v>
      </c>
      <c r="BU175" s="559">
        <f>VLOOKUP(WWWW[[#This Row],[Village  Name]],SiteDB6[[Site Name]:[Long]],13,FALSE)</f>
        <v>92.239547729999998</v>
      </c>
      <c r="BV175" s="559">
        <f>VLOOKUP(WWWW[[#This Row],[Village  Name]],SiteDB6[[Site Name]:[Pcode]],3,FALSE)</f>
        <v>198101</v>
      </c>
      <c r="BW175" s="587" t="str">
        <f t="shared" si="6"/>
        <v>Covered</v>
      </c>
      <c r="BX175" s="587"/>
      <c r="BY175" s="33"/>
      <c r="CA175" s="431"/>
      <c r="CB175" s="33"/>
      <c r="CC175" s="36"/>
      <c r="CE175" s="37"/>
      <c r="CN175" s="20"/>
    </row>
    <row r="176" spans="1:92" hidden="1">
      <c r="A176" s="412" t="s">
        <v>2380</v>
      </c>
      <c r="B176" s="612" t="s">
        <v>301</v>
      </c>
      <c r="C176" s="612" t="s">
        <v>301</v>
      </c>
      <c r="D176" s="457"/>
      <c r="E176" s="551" t="s">
        <v>2687</v>
      </c>
      <c r="F176" s="457" t="s">
        <v>314</v>
      </c>
      <c r="G176" s="596" t="str">
        <f>VLOOKUP(WWWW[[#This Row],[Village  Name]],SiteDB6[[Site Name]:[Location Type]],8,FALSE)</f>
        <v>Village</v>
      </c>
      <c r="H176" s="457" t="s">
        <v>462</v>
      </c>
      <c r="I176" s="611">
        <v>280</v>
      </c>
      <c r="J176" s="611">
        <v>1423</v>
      </c>
      <c r="K176" s="461"/>
      <c r="L176" s="55"/>
      <c r="M176" s="611"/>
      <c r="N176" s="611"/>
      <c r="O176" s="611"/>
      <c r="P176" s="611"/>
      <c r="Q176" s="611"/>
      <c r="R176" s="611"/>
      <c r="S176" s="611"/>
      <c r="T176" s="643"/>
      <c r="U176" s="611"/>
      <c r="V176" s="611"/>
      <c r="W176" s="611"/>
      <c r="X176" s="611"/>
      <c r="Y176" s="611"/>
      <c r="Z176" s="611"/>
      <c r="AA176" s="611"/>
      <c r="AB176" s="643"/>
      <c r="AC176" s="611"/>
      <c r="AD176" s="611"/>
      <c r="AE176" s="611"/>
      <c r="AF176" s="611"/>
      <c r="AG176" s="611"/>
      <c r="AH176" s="611"/>
      <c r="AI176" s="611"/>
      <c r="AJ176" s="611"/>
      <c r="AK176" s="611"/>
      <c r="AL176" s="611"/>
      <c r="AM176" s="643"/>
      <c r="AN176" s="611"/>
      <c r="AO176" s="611"/>
      <c r="AP176"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6" s="565">
        <f>WWWW[[#This Row],[%Equitable and continuous access to sufficient quantity of safe drinking water]]*WWWW[[#This Row],[Total PoP ]]</f>
        <v>0</v>
      </c>
      <c r="AR17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6" s="565">
        <f>WWWW[[#This Row],[% Access to unimproved water points]]*WWWW[[#This Row],[Total PoP ]]</f>
        <v>0</v>
      </c>
      <c r="AT17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6" s="565">
        <f>WWWW[[#This Row],[HRP1]]/250</f>
        <v>0</v>
      </c>
      <c r="AW176" s="555">
        <f>1-WWWW[[#This Row],[% Equitable and continuous access to sufficient quantity of domestic water]]</f>
        <v>1</v>
      </c>
      <c r="AX176" s="565">
        <f>WWWW[[#This Row],[%equitable and continuous access to sufficient quantity of safe drinking and domestic water''s GAP]]*WWWW[[#This Row],[Total PoP ]]</f>
        <v>1423</v>
      </c>
      <c r="AY176" s="557">
        <f>IF(WWWW[[#This Row],[Total required water points]]-WWWW[[#This Row],['#Water points coverage]]&lt;0,0,WWWW[[#This Row],[Total required water points]]-WWWW[[#This Row],['#Water points coverage]])</f>
        <v>6</v>
      </c>
      <c r="AZ176" s="557">
        <f>ROUND(IF(WWWW[[#This Row],[Total PoP ]]&lt;250,1,WWWW[[#This Row],[Total PoP ]]/250),0)</f>
        <v>6</v>
      </c>
      <c r="BA176"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6" s="565">
        <f>WWWW[[#This Row],[% people access to functioning Latrine]]*WWWW[[#This Row],[Total PoP ]]</f>
        <v>0</v>
      </c>
      <c r="BC176" s="421">
        <f>WWWW[[#This Row],['#_of_Functioning_latrines_in_school]]*50</f>
        <v>0</v>
      </c>
      <c r="BD176" s="557">
        <f>ROUND((WWWW[[#This Row],[Total PoP ]]/6),0)</f>
        <v>237</v>
      </c>
      <c r="BE176" s="421">
        <f>IF(WWWW[[#This Row],[Total required Latrines]]-(WWWW[[#This Row],['#_of_sanitary_fly-proof_HH_latrines]])&lt;0,0,WWWW[[#This Row],[Total required Latrines]]-(WWWW[[#This Row],['#_of_sanitary_fly-proof_HH_latrines]]))</f>
        <v>237</v>
      </c>
      <c r="BF176" s="72">
        <f>1-WWWW[[#This Row],[% people access to functioning Latrine]]</f>
        <v>1</v>
      </c>
      <c r="BG17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76" s="565">
        <f>IF(WWWW[[#This Row],['#_of_functional_handwashing_facilities_at_HH_level]]*6&gt;WWWW[[#This Row],[Total PoP ]],WWWW[[#This Row],[Total PoP ]],WWWW[[#This Row],['#_of_functional_handwashing_facilities_at_HH_level]]*6)</f>
        <v>0</v>
      </c>
      <c r="BI176" s="557">
        <f>IF(WWWW[[#This Row],['# people reached by regular dedicated hygiene promotion]]&gt;WWWW[[#This Row],['# People received regular supply of hygiene items]],WWWW[[#This Row],['# people reached by regular dedicated hygiene promotion]],WWWW[[#This Row],['# People received regular supply of hygiene items]])</f>
        <v>0</v>
      </c>
      <c r="BJ176" s="555">
        <f>IF(WWWW[[#This Row],[HRP3]]/WWWW[[#This Row],[Total PoP ]]&gt;100%,100%,WWWW[[#This Row],[HRP3]]/WWWW[[#This Row],[Total PoP ]])</f>
        <v>0</v>
      </c>
      <c r="BK176" s="558">
        <f>1-WWWW[[#This Row],[Hygiene Coverage%]]</f>
        <v>1</v>
      </c>
      <c r="BL176" s="556">
        <f>WWWW[[#This Row],['# people reached by regular dedicated hygiene promotion]]/WWWW[[#This Row],[Total PoP ]]</f>
        <v>0</v>
      </c>
      <c r="BM17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6" s="557">
        <f>WWWW[[#This Row],['#_of_affected_women_and_girls_receiving_a_sufficient_quantity_of_sanitary_pads]]</f>
        <v>0</v>
      </c>
      <c r="BO176" s="611">
        <f>IF(WWWW[[#This Row],['# People with access to soap]]&gt;WWWW[[#This Row],['# People with access to Sanity Pads]],WWWW[[#This Row],['# People with access to soap]],WWWW[[#This Row],['# People with access to Sanity Pads]])</f>
        <v>0</v>
      </c>
      <c r="BP176" s="565" t="str">
        <f>IF(OR(WWWW[[#This Row],['#of students in school]]="",WWWW[[#This Row],['#of students in school]]=0),"No","Yes")</f>
        <v>No</v>
      </c>
      <c r="BQ176" s="559" t="str">
        <f>VLOOKUP(WWWW[[#This Row],[Village  Name]],SiteDB6[[Site Name]:[Location Type 1]],9,FALSE)</f>
        <v>Village</v>
      </c>
      <c r="BR176" s="559" t="str">
        <f>VLOOKUP(WWWW[[#This Row],[Village  Name]],SiteDB6[[Site Name]:[Type of Accommodation]],10,FALSE)</f>
        <v>Returned</v>
      </c>
      <c r="BS176" s="559" t="str">
        <f>VLOOKUP(WWWW[[#This Row],[Village  Name]],SiteDB6[[Site Name]:[Ethnic or GCA/NGCA]],11,FALSE)</f>
        <v>Muslim</v>
      </c>
      <c r="BT176" s="559">
        <f>VLOOKUP(WWWW[[#This Row],[Village  Name]],SiteDB6[[Site Name]:[Lat]],12,FALSE)</f>
        <v>20.392137999999999</v>
      </c>
      <c r="BU176" s="559">
        <f>VLOOKUP(WWWW[[#This Row],[Village  Name]],SiteDB6[[Site Name]:[Long]],13,FALSE)</f>
        <v>93.257272</v>
      </c>
      <c r="BV176" s="559" t="str">
        <f>VLOOKUP(WWWW[[#This Row],[Village  Name]],SiteDB6[[Site Name]:[Pcode]],3,FALSE)</f>
        <v>MMR012CMP002</v>
      </c>
      <c r="BW176" s="587" t="str">
        <f t="shared" si="6"/>
        <v>Notcovered</v>
      </c>
      <c r="BX176" s="587"/>
      <c r="BY176" s="33"/>
      <c r="CA176" s="431"/>
      <c r="CB176" s="33"/>
      <c r="CC176" s="36"/>
      <c r="CE176" s="37"/>
      <c r="CN176" s="20"/>
    </row>
    <row r="177" spans="1:92" hidden="1">
      <c r="A177" s="412" t="s">
        <v>2380</v>
      </c>
      <c r="B177" s="612" t="s">
        <v>301</v>
      </c>
      <c r="C177" s="612" t="s">
        <v>301</v>
      </c>
      <c r="D177" s="457"/>
      <c r="E177" s="551" t="s">
        <v>2686</v>
      </c>
      <c r="F177" s="457" t="s">
        <v>339</v>
      </c>
      <c r="G177" s="596" t="str">
        <f>VLOOKUP(WWWW[[#This Row],[Village  Name]],SiteDB6[[Site Name]:[Location Type]],8,FALSE)</f>
        <v>Village</v>
      </c>
      <c r="H177" s="457" t="s">
        <v>468</v>
      </c>
      <c r="I177" s="611">
        <v>425</v>
      </c>
      <c r="J177" s="611">
        <v>2552</v>
      </c>
      <c r="K177" s="461"/>
      <c r="L177" s="55"/>
      <c r="M177" s="611"/>
      <c r="N177" s="611"/>
      <c r="O177" s="611"/>
      <c r="P177" s="611"/>
      <c r="Q177" s="611"/>
      <c r="R177" s="611"/>
      <c r="S177" s="611"/>
      <c r="T177" s="643"/>
      <c r="U177" s="611"/>
      <c r="V177" s="611"/>
      <c r="W177" s="611"/>
      <c r="X177" s="611"/>
      <c r="Y177" s="611"/>
      <c r="Z177" s="611"/>
      <c r="AA177" s="611"/>
      <c r="AB177" s="643"/>
      <c r="AC177" s="611"/>
      <c r="AD177" s="611"/>
      <c r="AE177" s="611"/>
      <c r="AF177" s="611"/>
      <c r="AG177" s="611"/>
      <c r="AH177" s="611"/>
      <c r="AI177" s="611"/>
      <c r="AJ177" s="611"/>
      <c r="AK177" s="611"/>
      <c r="AL177" s="611"/>
      <c r="AM177" s="643"/>
      <c r="AN177" s="611"/>
      <c r="AO177" s="611"/>
      <c r="AP177"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7" s="565">
        <f>WWWW[[#This Row],[%Equitable and continuous access to sufficient quantity of safe drinking water]]*WWWW[[#This Row],[Total PoP ]]</f>
        <v>0</v>
      </c>
      <c r="AR17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7" s="565">
        <f>WWWW[[#This Row],[% Access to unimproved water points]]*WWWW[[#This Row],[Total PoP ]]</f>
        <v>0</v>
      </c>
      <c r="AT17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7" s="565">
        <f>WWWW[[#This Row],[HRP1]]/250</f>
        <v>0</v>
      </c>
      <c r="AW177" s="555">
        <f>1-WWWW[[#This Row],[% Equitable and continuous access to sufficient quantity of domestic water]]</f>
        <v>1</v>
      </c>
      <c r="AX177" s="565">
        <f>WWWW[[#This Row],[%equitable and continuous access to sufficient quantity of safe drinking and domestic water''s GAP]]*WWWW[[#This Row],[Total PoP ]]</f>
        <v>2552</v>
      </c>
      <c r="AY177" s="557">
        <f>IF(WWWW[[#This Row],[Total required water points]]-WWWW[[#This Row],['#Water points coverage]]&lt;0,0,WWWW[[#This Row],[Total required water points]]-WWWW[[#This Row],['#Water points coverage]])</f>
        <v>10</v>
      </c>
      <c r="AZ177" s="557">
        <f>ROUND(IF(WWWW[[#This Row],[Total PoP ]]&lt;250,1,WWWW[[#This Row],[Total PoP ]]/250),0)</f>
        <v>10</v>
      </c>
      <c r="BA177"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7" s="565">
        <f>WWWW[[#This Row],[% people access to functioning Latrine]]*WWWW[[#This Row],[Total PoP ]]</f>
        <v>0</v>
      </c>
      <c r="BC177" s="421">
        <f>WWWW[[#This Row],['#_of_Functioning_latrines_in_school]]*50</f>
        <v>0</v>
      </c>
      <c r="BD177" s="557">
        <f>ROUND((WWWW[[#This Row],[Total PoP ]]/6),0)</f>
        <v>425</v>
      </c>
      <c r="BE177" s="421">
        <f>IF(WWWW[[#This Row],[Total required Latrines]]-(WWWW[[#This Row],['#_of_sanitary_fly-proof_HH_latrines]])&lt;0,0,WWWW[[#This Row],[Total required Latrines]]-(WWWW[[#This Row],['#_of_sanitary_fly-proof_HH_latrines]]))</f>
        <v>425</v>
      </c>
      <c r="BF177" s="563">
        <f>1-WWWW[[#This Row],[% people access to functioning Latrine]]</f>
        <v>1</v>
      </c>
      <c r="BG17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77" s="565">
        <f>IF(WWWW[[#This Row],['#_of_functional_handwashing_facilities_at_HH_level]]*6&gt;WWWW[[#This Row],[Total PoP ]],WWWW[[#This Row],[Total PoP ]],WWWW[[#This Row],['#_of_functional_handwashing_facilities_at_HH_level]]*6)</f>
        <v>0</v>
      </c>
      <c r="BI177" s="557">
        <f>IF(WWWW[[#This Row],['# people reached by regular dedicated hygiene promotion]]&gt;WWWW[[#This Row],['# People received regular supply of hygiene items]],WWWW[[#This Row],['# people reached by regular dedicated hygiene promotion]],WWWW[[#This Row],['# People received regular supply of hygiene items]])</f>
        <v>0</v>
      </c>
      <c r="BJ177" s="555">
        <f>IF(WWWW[[#This Row],[HRP3]]/WWWW[[#This Row],[Total PoP ]]&gt;100%,100%,WWWW[[#This Row],[HRP3]]/WWWW[[#This Row],[Total PoP ]])</f>
        <v>0</v>
      </c>
      <c r="BK177" s="558">
        <f>1-WWWW[[#This Row],[Hygiene Coverage%]]</f>
        <v>1</v>
      </c>
      <c r="BL177" s="556">
        <f>WWWW[[#This Row],['# people reached by regular dedicated hygiene promotion]]/WWWW[[#This Row],[Total PoP ]]</f>
        <v>0</v>
      </c>
      <c r="BM17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7" s="557">
        <f>WWWW[[#This Row],['#_of_affected_women_and_girls_receiving_a_sufficient_quantity_of_sanitary_pads]]</f>
        <v>0</v>
      </c>
      <c r="BO177" s="611">
        <f>IF(WWWW[[#This Row],['# People with access to soap]]&gt;WWWW[[#This Row],['# People with access to Sanity Pads]],WWWW[[#This Row],['# People with access to soap]],WWWW[[#This Row],['# People with access to Sanity Pads]])</f>
        <v>0</v>
      </c>
      <c r="BP177" s="458" t="str">
        <f>IF(OR(WWWW[[#This Row],['#of students in school]]="",WWWW[[#This Row],['#of students in school]]=0),"No","Yes")</f>
        <v>No</v>
      </c>
      <c r="BQ177" s="559" t="str">
        <f>VLOOKUP(WWWW[[#This Row],[Village  Name]],SiteDB6[[Site Name]:[Location Type 1]],9,FALSE)</f>
        <v>Village</v>
      </c>
      <c r="BR177" s="559" t="str">
        <f>VLOOKUP(WWWW[[#This Row],[Village  Name]],SiteDB6[[Site Name]:[Type of Accommodation]],10,FALSE)</f>
        <v>Returned</v>
      </c>
      <c r="BS177" s="559" t="str">
        <f>VLOOKUP(WWWW[[#This Row],[Village  Name]],SiteDB6[[Site Name]:[Ethnic or GCA/NGCA]],11,FALSE)</f>
        <v>Muslim</v>
      </c>
      <c r="BT177" s="559">
        <f>VLOOKUP(WWWW[[#This Row],[Village  Name]],SiteDB6[[Site Name]:[Lat]],12,FALSE)</f>
        <v>20.399269</v>
      </c>
      <c r="BU177" s="559">
        <f>VLOOKUP(WWWW[[#This Row],[Village  Name]],SiteDB6[[Site Name]:[Long]],13,FALSE)</f>
        <v>92.781294000000003</v>
      </c>
      <c r="BV177" s="559" t="str">
        <f>VLOOKUP(WWWW[[#This Row],[Village  Name]],SiteDB6[[Site Name]:[Pcode]],3,FALSE)</f>
        <v>MMR012CMP032</v>
      </c>
      <c r="BW177" s="587" t="str">
        <f t="shared" si="6"/>
        <v>Notcovered</v>
      </c>
      <c r="BX177" s="587"/>
      <c r="BY177" s="33"/>
      <c r="CA177" s="431"/>
      <c r="CB177" s="33"/>
      <c r="CC177" s="36"/>
      <c r="CE177" s="37"/>
      <c r="CN177" s="20"/>
    </row>
    <row r="178" spans="1:92" hidden="1">
      <c r="A178" s="412" t="s">
        <v>2380</v>
      </c>
      <c r="B178" s="612" t="s">
        <v>301</v>
      </c>
      <c r="C178" s="612" t="s">
        <v>301</v>
      </c>
      <c r="D178" s="457"/>
      <c r="E178" s="551" t="s">
        <v>2686</v>
      </c>
      <c r="F178" s="457" t="s">
        <v>339</v>
      </c>
      <c r="G178" s="596" t="str">
        <f>VLOOKUP(WWWW[[#This Row],[Village  Name]],SiteDB6[[Site Name]:[Location Type]],8,FALSE)</f>
        <v>Village</v>
      </c>
      <c r="H178" s="457" t="s">
        <v>459</v>
      </c>
      <c r="I178" s="611">
        <v>292</v>
      </c>
      <c r="J178" s="611">
        <v>1751</v>
      </c>
      <c r="K178" s="461"/>
      <c r="L178" s="55"/>
      <c r="M178" s="611"/>
      <c r="N178" s="611"/>
      <c r="O178" s="611"/>
      <c r="P178" s="611"/>
      <c r="Q178" s="611"/>
      <c r="R178" s="611"/>
      <c r="S178" s="611"/>
      <c r="T178" s="643"/>
      <c r="U178" s="611"/>
      <c r="V178" s="611"/>
      <c r="W178" s="611"/>
      <c r="X178" s="611"/>
      <c r="Y178" s="611"/>
      <c r="Z178" s="611"/>
      <c r="AA178" s="611"/>
      <c r="AB178" s="643"/>
      <c r="AC178" s="611"/>
      <c r="AD178" s="611"/>
      <c r="AE178" s="611"/>
      <c r="AF178" s="611"/>
      <c r="AG178" s="611"/>
      <c r="AH178" s="611"/>
      <c r="AI178" s="611"/>
      <c r="AJ178" s="611"/>
      <c r="AK178" s="611"/>
      <c r="AL178" s="611"/>
      <c r="AM178" s="643"/>
      <c r="AN178" s="611"/>
      <c r="AO178" s="611"/>
      <c r="AP178"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78" s="565">
        <f>WWWW[[#This Row],[%Equitable and continuous access to sufficient quantity of safe drinking water]]*WWWW[[#This Row],[Total PoP ]]</f>
        <v>0</v>
      </c>
      <c r="AR17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78" s="565">
        <f>WWWW[[#This Row],[% Access to unimproved water points]]*WWWW[[#This Row],[Total PoP ]]</f>
        <v>0</v>
      </c>
      <c r="AT17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17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178" s="565">
        <f>WWWW[[#This Row],[HRP1]]/250</f>
        <v>0</v>
      </c>
      <c r="AW178" s="555">
        <f>1-WWWW[[#This Row],[% Equitable and continuous access to sufficient quantity of domestic water]]</f>
        <v>1</v>
      </c>
      <c r="AX178" s="565">
        <f>WWWW[[#This Row],[%equitable and continuous access to sufficient quantity of safe drinking and domestic water''s GAP]]*WWWW[[#This Row],[Total PoP ]]</f>
        <v>1751</v>
      </c>
      <c r="AY178" s="557">
        <f>IF(WWWW[[#This Row],[Total required water points]]-WWWW[[#This Row],['#Water points coverage]]&lt;0,0,WWWW[[#This Row],[Total required water points]]-WWWW[[#This Row],['#Water points coverage]])</f>
        <v>7</v>
      </c>
      <c r="AZ178" s="557">
        <f>ROUND(IF(WWWW[[#This Row],[Total PoP ]]&lt;250,1,WWWW[[#This Row],[Total PoP ]]/250),0)</f>
        <v>7</v>
      </c>
      <c r="BA178"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178" s="565">
        <f>WWWW[[#This Row],[% people access to functioning Latrine]]*WWWW[[#This Row],[Total PoP ]]</f>
        <v>0</v>
      </c>
      <c r="BC178" s="421">
        <f>WWWW[[#This Row],['#_of_Functioning_latrines_in_school]]*50</f>
        <v>0</v>
      </c>
      <c r="BD178" s="557">
        <f>ROUND((WWWW[[#This Row],[Total PoP ]]/6),0)</f>
        <v>292</v>
      </c>
      <c r="BE178" s="421">
        <f>IF(WWWW[[#This Row],[Total required Latrines]]-(WWWW[[#This Row],['#_of_sanitary_fly-proof_HH_latrines]])&lt;0,0,WWWW[[#This Row],[Total required Latrines]]-(WWWW[[#This Row],['#_of_sanitary_fly-proof_HH_latrines]]))</f>
        <v>292</v>
      </c>
      <c r="BF178" s="563">
        <f>1-WWWW[[#This Row],[% people access to functioning Latrine]]</f>
        <v>1</v>
      </c>
      <c r="BG17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178" s="565">
        <f>IF(WWWW[[#This Row],['#_of_functional_handwashing_facilities_at_HH_level]]*6&gt;WWWW[[#This Row],[Total PoP ]],WWWW[[#This Row],[Total PoP ]],WWWW[[#This Row],['#_of_functional_handwashing_facilities_at_HH_level]]*6)</f>
        <v>0</v>
      </c>
      <c r="BI178" s="557">
        <f>IF(WWWW[[#This Row],['# people reached by regular dedicated hygiene promotion]]&gt;WWWW[[#This Row],['# People received regular supply of hygiene items]],WWWW[[#This Row],['# people reached by regular dedicated hygiene promotion]],WWWW[[#This Row],['# People received regular supply of hygiene items]])</f>
        <v>0</v>
      </c>
      <c r="BJ178" s="555">
        <f>IF(WWWW[[#This Row],[HRP3]]/WWWW[[#This Row],[Total PoP ]]&gt;100%,100%,WWWW[[#This Row],[HRP3]]/WWWW[[#This Row],[Total PoP ]])</f>
        <v>0</v>
      </c>
      <c r="BK178" s="558">
        <f>1-WWWW[[#This Row],[Hygiene Coverage%]]</f>
        <v>1</v>
      </c>
      <c r="BL178" s="556">
        <f>WWWW[[#This Row],['# people reached by regular dedicated hygiene promotion]]/WWWW[[#This Row],[Total PoP ]]</f>
        <v>0</v>
      </c>
      <c r="BM17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8" s="557">
        <f>WWWW[[#This Row],['#_of_affected_women_and_girls_receiving_a_sufficient_quantity_of_sanitary_pads]]</f>
        <v>0</v>
      </c>
      <c r="BO178" s="611">
        <f>IF(WWWW[[#This Row],['# People with access to soap]]&gt;WWWW[[#This Row],['# People with access to Sanity Pads]],WWWW[[#This Row],['# People with access to soap]],WWWW[[#This Row],['# People with access to Sanity Pads]])</f>
        <v>0</v>
      </c>
      <c r="BP178" s="458" t="str">
        <f>IF(OR(WWWW[[#This Row],['#of students in school]]="",WWWW[[#This Row],['#of students in school]]=0),"No","Yes")</f>
        <v>No</v>
      </c>
      <c r="BQ178" s="559" t="str">
        <f>VLOOKUP(WWWW[[#This Row],[Village  Name]],SiteDB6[[Site Name]:[Location Type 1]],9,FALSE)</f>
        <v>Village</v>
      </c>
      <c r="BR178" s="559" t="str">
        <f>VLOOKUP(WWWW[[#This Row],[Village  Name]],SiteDB6[[Site Name]:[Type of Accommodation]],10,FALSE)</f>
        <v>Returned</v>
      </c>
      <c r="BS178" s="559" t="str">
        <f>VLOOKUP(WWWW[[#This Row],[Village  Name]],SiteDB6[[Site Name]:[Ethnic or GCA/NGCA]],11,FALSE)</f>
        <v>Muslim</v>
      </c>
      <c r="BT178" s="559">
        <f>VLOOKUP(WWWW[[#This Row],[Village  Name]],SiteDB6[[Site Name]:[Lat]],12,FALSE)</f>
        <v>20.335864000000001</v>
      </c>
      <c r="BU178" s="559">
        <f>VLOOKUP(WWWW[[#This Row],[Village  Name]],SiteDB6[[Site Name]:[Long]],13,FALSE)</f>
        <v>92.785706000000005</v>
      </c>
      <c r="BV178" s="559" t="str">
        <f>VLOOKUP(WWWW[[#This Row],[Village  Name]],SiteDB6[[Site Name]:[Pcode]],3,FALSE)</f>
        <v>MMR012CMP031</v>
      </c>
      <c r="BW178" s="587" t="str">
        <f t="shared" si="6"/>
        <v>Notcovered</v>
      </c>
      <c r="BX178" s="587"/>
      <c r="BY178" s="33"/>
      <c r="CA178" s="431"/>
      <c r="CB178" s="33"/>
      <c r="CC178" s="36"/>
      <c r="CE178" s="37"/>
      <c r="CN178" s="20"/>
    </row>
    <row r="179" spans="1:92" hidden="1">
      <c r="A179" s="612" t="s">
        <v>2380</v>
      </c>
      <c r="B179" s="551" t="s">
        <v>2864</v>
      </c>
      <c r="C179" s="551" t="s">
        <v>371</v>
      </c>
      <c r="D179" s="551" t="s">
        <v>236</v>
      </c>
      <c r="E179" s="551" t="s">
        <v>2686</v>
      </c>
      <c r="F179" s="551" t="s">
        <v>321</v>
      </c>
      <c r="G179" s="596" t="str">
        <f>VLOOKUP(WWWW[[#This Row],[Village  Name]],SiteDB6[[Site Name]:[Location Type]],8,FALSE)</f>
        <v>Village</v>
      </c>
      <c r="H179" s="821" t="s">
        <v>2866</v>
      </c>
      <c r="I179" s="613">
        <v>38</v>
      </c>
      <c r="J179" s="564">
        <v>184</v>
      </c>
      <c r="K179" s="562">
        <v>43221</v>
      </c>
      <c r="L179" s="562">
        <v>43677</v>
      </c>
      <c r="M179" s="611">
        <v>25</v>
      </c>
      <c r="N179" s="611">
        <v>0</v>
      </c>
      <c r="O179" s="610">
        <v>3</v>
      </c>
      <c r="P179" s="610">
        <v>1</v>
      </c>
      <c r="Q179" s="610">
        <v>1</v>
      </c>
      <c r="R179" s="610">
        <v>0</v>
      </c>
      <c r="S179" s="610">
        <v>0</v>
      </c>
      <c r="T179" s="644"/>
      <c r="U179" s="610">
        <v>24</v>
      </c>
      <c r="V179" s="611" t="s">
        <v>128</v>
      </c>
      <c r="W179" s="611">
        <v>0</v>
      </c>
      <c r="X179" s="611">
        <v>0</v>
      </c>
      <c r="Y179" s="611">
        <v>0</v>
      </c>
      <c r="Z179" s="611">
        <v>0</v>
      </c>
      <c r="AA179" s="610">
        <v>0</v>
      </c>
      <c r="AB179" s="644"/>
      <c r="AC179" s="611">
        <v>50</v>
      </c>
      <c r="AD179" s="611">
        <v>30</v>
      </c>
      <c r="AE179" s="611">
        <v>25</v>
      </c>
      <c r="AF179" s="611">
        <v>15</v>
      </c>
      <c r="AG179" s="611">
        <v>14</v>
      </c>
      <c r="AH179" s="610">
        <v>8</v>
      </c>
      <c r="AI179" s="610">
        <v>0</v>
      </c>
      <c r="AJ179" s="610"/>
      <c r="AK179" s="610"/>
      <c r="AL179" s="610"/>
      <c r="AM179" s="644"/>
      <c r="AN179" s="651">
        <v>0.8</v>
      </c>
      <c r="AO179" s="651">
        <v>0.8</v>
      </c>
      <c r="AP179"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79" s="565">
        <f>WWWW[[#This Row],[%Equitable and continuous access to sufficient quantity of safe drinking water]]*WWWW[[#This Row],[Total PoP ]]</f>
        <v>184</v>
      </c>
      <c r="AR17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79" s="565">
        <f>WWWW[[#This Row],[% Access to unimproved water points]]*WWWW[[#This Row],[Total PoP ]]</f>
        <v>184</v>
      </c>
      <c r="AT17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7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AV179" s="565">
        <f>WWWW[[#This Row],[HRP1]]/250</f>
        <v>0.73599999999999999</v>
      </c>
      <c r="AW179" s="555">
        <f>1-WWWW[[#This Row],[% Equitable and continuous access to sufficient quantity of domestic water]]</f>
        <v>0</v>
      </c>
      <c r="AX179" s="565">
        <f>WWWW[[#This Row],[%equitable and continuous access to sufficient quantity of safe drinking and domestic water''s GAP]]*WWWW[[#This Row],[Total PoP ]]</f>
        <v>0</v>
      </c>
      <c r="AY179" s="557">
        <f>IF(WWWW[[#This Row],[Total required water points]]-WWWW[[#This Row],['#Water points coverage]]&lt;0,0,WWWW[[#This Row],[Total required water points]]-WWWW[[#This Row],['#Water points coverage]])</f>
        <v>0.26400000000000001</v>
      </c>
      <c r="AZ179" s="557">
        <f>ROUND(IF(WWWW[[#This Row],[Total PoP ]]&lt;250,1,WWWW[[#This Row],[Total PoP ]]/250),0)</f>
        <v>1</v>
      </c>
      <c r="BA179"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0.78260869565217395</v>
      </c>
      <c r="BB179" s="565">
        <f>WWWW[[#This Row],[% people access to functioning Latrine]]*WWWW[[#This Row],[Total PoP ]]</f>
        <v>144</v>
      </c>
      <c r="BC179" s="421">
        <f>WWWW[[#This Row],['#_of_Functioning_latrines_in_school]]*50</f>
        <v>0</v>
      </c>
      <c r="BD179" s="557">
        <f>ROUND((WWWW[[#This Row],[Total PoP ]]/6),0)</f>
        <v>31</v>
      </c>
      <c r="BE179" s="421">
        <f>IF(WWWW[[#This Row],[Total required Latrines]]-(WWWW[[#This Row],['#_of_sanitary_fly-proof_HH_latrines]])&lt;0,0,WWWW[[#This Row],[Total required Latrines]]-(WWWW[[#This Row],['#_of_sanitary_fly-proof_HH_latrines]]))</f>
        <v>7</v>
      </c>
      <c r="BF179" s="563">
        <f>1-WWWW[[#This Row],[% people access to functioning Latrine]]</f>
        <v>0.21739130434782605</v>
      </c>
      <c r="BG17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142</v>
      </c>
      <c r="BH179" s="565">
        <f>IF(WWWW[[#This Row],['#_of_functional_handwashing_facilities_at_HH_level]]*6&gt;WWWW[[#This Row],[Total PoP ]],WWWW[[#This Row],[Total PoP ]],WWWW[[#This Row],['#_of_functional_handwashing_facilities_at_HH_level]]*6)</f>
        <v>0</v>
      </c>
      <c r="BI179" s="557">
        <f>IF(WWWW[[#This Row],['# people reached by regular dedicated hygiene promotion]]&gt;WWWW[[#This Row],['# People received regular supply of hygiene items]],WWWW[[#This Row],['# people reached by regular dedicated hygiene promotion]],WWWW[[#This Row],['# People received regular supply of hygiene items]])</f>
        <v>142</v>
      </c>
      <c r="BJ179" s="555">
        <f>IF(WWWW[[#This Row],[HRP3]]/WWWW[[#This Row],[Total PoP ]]&gt;100%,100%,WWWW[[#This Row],[HRP3]]/WWWW[[#This Row],[Total PoP ]])</f>
        <v>0.77173913043478259</v>
      </c>
      <c r="BK179" s="558">
        <f>1-WWWW[[#This Row],[Hygiene Coverage%]]</f>
        <v>0.22826086956521741</v>
      </c>
      <c r="BL179" s="556">
        <f>WWWW[[#This Row],['# people reached by regular dedicated hygiene promotion]]/WWWW[[#This Row],[Total PoP ]]</f>
        <v>0.77173913043478259</v>
      </c>
      <c r="BM17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79" s="557">
        <f>WWWW[[#This Row],['#_of_affected_women_and_girls_receiving_a_sufficient_quantity_of_sanitary_pads]]</f>
        <v>0</v>
      </c>
      <c r="BO179" s="611">
        <f>IF(WWWW[[#This Row],['# People with access to soap]]&gt;WWWW[[#This Row],['# People with access to Sanity Pads]],WWWW[[#This Row],['# People with access to soap]],WWWW[[#This Row],['# People with access to Sanity Pads]])</f>
        <v>0</v>
      </c>
      <c r="BP179" s="458" t="str">
        <f>IF(OR(WWWW[[#This Row],['#of students in school]]="",WWWW[[#This Row],['#of students in school]]=0),"No","Yes")</f>
        <v>Yes</v>
      </c>
      <c r="BQ179" s="559" t="str">
        <f>VLOOKUP(WWWW[[#This Row],[Village  Name]],SiteDB6[[Site Name]:[Location Type 1]],9,FALSE)</f>
        <v>Village</v>
      </c>
      <c r="BR179" s="559" t="str">
        <f>VLOOKUP(WWWW[[#This Row],[Village  Name]],SiteDB6[[Site Name]:[Type of Accommodation]],10,FALSE)</f>
        <v>Village</v>
      </c>
      <c r="BS179" s="559">
        <f>VLOOKUP(WWWW[[#This Row],[Village  Name]],SiteDB6[[Site Name]:[Ethnic or GCA/NGCA]],11,FALSE)</f>
        <v>0</v>
      </c>
      <c r="BT179" s="559">
        <f>VLOOKUP(WWWW[[#This Row],[Village  Name]],SiteDB6[[Site Name]:[Lat]],12,FALSE)</f>
        <v>20.813840866088899</v>
      </c>
      <c r="BU179" s="559">
        <f>VLOOKUP(WWWW[[#This Row],[Village  Name]],SiteDB6[[Site Name]:[Long]],13,FALSE)</f>
        <v>92.599952697753906</v>
      </c>
      <c r="BV179" s="559">
        <f>VLOOKUP(WWWW[[#This Row],[Village  Name]],SiteDB6[[Site Name]:[Pcode]],3,FALSE)</f>
        <v>198357</v>
      </c>
      <c r="BW179" s="587" t="str">
        <f t="shared" ref="BW179:BW200" si="7">IF(C179="none","Notcovered","Covered")</f>
        <v>Covered</v>
      </c>
      <c r="BX179" s="587"/>
      <c r="BY179" s="33"/>
      <c r="CA179" s="431"/>
      <c r="CB179" s="33"/>
      <c r="CC179" s="36"/>
      <c r="CE179" s="37"/>
      <c r="CN179" s="20"/>
    </row>
    <row r="180" spans="1:92" hidden="1">
      <c r="A180" s="612" t="s">
        <v>2380</v>
      </c>
      <c r="B180" s="551" t="s">
        <v>2864</v>
      </c>
      <c r="C180" s="551" t="s">
        <v>371</v>
      </c>
      <c r="D180" s="551" t="s">
        <v>236</v>
      </c>
      <c r="E180" s="551" t="s">
        <v>2686</v>
      </c>
      <c r="F180" s="551" t="s">
        <v>307</v>
      </c>
      <c r="G180" s="596" t="str">
        <f>VLOOKUP(WWWW[[#This Row],[Village  Name]],SiteDB6[[Site Name]:[Location Type]],8,FALSE)</f>
        <v>Village</v>
      </c>
      <c r="H180" s="822" t="s">
        <v>2075</v>
      </c>
      <c r="I180" s="614">
        <v>60</v>
      </c>
      <c r="J180" s="565">
        <v>266</v>
      </c>
      <c r="K180" s="562">
        <v>43221</v>
      </c>
      <c r="L180" s="562">
        <v>43677</v>
      </c>
      <c r="M180" s="611">
        <v>47</v>
      </c>
      <c r="N180" s="611">
        <v>0</v>
      </c>
      <c r="O180" s="611">
        <v>0</v>
      </c>
      <c r="P180" s="611">
        <v>0</v>
      </c>
      <c r="Q180" s="611">
        <v>2</v>
      </c>
      <c r="R180" s="611">
        <v>0</v>
      </c>
      <c r="S180" s="611">
        <v>0</v>
      </c>
      <c r="T180" s="643"/>
      <c r="U180" s="611">
        <v>50</v>
      </c>
      <c r="V180" s="611" t="s">
        <v>128</v>
      </c>
      <c r="W180" s="611">
        <v>0</v>
      </c>
      <c r="X180" s="611">
        <v>0</v>
      </c>
      <c r="Y180" s="611">
        <v>0</v>
      </c>
      <c r="Z180" s="611">
        <v>0</v>
      </c>
      <c r="AA180" s="611">
        <v>0</v>
      </c>
      <c r="AB180" s="643"/>
      <c r="AC180" s="611">
        <v>89</v>
      </c>
      <c r="AD180" s="611">
        <v>83</v>
      </c>
      <c r="AE180" s="611">
        <v>13</v>
      </c>
      <c r="AF180" s="611">
        <v>19</v>
      </c>
      <c r="AG180" s="611">
        <v>11</v>
      </c>
      <c r="AH180" s="611">
        <v>15</v>
      </c>
      <c r="AI180" s="611">
        <v>0</v>
      </c>
      <c r="AJ180" s="611">
        <v>0</v>
      </c>
      <c r="AK180" s="611"/>
      <c r="AL180" s="611"/>
      <c r="AM180" s="643"/>
      <c r="AN180" s="556">
        <v>0.6</v>
      </c>
      <c r="AO180" s="556">
        <v>60</v>
      </c>
      <c r="AP180"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80" s="565">
        <f>WWWW[[#This Row],[%Equitable and continuous access to sufficient quantity of safe drinking water]]*WWWW[[#This Row],[Total PoP ]]</f>
        <v>0</v>
      </c>
      <c r="AR18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80" s="565">
        <f>WWWW[[#This Row],[% Access to unimproved water points]]*WWWW[[#This Row],[Total PoP ]]</f>
        <v>266</v>
      </c>
      <c r="AT18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AV180" s="565">
        <f>WWWW[[#This Row],[HRP1]]/250</f>
        <v>1.0640000000000001</v>
      </c>
      <c r="AW180" s="555">
        <f>1-WWWW[[#This Row],[% Equitable and continuous access to sufficient quantity of domestic water]]</f>
        <v>0</v>
      </c>
      <c r="AX180" s="565">
        <f>WWWW[[#This Row],[%equitable and continuous access to sufficient quantity of safe drinking and domestic water''s GAP]]*WWWW[[#This Row],[Total PoP ]]</f>
        <v>0</v>
      </c>
      <c r="AY180" s="557">
        <f>IF(WWWW[[#This Row],[Total required water points]]-WWWW[[#This Row],['#Water points coverage]]&lt;0,0,WWWW[[#This Row],[Total required water points]]-WWWW[[#This Row],['#Water points coverage]])</f>
        <v>0</v>
      </c>
      <c r="AZ180" s="557">
        <f>ROUND(IF(WWWW[[#This Row],[Total PoP ]]&lt;250,1,WWWW[[#This Row],[Total PoP ]]/250),0)</f>
        <v>1</v>
      </c>
      <c r="BA180"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180" s="565">
        <f>WWWW[[#This Row],[% people access to functioning Latrine]]*WWWW[[#This Row],[Total PoP ]]</f>
        <v>266</v>
      </c>
      <c r="BC180" s="421">
        <f>WWWW[[#This Row],['#_of_Functioning_latrines_in_school]]*50</f>
        <v>0</v>
      </c>
      <c r="BD180" s="557">
        <f>ROUND((WWWW[[#This Row],[Total PoP ]]/6),0)</f>
        <v>44</v>
      </c>
      <c r="BE180" s="421">
        <f>IF(WWWW[[#This Row],[Total required Latrines]]-(WWWW[[#This Row],['#_of_sanitary_fly-proof_HH_latrines]])&lt;0,0,WWWW[[#This Row],[Total required Latrines]]-(WWWW[[#This Row],['#_of_sanitary_fly-proof_HH_latrines]]))</f>
        <v>0</v>
      </c>
      <c r="BF180" s="563">
        <f>1-WWWW[[#This Row],[% people access to functioning Latrine]]</f>
        <v>0</v>
      </c>
      <c r="BG18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230</v>
      </c>
      <c r="BH180" s="565">
        <f>IF(WWWW[[#This Row],['#_of_functional_handwashing_facilities_at_HH_level]]*6&gt;WWWW[[#This Row],[Total PoP ]],WWWW[[#This Row],[Total PoP ]],WWWW[[#This Row],['#_of_functional_handwashing_facilities_at_HH_level]]*6)</f>
        <v>0</v>
      </c>
      <c r="BI180" s="557">
        <f>IF(WWWW[[#This Row],['# people reached by regular dedicated hygiene promotion]]&gt;WWWW[[#This Row],['# People received regular supply of hygiene items]],WWWW[[#This Row],['# people reached by regular dedicated hygiene promotion]],WWWW[[#This Row],['# People received regular supply of hygiene items]])</f>
        <v>230</v>
      </c>
      <c r="BJ180" s="555">
        <f>IF(WWWW[[#This Row],[HRP3]]/WWWW[[#This Row],[Total PoP ]]&gt;100%,100%,WWWW[[#This Row],[HRP3]]/WWWW[[#This Row],[Total PoP ]])</f>
        <v>0.86466165413533835</v>
      </c>
      <c r="BK180" s="558">
        <f>1-WWWW[[#This Row],[Hygiene Coverage%]]</f>
        <v>0.13533834586466165</v>
      </c>
      <c r="BL180" s="556">
        <f>WWWW[[#This Row],['# people reached by regular dedicated hygiene promotion]]/WWWW[[#This Row],[Total PoP ]]</f>
        <v>0.86466165413533835</v>
      </c>
      <c r="BM18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0" s="557">
        <f>WWWW[[#This Row],['#_of_affected_women_and_girls_receiving_a_sufficient_quantity_of_sanitary_pads]]</f>
        <v>0</v>
      </c>
      <c r="BO180" s="611">
        <f>IF(WWWW[[#This Row],['# People with access to soap]]&gt;WWWW[[#This Row],['# People with access to Sanity Pads]],WWWW[[#This Row],['# People with access to soap]],WWWW[[#This Row],['# People with access to Sanity Pads]])</f>
        <v>0</v>
      </c>
      <c r="BP180" s="458" t="str">
        <f>IF(OR(WWWW[[#This Row],['#of students in school]]="",WWWW[[#This Row],['#of students in school]]=0),"No","Yes")</f>
        <v>Yes</v>
      </c>
      <c r="BQ180" s="559" t="str">
        <f>VLOOKUP(WWWW[[#This Row],[Village  Name]],SiteDB6[[Site Name]:[Location Type 1]],9,FALSE)</f>
        <v>Village</v>
      </c>
      <c r="BR180" s="559" t="str">
        <f>VLOOKUP(WWWW[[#This Row],[Village  Name]],SiteDB6[[Site Name]:[Type of Accommodation]],10,FALSE)</f>
        <v>Village</v>
      </c>
      <c r="BS180" s="559" t="str">
        <f>VLOOKUP(WWWW[[#This Row],[Village  Name]],SiteDB6[[Site Name]:[Ethnic or GCA/NGCA]],11,FALSE)</f>
        <v>Rakhine</v>
      </c>
      <c r="BT180" s="559">
        <f>VLOOKUP(WWWW[[#This Row],[Village  Name]],SiteDB6[[Site Name]:[Lat]],12,FALSE)</f>
        <v>20.991559980000002</v>
      </c>
      <c r="BU180" s="559">
        <f>VLOOKUP(WWWW[[#This Row],[Village  Name]],SiteDB6[[Site Name]:[Long]],13,FALSE)</f>
        <v>92.290878300000003</v>
      </c>
      <c r="BV180" s="559">
        <f>VLOOKUP(WWWW[[#This Row],[Village  Name]],SiteDB6[[Site Name]:[Pcode]],3,FALSE)</f>
        <v>197896</v>
      </c>
      <c r="BW180" s="587" t="str">
        <f t="shared" si="7"/>
        <v>Covered</v>
      </c>
      <c r="BX180" s="587"/>
      <c r="BY180" s="33"/>
      <c r="CA180" s="431"/>
      <c r="CB180" s="33"/>
      <c r="CC180" s="36"/>
      <c r="CE180" s="37"/>
      <c r="CN180" s="20"/>
    </row>
    <row r="181" spans="1:92" s="550" customFormat="1" hidden="1">
      <c r="A181" s="612" t="s">
        <v>2380</v>
      </c>
      <c r="B181" s="823" t="s">
        <v>2864</v>
      </c>
      <c r="C181" s="824" t="s">
        <v>371</v>
      </c>
      <c r="D181" s="824" t="s">
        <v>236</v>
      </c>
      <c r="E181" s="824" t="s">
        <v>2686</v>
      </c>
      <c r="F181" s="824" t="s">
        <v>321</v>
      </c>
      <c r="G181" s="596" t="str">
        <f>VLOOKUP(WWWW[[#This Row],[Village  Name]],SiteDB6[[Site Name]:[Location Type]],8,FALSE)</f>
        <v>Village</v>
      </c>
      <c r="H181" s="825" t="s">
        <v>619</v>
      </c>
      <c r="I181" s="652">
        <v>41</v>
      </c>
      <c r="J181" s="653">
        <v>172</v>
      </c>
      <c r="K181" s="562">
        <v>43221</v>
      </c>
      <c r="L181" s="562">
        <v>43677</v>
      </c>
      <c r="M181" s="653">
        <v>37</v>
      </c>
      <c r="N181" s="653">
        <v>0</v>
      </c>
      <c r="O181" s="611">
        <v>0</v>
      </c>
      <c r="P181" s="653">
        <v>4</v>
      </c>
      <c r="Q181" s="653">
        <v>2</v>
      </c>
      <c r="R181" s="653">
        <v>0</v>
      </c>
      <c r="S181" s="653">
        <v>0</v>
      </c>
      <c r="T181" s="654"/>
      <c r="U181" s="653">
        <v>30</v>
      </c>
      <c r="V181" s="653" t="s">
        <v>128</v>
      </c>
      <c r="W181" s="653">
        <v>2</v>
      </c>
      <c r="X181" s="653">
        <v>0</v>
      </c>
      <c r="Y181" s="653">
        <v>0</v>
      </c>
      <c r="Z181" s="653">
        <v>0</v>
      </c>
      <c r="AA181" s="653">
        <v>0</v>
      </c>
      <c r="AB181" s="654"/>
      <c r="AC181" s="653">
        <v>40</v>
      </c>
      <c r="AD181" s="653">
        <v>50</v>
      </c>
      <c r="AE181" s="653">
        <v>17</v>
      </c>
      <c r="AF181" s="653">
        <v>15</v>
      </c>
      <c r="AG181" s="653">
        <v>17</v>
      </c>
      <c r="AH181" s="653">
        <v>15</v>
      </c>
      <c r="AI181" s="611">
        <v>0</v>
      </c>
      <c r="AJ181" s="653">
        <v>1</v>
      </c>
      <c r="AK181" s="653"/>
      <c r="AL181" s="653"/>
      <c r="AM181" s="654"/>
      <c r="AN181" s="556">
        <v>0.7</v>
      </c>
      <c r="AO181" s="556">
        <v>70</v>
      </c>
      <c r="AP181" s="655">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81" s="656">
        <f>WWWW[[#This Row],[%Equitable and continuous access to sufficient quantity of safe drinking water]]*WWWW[[#This Row],[Total PoP ]]</f>
        <v>172</v>
      </c>
      <c r="AR181" s="655">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81" s="656">
        <f>WWWW[[#This Row],[% Access to unimproved water points]]*WWWW[[#This Row],[Total PoP ]]</f>
        <v>172</v>
      </c>
      <c r="AT181" s="65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1" s="6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AV181" s="656">
        <f>WWWW[[#This Row],[HRP1]]/250</f>
        <v>0.68799999999999994</v>
      </c>
      <c r="AW181" s="658">
        <f>1-WWWW[[#This Row],[% Equitable and continuous access to sufficient quantity of domestic water]]</f>
        <v>0</v>
      </c>
      <c r="AX181" s="656">
        <f>WWWW[[#This Row],[%equitable and continuous access to sufficient quantity of safe drinking and domestic water''s GAP]]*WWWW[[#This Row],[Total PoP ]]</f>
        <v>0</v>
      </c>
      <c r="AY181" s="659">
        <f>IF(WWWW[[#This Row],[Total required water points]]-WWWW[[#This Row],['#Water points coverage]]&lt;0,0,WWWW[[#This Row],[Total required water points]]-WWWW[[#This Row],['#Water points coverage]])</f>
        <v>0.31200000000000006</v>
      </c>
      <c r="AZ181" s="659">
        <f>ROUND(IF(WWWW[[#This Row],[Total PoP ]]&lt;250,1,WWWW[[#This Row],[Total PoP ]]/250),0)</f>
        <v>1</v>
      </c>
      <c r="BA181"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181" s="656">
        <f>WWWW[[#This Row],[% people access to functioning Latrine]]*WWWW[[#This Row],[Total PoP ]]</f>
        <v>172</v>
      </c>
      <c r="BC181" s="659">
        <f>WWWW[[#This Row],['#_of_Functioning_latrines_in_school]]*50</f>
        <v>100</v>
      </c>
      <c r="BD181" s="659">
        <f>ROUND((WWWW[[#This Row],[Total PoP ]]/6),0)</f>
        <v>29</v>
      </c>
      <c r="BE181" s="659">
        <f>IF(WWWW[[#This Row],[Total required Latrines]]-(WWWW[[#This Row],['#_of_sanitary_fly-proof_HH_latrines]])&lt;0,0,WWWW[[#This Row],[Total required Latrines]]-(WWWW[[#This Row],['#_of_sanitary_fly-proof_HH_latrines]]))</f>
        <v>0</v>
      </c>
      <c r="BF181" s="660">
        <f>1-WWWW[[#This Row],[% people access to functioning Latrine]]</f>
        <v>0</v>
      </c>
      <c r="BG181" s="656">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154</v>
      </c>
      <c r="BH181" s="565">
        <f>IF(WWWW[[#This Row],['#_of_functional_handwashing_facilities_at_HH_level]]*6&gt;WWWW[[#This Row],[Total PoP ]],WWWW[[#This Row],[Total PoP ]],WWWW[[#This Row],['#_of_functional_handwashing_facilities_at_HH_level]]*6)</f>
        <v>0</v>
      </c>
      <c r="BI181" s="659">
        <f>IF(WWWW[[#This Row],['# people reached by regular dedicated hygiene promotion]]&gt;WWWW[[#This Row],['# People received regular supply of hygiene items]],WWWW[[#This Row],['# people reached by regular dedicated hygiene promotion]],WWWW[[#This Row],['# People received regular supply of hygiene items]])</f>
        <v>154</v>
      </c>
      <c r="BJ181" s="658">
        <f>IF(WWWW[[#This Row],[HRP3]]/WWWW[[#This Row],[Total PoP ]]&gt;100%,100%,WWWW[[#This Row],[HRP3]]/WWWW[[#This Row],[Total PoP ]])</f>
        <v>0.89534883720930236</v>
      </c>
      <c r="BK181" s="655">
        <f>1-WWWW[[#This Row],[Hygiene Coverage%]]</f>
        <v>0.10465116279069764</v>
      </c>
      <c r="BL181" s="657">
        <f>WWWW[[#This Row],['# people reached by regular dedicated hygiene promotion]]/WWWW[[#This Row],[Total PoP ]]</f>
        <v>0.89534883720930236</v>
      </c>
      <c r="BM181" s="65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1" s="659">
        <f>WWWW[[#This Row],['#_of_affected_women_and_girls_receiving_a_sufficient_quantity_of_sanitary_pads]]</f>
        <v>0</v>
      </c>
      <c r="BO181" s="653">
        <f>IF(WWWW[[#This Row],['# People with access to soap]]&gt;WWWW[[#This Row],['# People with access to Sanity Pads]],WWWW[[#This Row],['# People with access to soap]],WWWW[[#This Row],['# People with access to Sanity Pads]])</f>
        <v>0</v>
      </c>
      <c r="BP181" s="565" t="str">
        <f>IF(OR(WWWW[[#This Row],['#of students in school]]="",WWWW[[#This Row],['#of students in school]]=0),"No","Yes")</f>
        <v>Yes</v>
      </c>
      <c r="BQ181" s="661" t="str">
        <f>VLOOKUP(WWWW[[#This Row],[Village  Name]],SiteDB6[[Site Name]:[Location Type 1]],9,FALSE)</f>
        <v>Village</v>
      </c>
      <c r="BR181" s="661" t="str">
        <f>VLOOKUP(WWWW[[#This Row],[Village  Name]],SiteDB6[[Site Name]:[Type of Accommodation]],10,FALSE)</f>
        <v>Village</v>
      </c>
      <c r="BS181" s="661" t="str">
        <f>VLOOKUP(WWWW[[#This Row],[Village  Name]],SiteDB6[[Site Name]:[Ethnic or GCA/NGCA]],11,FALSE)</f>
        <v>Rakhine</v>
      </c>
      <c r="BT181" s="661">
        <f>VLOOKUP(WWWW[[#This Row],[Village  Name]],SiteDB6[[Site Name]:[Lat]],12,FALSE)</f>
        <v>20.818290709999999</v>
      </c>
      <c r="BU181" s="661">
        <f>VLOOKUP(WWWW[[#This Row],[Village  Name]],SiteDB6[[Site Name]:[Long]],13,FALSE)</f>
        <v>92.594978330000004</v>
      </c>
      <c r="BV181" s="661">
        <f>VLOOKUP(WWWW[[#This Row],[Village  Name]],SiteDB6[[Site Name]:[Pcode]],3,FALSE)</f>
        <v>217876</v>
      </c>
      <c r="BW181" s="662" t="str">
        <f t="shared" si="7"/>
        <v>Covered</v>
      </c>
      <c r="BX181" s="662"/>
      <c r="BY181" s="552"/>
      <c r="BZ181" s="552"/>
      <c r="CA181" s="548"/>
      <c r="CB181" s="552"/>
      <c r="CC181" s="553"/>
      <c r="CD181" s="553"/>
      <c r="CE181" s="554"/>
      <c r="CF181" s="554"/>
      <c r="CG181" s="554"/>
      <c r="CH181" s="554"/>
      <c r="CI181" s="554"/>
      <c r="CJ181" s="554"/>
      <c r="CK181" s="554"/>
      <c r="CL181" s="554"/>
      <c r="CM181" s="554"/>
    </row>
    <row r="182" spans="1:92" hidden="1">
      <c r="A182" s="612" t="s">
        <v>2380</v>
      </c>
      <c r="B182" s="551" t="s">
        <v>2864</v>
      </c>
      <c r="C182" s="551" t="s">
        <v>371</v>
      </c>
      <c r="D182" s="551" t="s">
        <v>236</v>
      </c>
      <c r="E182" s="551" t="s">
        <v>2686</v>
      </c>
      <c r="F182" s="551" t="s">
        <v>321</v>
      </c>
      <c r="G182" s="596" t="str">
        <f>VLOOKUP(WWWW[[#This Row],[Village  Name]],SiteDB6[[Site Name]:[Location Type]],8,FALSE)</f>
        <v>Village</v>
      </c>
      <c r="H182" s="821" t="s">
        <v>636</v>
      </c>
      <c r="I182" s="614">
        <v>24</v>
      </c>
      <c r="J182" s="565">
        <v>91</v>
      </c>
      <c r="K182" s="562">
        <v>43221</v>
      </c>
      <c r="L182" s="562">
        <v>43677</v>
      </c>
      <c r="M182" s="611">
        <v>15</v>
      </c>
      <c r="N182" s="611">
        <v>0</v>
      </c>
      <c r="O182" s="611">
        <v>0</v>
      </c>
      <c r="P182" s="611">
        <v>2</v>
      </c>
      <c r="Q182" s="611">
        <v>0</v>
      </c>
      <c r="R182" s="611">
        <v>0</v>
      </c>
      <c r="S182" s="611">
        <v>0</v>
      </c>
      <c r="T182" s="643"/>
      <c r="U182" s="611">
        <v>20</v>
      </c>
      <c r="V182" s="611" t="s">
        <v>128</v>
      </c>
      <c r="W182" s="611">
        <v>0</v>
      </c>
      <c r="X182" s="611">
        <v>0</v>
      </c>
      <c r="Y182" s="611">
        <v>0</v>
      </c>
      <c r="Z182" s="611">
        <v>0</v>
      </c>
      <c r="AA182" s="611">
        <v>0</v>
      </c>
      <c r="AB182" s="643"/>
      <c r="AC182" s="611">
        <v>19</v>
      </c>
      <c r="AD182" s="611">
        <v>17</v>
      </c>
      <c r="AE182" s="611">
        <v>12</v>
      </c>
      <c r="AF182" s="611">
        <v>14</v>
      </c>
      <c r="AG182" s="611">
        <v>6</v>
      </c>
      <c r="AH182" s="611">
        <v>11</v>
      </c>
      <c r="AI182" s="611">
        <v>0</v>
      </c>
      <c r="AJ182" s="611">
        <v>0</v>
      </c>
      <c r="AK182" s="611"/>
      <c r="AL182" s="611"/>
      <c r="AM182" s="643"/>
      <c r="AN182" s="556">
        <v>0.8</v>
      </c>
      <c r="AO182" s="556">
        <v>0.8</v>
      </c>
      <c r="AP182"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82" s="565">
        <f>WWWW[[#This Row],[%Equitable and continuous access to sufficient quantity of safe drinking water]]*WWWW[[#This Row],[Total PoP ]]</f>
        <v>91</v>
      </c>
      <c r="AR18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82" s="565">
        <f>WWWW[[#This Row],[% Access to unimproved water points]]*WWWW[[#This Row],[Total PoP ]]</f>
        <v>0</v>
      </c>
      <c r="AT18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AV182" s="565">
        <f>WWWW[[#This Row],[HRP1]]/250</f>
        <v>0.36399999999999999</v>
      </c>
      <c r="AW182" s="555">
        <f>1-WWWW[[#This Row],[% Equitable and continuous access to sufficient quantity of domestic water]]</f>
        <v>0</v>
      </c>
      <c r="AX182" s="565">
        <f>WWWW[[#This Row],[%equitable and continuous access to sufficient quantity of safe drinking and domestic water''s GAP]]*WWWW[[#This Row],[Total PoP ]]</f>
        <v>0</v>
      </c>
      <c r="AY182" s="557">
        <f>IF(WWWW[[#This Row],[Total required water points]]-WWWW[[#This Row],['#Water points coverage]]&lt;0,0,WWWW[[#This Row],[Total required water points]]-WWWW[[#This Row],['#Water points coverage]])</f>
        <v>0.63600000000000001</v>
      </c>
      <c r="AZ182" s="557">
        <f>ROUND(IF(WWWW[[#This Row],[Total PoP ]]&lt;250,1,WWWW[[#This Row],[Total PoP ]]/250),0)</f>
        <v>1</v>
      </c>
      <c r="BA182"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182" s="565">
        <f>WWWW[[#This Row],[% people access to functioning Latrine]]*WWWW[[#This Row],[Total PoP ]]</f>
        <v>91</v>
      </c>
      <c r="BC182" s="421">
        <f>WWWW[[#This Row],['#_of_Functioning_latrines_in_school]]*50</f>
        <v>0</v>
      </c>
      <c r="BD182" s="557">
        <f>ROUND((WWWW[[#This Row],[Total PoP ]]/6),0)</f>
        <v>15</v>
      </c>
      <c r="BE182" s="421">
        <f>IF(WWWW[[#This Row],[Total required Latrines]]-(WWWW[[#This Row],['#_of_sanitary_fly-proof_HH_latrines]])&lt;0,0,WWWW[[#This Row],[Total required Latrines]]-(WWWW[[#This Row],['#_of_sanitary_fly-proof_HH_latrines]]))</f>
        <v>0</v>
      </c>
      <c r="BF182" s="563">
        <f>1-WWWW[[#This Row],[% people access to functioning Latrine]]</f>
        <v>0</v>
      </c>
      <c r="BG18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79</v>
      </c>
      <c r="BH182" s="565">
        <f>IF(WWWW[[#This Row],['#_of_functional_handwashing_facilities_at_HH_level]]*6&gt;WWWW[[#This Row],[Total PoP ]],WWWW[[#This Row],[Total PoP ]],WWWW[[#This Row],['#_of_functional_handwashing_facilities_at_HH_level]]*6)</f>
        <v>0</v>
      </c>
      <c r="BI182" s="557">
        <f>IF(WWWW[[#This Row],['# people reached by regular dedicated hygiene promotion]]&gt;WWWW[[#This Row],['# People received regular supply of hygiene items]],WWWW[[#This Row],['# people reached by regular dedicated hygiene promotion]],WWWW[[#This Row],['# People received regular supply of hygiene items]])</f>
        <v>79</v>
      </c>
      <c r="BJ182" s="555">
        <f>IF(WWWW[[#This Row],[HRP3]]/WWWW[[#This Row],[Total PoP ]]&gt;100%,100%,WWWW[[#This Row],[HRP3]]/WWWW[[#This Row],[Total PoP ]])</f>
        <v>0.86813186813186816</v>
      </c>
      <c r="BK182" s="558">
        <f>1-WWWW[[#This Row],[Hygiene Coverage%]]</f>
        <v>0.13186813186813184</v>
      </c>
      <c r="BL182" s="556">
        <f>WWWW[[#This Row],['# people reached by regular dedicated hygiene promotion]]/WWWW[[#This Row],[Total PoP ]]</f>
        <v>0.86813186813186816</v>
      </c>
      <c r="BM18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2" s="557">
        <f>WWWW[[#This Row],['#_of_affected_women_and_girls_receiving_a_sufficient_quantity_of_sanitary_pads]]</f>
        <v>0</v>
      </c>
      <c r="BO182" s="611">
        <f>IF(WWWW[[#This Row],['# People with access to soap]]&gt;WWWW[[#This Row],['# People with access to Sanity Pads]],WWWW[[#This Row],['# People with access to soap]],WWWW[[#This Row],['# People with access to Sanity Pads]])</f>
        <v>0</v>
      </c>
      <c r="BP182" s="458" t="str">
        <f>IF(OR(WWWW[[#This Row],['#of students in school]]="",WWWW[[#This Row],['#of students in school]]=0),"No","Yes")</f>
        <v>Yes</v>
      </c>
      <c r="BQ182" s="559" t="str">
        <f>VLOOKUP(WWWW[[#This Row],[Village  Name]],SiteDB6[[Site Name]:[Location Type 1]],9,FALSE)</f>
        <v>Village</v>
      </c>
      <c r="BR182" s="559" t="str">
        <f>VLOOKUP(WWWW[[#This Row],[Village  Name]],SiteDB6[[Site Name]:[Type of Accommodation]],10,FALSE)</f>
        <v>Village</v>
      </c>
      <c r="BS182" s="559" t="str">
        <f>VLOOKUP(WWWW[[#This Row],[Village  Name]],SiteDB6[[Site Name]:[Ethnic or GCA/NGCA]],11,FALSE)</f>
        <v>Rakhine</v>
      </c>
      <c r="BT182" s="559">
        <f>VLOOKUP(WWWW[[#This Row],[Village  Name]],SiteDB6[[Site Name]:[Lat]],12,FALSE)</f>
        <v>20.849060059999999</v>
      </c>
      <c r="BU182" s="559">
        <f>VLOOKUP(WWWW[[#This Row],[Village  Name]],SiteDB6[[Site Name]:[Long]],13,FALSE)</f>
        <v>92.497413640000005</v>
      </c>
      <c r="BV182" s="559">
        <f>VLOOKUP(WWWW[[#This Row],[Village  Name]],SiteDB6[[Site Name]:[Pcode]],3,FALSE)</f>
        <v>198313</v>
      </c>
      <c r="BW182" s="587" t="str">
        <f t="shared" si="7"/>
        <v>Covered</v>
      </c>
      <c r="BX182" s="587"/>
      <c r="BY182" s="33"/>
      <c r="CA182" s="431"/>
      <c r="CB182" s="33"/>
      <c r="CC182" s="36"/>
      <c r="CE182" s="37"/>
      <c r="CN182" s="20"/>
    </row>
    <row r="183" spans="1:92" hidden="1">
      <c r="A183" s="612" t="s">
        <v>2380</v>
      </c>
      <c r="B183" s="551" t="s">
        <v>2864</v>
      </c>
      <c r="C183" s="551" t="s">
        <v>371</v>
      </c>
      <c r="D183" s="551" t="s">
        <v>236</v>
      </c>
      <c r="E183" s="551" t="s">
        <v>2686</v>
      </c>
      <c r="F183" s="551" t="s">
        <v>321</v>
      </c>
      <c r="G183" s="596" t="str">
        <f>VLOOKUP(WWWW[[#This Row],[Village  Name]],SiteDB6[[Site Name]:[Location Type]],8,FALSE)</f>
        <v>Village</v>
      </c>
      <c r="H183" s="821" t="s">
        <v>642</v>
      </c>
      <c r="I183" s="614">
        <v>115</v>
      </c>
      <c r="J183" s="565">
        <v>658</v>
      </c>
      <c r="K183" s="562">
        <v>43221</v>
      </c>
      <c r="L183" s="562">
        <v>43677</v>
      </c>
      <c r="M183" s="611">
        <v>420</v>
      </c>
      <c r="N183" s="611">
        <v>0</v>
      </c>
      <c r="O183" s="611">
        <v>0</v>
      </c>
      <c r="P183" s="611">
        <v>1</v>
      </c>
      <c r="Q183" s="611">
        <v>2</v>
      </c>
      <c r="R183" s="611">
        <v>0</v>
      </c>
      <c r="S183" s="611">
        <v>0</v>
      </c>
      <c r="T183" s="643"/>
      <c r="U183" s="611">
        <v>80</v>
      </c>
      <c r="V183" s="611" t="s">
        <v>41</v>
      </c>
      <c r="W183" s="611">
        <v>1</v>
      </c>
      <c r="X183" s="611">
        <v>0</v>
      </c>
      <c r="Y183" s="611">
        <v>0</v>
      </c>
      <c r="Z183" s="611">
        <v>0</v>
      </c>
      <c r="AA183" s="611">
        <v>0</v>
      </c>
      <c r="AB183" s="643"/>
      <c r="AC183" s="611">
        <v>150</v>
      </c>
      <c r="AD183" s="611">
        <v>96</v>
      </c>
      <c r="AE183" s="611">
        <v>40</v>
      </c>
      <c r="AF183" s="611">
        <v>37</v>
      </c>
      <c r="AG183" s="611">
        <v>32</v>
      </c>
      <c r="AH183" s="611">
        <v>30</v>
      </c>
      <c r="AI183" s="611">
        <v>0</v>
      </c>
      <c r="AJ183" s="611">
        <v>0</v>
      </c>
      <c r="AK183" s="611"/>
      <c r="AL183" s="611"/>
      <c r="AM183" s="643"/>
      <c r="AN183" s="556">
        <v>0.75</v>
      </c>
      <c r="AO183" s="556">
        <v>0.75</v>
      </c>
      <c r="AP183"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83" s="565">
        <f>WWWW[[#This Row],[%Equitable and continuous access to sufficient quantity of safe drinking water]]*WWWW[[#This Row],[Total PoP ]]</f>
        <v>658</v>
      </c>
      <c r="AR18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83" s="565">
        <f>WWWW[[#This Row],[% Access to unimproved water points]]*WWWW[[#This Row],[Total PoP ]]</f>
        <v>658</v>
      </c>
      <c r="AT18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AV183" s="565">
        <f>WWWW[[#This Row],[HRP1]]/250</f>
        <v>2.6320000000000001</v>
      </c>
      <c r="AW183" s="555">
        <f>1-WWWW[[#This Row],[% Equitable and continuous access to sufficient quantity of domestic water]]</f>
        <v>0</v>
      </c>
      <c r="AX183" s="565">
        <f>WWWW[[#This Row],[%equitable and continuous access to sufficient quantity of safe drinking and domestic water''s GAP]]*WWWW[[#This Row],[Total PoP ]]</f>
        <v>0</v>
      </c>
      <c r="AY183" s="557">
        <f>IF(WWWW[[#This Row],[Total required water points]]-WWWW[[#This Row],['#Water points coverage]]&lt;0,0,WWWW[[#This Row],[Total required water points]]-WWWW[[#This Row],['#Water points coverage]])</f>
        <v>0.36799999999999988</v>
      </c>
      <c r="AZ183" s="557">
        <f>ROUND(IF(WWWW[[#This Row],[Total PoP ]]&lt;250,1,WWWW[[#This Row],[Total PoP ]]/250),0)</f>
        <v>3</v>
      </c>
      <c r="BA183"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0.80547112462006076</v>
      </c>
      <c r="BB183" s="565">
        <f>WWWW[[#This Row],[% people access to functioning Latrine]]*WWWW[[#This Row],[Total PoP ]]</f>
        <v>530</v>
      </c>
      <c r="BC183" s="421">
        <f>WWWW[[#This Row],['#_of_Functioning_latrines_in_school]]*50</f>
        <v>50</v>
      </c>
      <c r="BD183" s="557">
        <f>ROUND((WWWW[[#This Row],[Total PoP ]]/6),0)</f>
        <v>110</v>
      </c>
      <c r="BE183" s="421">
        <f>IF(WWWW[[#This Row],[Total required Latrines]]-(WWWW[[#This Row],['#_of_sanitary_fly-proof_HH_latrines]])&lt;0,0,WWWW[[#This Row],[Total required Latrines]]-(WWWW[[#This Row],['#_of_sanitary_fly-proof_HH_latrines]]))</f>
        <v>30</v>
      </c>
      <c r="BF183" s="563">
        <f>1-WWWW[[#This Row],[% people access to functioning Latrine]]</f>
        <v>0.19452887537993924</v>
      </c>
      <c r="BG18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385</v>
      </c>
      <c r="BH183" s="565">
        <f>IF(WWWW[[#This Row],['#_of_functional_handwashing_facilities_at_HH_level]]*6&gt;WWWW[[#This Row],[Total PoP ]],WWWW[[#This Row],[Total PoP ]],WWWW[[#This Row],['#_of_functional_handwashing_facilities_at_HH_level]]*6)</f>
        <v>0</v>
      </c>
      <c r="BI183" s="557">
        <f>IF(WWWW[[#This Row],['# people reached by regular dedicated hygiene promotion]]&gt;WWWW[[#This Row],['# People received regular supply of hygiene items]],WWWW[[#This Row],['# people reached by regular dedicated hygiene promotion]],WWWW[[#This Row],['# People received regular supply of hygiene items]])</f>
        <v>385</v>
      </c>
      <c r="BJ183" s="555">
        <f>IF(WWWW[[#This Row],[HRP3]]/WWWW[[#This Row],[Total PoP ]]&gt;100%,100%,WWWW[[#This Row],[HRP3]]/WWWW[[#This Row],[Total PoP ]])</f>
        <v>0.58510638297872342</v>
      </c>
      <c r="BK183" s="558">
        <f>1-WWWW[[#This Row],[Hygiene Coverage%]]</f>
        <v>0.41489361702127658</v>
      </c>
      <c r="BL183" s="556">
        <f>WWWW[[#This Row],['# people reached by regular dedicated hygiene promotion]]/WWWW[[#This Row],[Total PoP ]]</f>
        <v>0.58510638297872342</v>
      </c>
      <c r="BM18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3" s="557">
        <f>WWWW[[#This Row],['#_of_affected_women_and_girls_receiving_a_sufficient_quantity_of_sanitary_pads]]</f>
        <v>0</v>
      </c>
      <c r="BO183" s="611">
        <f>IF(WWWW[[#This Row],['# People with access to soap]]&gt;WWWW[[#This Row],['# People with access to Sanity Pads]],WWWW[[#This Row],['# People with access to soap]],WWWW[[#This Row],['# People with access to Sanity Pads]])</f>
        <v>0</v>
      </c>
      <c r="BP183" s="458" t="str">
        <f>IF(OR(WWWW[[#This Row],['#of students in school]]="",WWWW[[#This Row],['#of students in school]]=0),"No","Yes")</f>
        <v>Yes</v>
      </c>
      <c r="BQ183" s="559" t="str">
        <f>VLOOKUP(WWWW[[#This Row],[Village  Name]],SiteDB6[[Site Name]:[Location Type 1]],9,FALSE)</f>
        <v>Village</v>
      </c>
      <c r="BR183" s="559" t="str">
        <f>VLOOKUP(WWWW[[#This Row],[Village  Name]],SiteDB6[[Site Name]:[Type of Accommodation]],10,FALSE)</f>
        <v>Village</v>
      </c>
      <c r="BS183" s="559" t="str">
        <f>VLOOKUP(WWWW[[#This Row],[Village  Name]],SiteDB6[[Site Name]:[Ethnic or GCA/NGCA]],11,FALSE)</f>
        <v>Muslim</v>
      </c>
      <c r="BT183" s="559">
        <f>VLOOKUP(WWWW[[#This Row],[Village  Name]],SiteDB6[[Site Name]:[Lat]],12,FALSE)</f>
        <v>20.876710889999998</v>
      </c>
      <c r="BU183" s="559">
        <f>VLOOKUP(WWWW[[#This Row],[Village  Name]],SiteDB6[[Site Name]:[Long]],13,FALSE)</f>
        <v>92.537406919999995</v>
      </c>
      <c r="BV183" s="559">
        <f>VLOOKUP(WWWW[[#This Row],[Village  Name]],SiteDB6[[Site Name]:[Pcode]],3,FALSE)</f>
        <v>198301</v>
      </c>
      <c r="BW183" s="587" t="str">
        <f t="shared" si="7"/>
        <v>Covered</v>
      </c>
      <c r="BX183" s="587"/>
      <c r="BY183" s="33"/>
      <c r="CA183" s="431"/>
      <c r="CB183" s="33"/>
      <c r="CC183" s="36"/>
      <c r="CE183" s="37"/>
      <c r="CN183" s="20"/>
    </row>
    <row r="184" spans="1:92" hidden="1">
      <c r="A184" s="612" t="s">
        <v>2380</v>
      </c>
      <c r="B184" s="551" t="s">
        <v>2864</v>
      </c>
      <c r="C184" s="551" t="s">
        <v>371</v>
      </c>
      <c r="D184" s="551" t="s">
        <v>236</v>
      </c>
      <c r="E184" s="551" t="s">
        <v>2686</v>
      </c>
      <c r="F184" s="551" t="s">
        <v>307</v>
      </c>
      <c r="G184" s="596" t="str">
        <f>VLOOKUP(WWWW[[#This Row],[Village  Name]],SiteDB6[[Site Name]:[Location Type]],8,FALSE)</f>
        <v>Village</v>
      </c>
      <c r="H184" s="822" t="s">
        <v>2861</v>
      </c>
      <c r="I184" s="615">
        <v>55</v>
      </c>
      <c r="J184" s="565">
        <v>241</v>
      </c>
      <c r="K184" s="562">
        <v>43221</v>
      </c>
      <c r="L184" s="562">
        <v>43677</v>
      </c>
      <c r="M184" s="611">
        <v>43</v>
      </c>
      <c r="N184" s="611">
        <v>0</v>
      </c>
      <c r="O184" s="611">
        <v>2</v>
      </c>
      <c r="P184" s="611">
        <v>3</v>
      </c>
      <c r="Q184" s="611">
        <v>1</v>
      </c>
      <c r="R184" s="611">
        <v>0</v>
      </c>
      <c r="S184" s="611">
        <v>0</v>
      </c>
      <c r="T184" s="643"/>
      <c r="U184" s="611">
        <v>30</v>
      </c>
      <c r="V184" s="611" t="s">
        <v>41</v>
      </c>
      <c r="W184" s="611">
        <v>2</v>
      </c>
      <c r="X184" s="611">
        <v>0</v>
      </c>
      <c r="Y184" s="611">
        <v>0</v>
      </c>
      <c r="Z184" s="611">
        <v>0</v>
      </c>
      <c r="AA184" s="611">
        <v>0</v>
      </c>
      <c r="AB184" s="643"/>
      <c r="AC184" s="611">
        <v>48</v>
      </c>
      <c r="AD184" s="611">
        <v>40</v>
      </c>
      <c r="AE184" s="611">
        <v>25</v>
      </c>
      <c r="AF184" s="611">
        <v>27</v>
      </c>
      <c r="AG184" s="611">
        <v>4</v>
      </c>
      <c r="AH184" s="611">
        <v>19</v>
      </c>
      <c r="AI184" s="611">
        <v>0</v>
      </c>
      <c r="AJ184" s="611">
        <v>0</v>
      </c>
      <c r="AK184" s="611"/>
      <c r="AL184" s="611"/>
      <c r="AM184" s="643"/>
      <c r="AN184" s="556">
        <v>0.7</v>
      </c>
      <c r="AO184" s="556">
        <v>0.7</v>
      </c>
      <c r="AP184"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84" s="565">
        <f>WWWW[[#This Row],[%Equitable and continuous access to sufficient quantity of safe drinking water]]*WWWW[[#This Row],[Total PoP ]]</f>
        <v>241</v>
      </c>
      <c r="AR18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84" s="565">
        <f>WWWW[[#This Row],[% Access to unimproved water points]]*WWWW[[#This Row],[Total PoP ]]</f>
        <v>241</v>
      </c>
      <c r="AT18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AV184" s="565">
        <f>WWWW[[#This Row],[HRP1]]/250</f>
        <v>0.96399999999999997</v>
      </c>
      <c r="AW184" s="555">
        <f>1-WWWW[[#This Row],[% Equitable and continuous access to sufficient quantity of domestic water]]</f>
        <v>0</v>
      </c>
      <c r="AX184" s="565">
        <f>WWWW[[#This Row],[%equitable and continuous access to sufficient quantity of safe drinking and domestic water''s GAP]]*WWWW[[#This Row],[Total PoP ]]</f>
        <v>0</v>
      </c>
      <c r="AY184" s="557">
        <f>IF(WWWW[[#This Row],[Total required water points]]-WWWW[[#This Row],['#Water points coverage]]&lt;0,0,WWWW[[#This Row],[Total required water points]]-WWWW[[#This Row],['#Water points coverage]])</f>
        <v>3.6000000000000032E-2</v>
      </c>
      <c r="AZ184" s="557">
        <f>ROUND(IF(WWWW[[#This Row],[Total PoP ]]&lt;250,1,WWWW[[#This Row],[Total PoP ]]/250),0)</f>
        <v>1</v>
      </c>
      <c r="BA184"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184" s="565">
        <f>WWWW[[#This Row],[% people access to functioning Latrine]]*WWWW[[#This Row],[Total PoP ]]</f>
        <v>241</v>
      </c>
      <c r="BC184" s="421">
        <f>WWWW[[#This Row],['#_of_Functioning_latrines_in_school]]*50</f>
        <v>100</v>
      </c>
      <c r="BD184" s="557">
        <f>ROUND((WWWW[[#This Row],[Total PoP ]]/6),0)</f>
        <v>40</v>
      </c>
      <c r="BE184" s="421">
        <f>IF(WWWW[[#This Row],[Total required Latrines]]-(WWWW[[#This Row],['#_of_sanitary_fly-proof_HH_latrines]])&lt;0,0,WWWW[[#This Row],[Total required Latrines]]-(WWWW[[#This Row],['#_of_sanitary_fly-proof_HH_latrines]]))</f>
        <v>10</v>
      </c>
      <c r="BF184" s="563">
        <f>1-WWWW[[#This Row],[% people access to functioning Latrine]]</f>
        <v>0</v>
      </c>
      <c r="BG18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163</v>
      </c>
      <c r="BH184" s="565">
        <f>IF(WWWW[[#This Row],['#_of_functional_handwashing_facilities_at_HH_level]]*6&gt;WWWW[[#This Row],[Total PoP ]],WWWW[[#This Row],[Total PoP ]],WWWW[[#This Row],['#_of_functional_handwashing_facilities_at_HH_level]]*6)</f>
        <v>0</v>
      </c>
      <c r="BI184" s="557">
        <f>IF(WWWW[[#This Row],['# people reached by regular dedicated hygiene promotion]]&gt;WWWW[[#This Row],['# People received regular supply of hygiene items]],WWWW[[#This Row],['# people reached by regular dedicated hygiene promotion]],WWWW[[#This Row],['# People received regular supply of hygiene items]])</f>
        <v>163</v>
      </c>
      <c r="BJ184" s="555">
        <f>IF(WWWW[[#This Row],[HRP3]]/WWWW[[#This Row],[Total PoP ]]&gt;100%,100%,WWWW[[#This Row],[HRP3]]/WWWW[[#This Row],[Total PoP ]])</f>
        <v>0.67634854771784236</v>
      </c>
      <c r="BK184" s="558">
        <f>1-WWWW[[#This Row],[Hygiene Coverage%]]</f>
        <v>0.32365145228215764</v>
      </c>
      <c r="BL184" s="556">
        <f>WWWW[[#This Row],['# people reached by regular dedicated hygiene promotion]]/WWWW[[#This Row],[Total PoP ]]</f>
        <v>0.67634854771784236</v>
      </c>
      <c r="BM18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4" s="557">
        <f>WWWW[[#This Row],['#_of_affected_women_and_girls_receiving_a_sufficient_quantity_of_sanitary_pads]]</f>
        <v>0</v>
      </c>
      <c r="BO184" s="611">
        <f>IF(WWWW[[#This Row],['# People with access to soap]]&gt;WWWW[[#This Row],['# People with access to Sanity Pads]],WWWW[[#This Row],['# People with access to soap]],WWWW[[#This Row],['# People with access to Sanity Pads]])</f>
        <v>0</v>
      </c>
      <c r="BP184" s="458" t="str">
        <f>IF(OR(WWWW[[#This Row],['#of students in school]]="",WWWW[[#This Row],['#of students in school]]=0),"No","Yes")</f>
        <v>Yes</v>
      </c>
      <c r="BQ184" s="559" t="str">
        <f>VLOOKUP(WWWW[[#This Row],[Village  Name]],SiteDB6[[Site Name]:[Location Type 1]],9,FALSE)</f>
        <v>Village</v>
      </c>
      <c r="BR184" s="559" t="str">
        <f>VLOOKUP(WWWW[[#This Row],[Village  Name]],SiteDB6[[Site Name]:[Type of Accommodation]],10,FALSE)</f>
        <v>Village</v>
      </c>
      <c r="BS184" s="559" t="str">
        <f>VLOOKUP(WWWW[[#This Row],[Village  Name]],SiteDB6[[Site Name]:[Ethnic or GCA/NGCA]],11,FALSE)</f>
        <v>Rakhine</v>
      </c>
      <c r="BT184" s="559">
        <f>VLOOKUP(WWWW[[#This Row],[Village  Name]],SiteDB6[[Site Name]:[Lat]],12,FALSE)</f>
        <v>20.8013000488281</v>
      </c>
      <c r="BU184" s="559">
        <f>VLOOKUP(WWWW[[#This Row],[Village  Name]],SiteDB6[[Site Name]:[Long]],13,FALSE)</f>
        <v>92.423202514648395</v>
      </c>
      <c r="BV184" s="559">
        <f>VLOOKUP(WWWW[[#This Row],[Village  Name]],SiteDB6[[Site Name]:[Pcode]],3,FALSE)</f>
        <v>217895</v>
      </c>
      <c r="BW184" s="587" t="str">
        <f t="shared" si="7"/>
        <v>Covered</v>
      </c>
      <c r="BX184" s="587"/>
      <c r="BY184" s="33"/>
      <c r="CA184" s="431"/>
      <c r="CB184" s="33"/>
      <c r="CC184" s="36"/>
      <c r="CE184" s="37"/>
      <c r="CN184" s="20"/>
    </row>
    <row r="185" spans="1:92" hidden="1">
      <c r="A185" s="612" t="s">
        <v>2380</v>
      </c>
      <c r="B185" s="551" t="s">
        <v>2864</v>
      </c>
      <c r="C185" s="551" t="s">
        <v>371</v>
      </c>
      <c r="D185" s="551" t="s">
        <v>236</v>
      </c>
      <c r="E185" s="551" t="s">
        <v>2686</v>
      </c>
      <c r="F185" s="551" t="s">
        <v>321</v>
      </c>
      <c r="G185" s="596" t="str">
        <f>VLOOKUP(WWWW[[#This Row],[Village  Name]],SiteDB6[[Site Name]:[Location Type]],8,FALSE)</f>
        <v>Village</v>
      </c>
      <c r="H185" s="821" t="s">
        <v>615</v>
      </c>
      <c r="I185" s="613">
        <v>105</v>
      </c>
      <c r="J185" s="564">
        <v>523</v>
      </c>
      <c r="K185" s="562">
        <v>43221</v>
      </c>
      <c r="L185" s="562">
        <v>43677</v>
      </c>
      <c r="M185" s="611">
        <v>120</v>
      </c>
      <c r="N185" s="611">
        <v>0</v>
      </c>
      <c r="O185" s="610">
        <v>0</v>
      </c>
      <c r="P185" s="610">
        <v>2</v>
      </c>
      <c r="Q185" s="610">
        <v>1</v>
      </c>
      <c r="R185" s="610">
        <v>0</v>
      </c>
      <c r="S185" s="610">
        <v>0</v>
      </c>
      <c r="T185" s="644"/>
      <c r="U185" s="610">
        <v>50</v>
      </c>
      <c r="V185" s="611" t="s">
        <v>128</v>
      </c>
      <c r="W185" s="611">
        <v>0</v>
      </c>
      <c r="X185" s="611">
        <v>0</v>
      </c>
      <c r="Y185" s="611">
        <v>0</v>
      </c>
      <c r="Z185" s="611">
        <v>0</v>
      </c>
      <c r="AA185" s="610">
        <v>0</v>
      </c>
      <c r="AB185" s="644"/>
      <c r="AC185" s="611">
        <v>190</v>
      </c>
      <c r="AD185" s="611">
        <v>100</v>
      </c>
      <c r="AE185" s="611">
        <v>50</v>
      </c>
      <c r="AF185" s="611">
        <v>60</v>
      </c>
      <c r="AG185" s="611">
        <v>40</v>
      </c>
      <c r="AH185" s="610">
        <v>30</v>
      </c>
      <c r="AI185" s="610">
        <v>0</v>
      </c>
      <c r="AJ185" s="610">
        <v>0</v>
      </c>
      <c r="AK185" s="610"/>
      <c r="AL185" s="610"/>
      <c r="AM185" s="644"/>
      <c r="AN185" s="651">
        <v>0.85</v>
      </c>
      <c r="AO185" s="651">
        <v>0.85</v>
      </c>
      <c r="AP185"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85" s="565">
        <f>WWWW[[#This Row],[%Equitable and continuous access to sufficient quantity of safe drinking water]]*WWWW[[#This Row],[Total PoP ]]</f>
        <v>523</v>
      </c>
      <c r="AR18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85" s="565">
        <f>WWWW[[#This Row],[% Access to unimproved water points]]*WWWW[[#This Row],[Total PoP ]]</f>
        <v>523</v>
      </c>
      <c r="AT18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523</v>
      </c>
      <c r="AV185" s="565">
        <f>WWWW[[#This Row],[HRP1]]/250</f>
        <v>2.0920000000000001</v>
      </c>
      <c r="AW185" s="555">
        <f>1-WWWW[[#This Row],[% Equitable and continuous access to sufficient quantity of domestic water]]</f>
        <v>0</v>
      </c>
      <c r="AX185" s="565">
        <f>WWWW[[#This Row],[%equitable and continuous access to sufficient quantity of safe drinking and domestic water''s GAP]]*WWWW[[#This Row],[Total PoP ]]</f>
        <v>0</v>
      </c>
      <c r="AY185" s="557">
        <f>IF(WWWW[[#This Row],[Total required water points]]-WWWW[[#This Row],['#Water points coverage]]&lt;0,0,WWWW[[#This Row],[Total required water points]]-WWWW[[#This Row],['#Water points coverage]])</f>
        <v>0</v>
      </c>
      <c r="AZ185" s="557">
        <f>ROUND(IF(WWWW[[#This Row],[Total PoP ]]&lt;250,1,WWWW[[#This Row],[Total PoP ]]/250),0)</f>
        <v>2</v>
      </c>
      <c r="BA185"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0.57361376673040154</v>
      </c>
      <c r="BB185" s="565">
        <f>WWWW[[#This Row],[% people access to functioning Latrine]]*WWWW[[#This Row],[Total PoP ]]</f>
        <v>300</v>
      </c>
      <c r="BC185" s="421">
        <f>WWWW[[#This Row],['#_of_Functioning_latrines_in_school]]*50</f>
        <v>0</v>
      </c>
      <c r="BD185" s="557">
        <f>ROUND((WWWW[[#This Row],[Total PoP ]]/6),0)</f>
        <v>87</v>
      </c>
      <c r="BE185" s="421">
        <f>IF(WWWW[[#This Row],[Total required Latrines]]-(WWWW[[#This Row],['#_of_sanitary_fly-proof_HH_latrines]])&lt;0,0,WWWW[[#This Row],[Total required Latrines]]-(WWWW[[#This Row],['#_of_sanitary_fly-proof_HH_latrines]]))</f>
        <v>37</v>
      </c>
      <c r="BF185" s="563">
        <f>1-WWWW[[#This Row],[% people access to functioning Latrine]]</f>
        <v>0.42638623326959846</v>
      </c>
      <c r="BG18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470</v>
      </c>
      <c r="BH185" s="565">
        <f>IF(WWWW[[#This Row],['#_of_functional_handwashing_facilities_at_HH_level]]*6&gt;WWWW[[#This Row],[Total PoP ]],WWWW[[#This Row],[Total PoP ]],WWWW[[#This Row],['#_of_functional_handwashing_facilities_at_HH_level]]*6)</f>
        <v>0</v>
      </c>
      <c r="BI185" s="557">
        <f>IF(WWWW[[#This Row],['# people reached by regular dedicated hygiene promotion]]&gt;WWWW[[#This Row],['# People received regular supply of hygiene items]],WWWW[[#This Row],['# people reached by regular dedicated hygiene promotion]],WWWW[[#This Row],['# People received regular supply of hygiene items]])</f>
        <v>470</v>
      </c>
      <c r="BJ185" s="555">
        <f>IF(WWWW[[#This Row],[HRP3]]/WWWW[[#This Row],[Total PoP ]]&gt;100%,100%,WWWW[[#This Row],[HRP3]]/WWWW[[#This Row],[Total PoP ]])</f>
        <v>0.89866156787762907</v>
      </c>
      <c r="BK185" s="558">
        <f>1-WWWW[[#This Row],[Hygiene Coverage%]]</f>
        <v>0.10133843212237093</v>
      </c>
      <c r="BL185" s="556">
        <f>WWWW[[#This Row],['# people reached by regular dedicated hygiene promotion]]/WWWW[[#This Row],[Total PoP ]]</f>
        <v>0.89866156787762907</v>
      </c>
      <c r="BM18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5" s="557">
        <f>WWWW[[#This Row],['#_of_affected_women_and_girls_receiving_a_sufficient_quantity_of_sanitary_pads]]</f>
        <v>0</v>
      </c>
      <c r="BO185" s="611">
        <f>IF(WWWW[[#This Row],['# People with access to soap]]&gt;WWWW[[#This Row],['# People with access to Sanity Pads]],WWWW[[#This Row],['# People with access to soap]],WWWW[[#This Row],['# People with access to Sanity Pads]])</f>
        <v>0</v>
      </c>
      <c r="BP185" s="458" t="str">
        <f>IF(OR(WWWW[[#This Row],['#of students in school]]="",WWWW[[#This Row],['#of students in school]]=0),"No","Yes")</f>
        <v>Yes</v>
      </c>
      <c r="BQ185" s="559" t="str">
        <f>VLOOKUP(WWWW[[#This Row],[Village  Name]],SiteDB6[[Site Name]:[Location Type 1]],9,FALSE)</f>
        <v>Village</v>
      </c>
      <c r="BR185" s="559" t="str">
        <f>VLOOKUP(WWWW[[#This Row],[Village  Name]],SiteDB6[[Site Name]:[Type of Accommodation]],10,FALSE)</f>
        <v>Village</v>
      </c>
      <c r="BS185" s="559" t="str">
        <f>VLOOKUP(WWWW[[#This Row],[Village  Name]],SiteDB6[[Site Name]:[Ethnic or GCA/NGCA]],11,FALSE)</f>
        <v>Muslim</v>
      </c>
      <c r="BT185" s="559">
        <f>VLOOKUP(WWWW[[#This Row],[Village  Name]],SiteDB6[[Site Name]:[Lat]],12,FALSE)</f>
        <v>20.806030270000001</v>
      </c>
      <c r="BU185" s="559">
        <f>VLOOKUP(WWWW[[#This Row],[Village  Name]],SiteDB6[[Site Name]:[Long]],13,FALSE)</f>
        <v>92.601951600000007</v>
      </c>
      <c r="BV185" s="559">
        <f>VLOOKUP(WWWW[[#This Row],[Village  Name]],SiteDB6[[Site Name]:[Pcode]],3,FALSE)</f>
        <v>198369</v>
      </c>
      <c r="BW185" s="587" t="str">
        <f t="shared" si="7"/>
        <v>Covered</v>
      </c>
      <c r="BX185" s="587"/>
      <c r="BY185" s="33"/>
      <c r="CA185" s="431"/>
      <c r="CB185" s="33"/>
      <c r="CC185" s="36"/>
      <c r="CE185" s="37"/>
      <c r="CN185" s="20"/>
    </row>
    <row r="186" spans="1:92" hidden="1">
      <c r="A186" s="612" t="s">
        <v>2380</v>
      </c>
      <c r="B186" s="551" t="s">
        <v>2864</v>
      </c>
      <c r="C186" s="551" t="s">
        <v>371</v>
      </c>
      <c r="D186" s="551" t="s">
        <v>236</v>
      </c>
      <c r="E186" s="551" t="s">
        <v>2686</v>
      </c>
      <c r="F186" s="551" t="s">
        <v>307</v>
      </c>
      <c r="G186" s="596" t="str">
        <f>VLOOKUP(WWWW[[#This Row],[Village  Name]],SiteDB6[[Site Name]:[Location Type]],8,FALSE)</f>
        <v>Village</v>
      </c>
      <c r="H186" s="822" t="s">
        <v>2055</v>
      </c>
      <c r="I186" s="615">
        <v>170</v>
      </c>
      <c r="J186" s="565">
        <v>989</v>
      </c>
      <c r="K186" s="562">
        <v>43221</v>
      </c>
      <c r="L186" s="562">
        <v>43677</v>
      </c>
      <c r="M186" s="611">
        <v>500</v>
      </c>
      <c r="N186" s="611">
        <v>0</v>
      </c>
      <c r="O186" s="611">
        <v>2</v>
      </c>
      <c r="P186" s="611">
        <v>6</v>
      </c>
      <c r="Q186" s="611">
        <v>4</v>
      </c>
      <c r="R186" s="611">
        <v>0</v>
      </c>
      <c r="S186" s="611">
        <v>1</v>
      </c>
      <c r="T186" s="643"/>
      <c r="U186" s="611">
        <v>102</v>
      </c>
      <c r="V186" s="611" t="s">
        <v>128</v>
      </c>
      <c r="W186" s="611">
        <v>2</v>
      </c>
      <c r="X186" s="611">
        <v>0</v>
      </c>
      <c r="Y186" s="611">
        <v>0</v>
      </c>
      <c r="Z186" s="611">
        <v>0</v>
      </c>
      <c r="AA186" s="611">
        <v>0</v>
      </c>
      <c r="AB186" s="643"/>
      <c r="AC186" s="611">
        <v>160</v>
      </c>
      <c r="AD186" s="611">
        <v>80</v>
      </c>
      <c r="AE186" s="611">
        <v>80</v>
      </c>
      <c r="AF186" s="611">
        <v>65</v>
      </c>
      <c r="AG186" s="611">
        <v>55</v>
      </c>
      <c r="AH186" s="611">
        <v>47</v>
      </c>
      <c r="AI186" s="611">
        <v>0</v>
      </c>
      <c r="AJ186" s="611">
        <v>1</v>
      </c>
      <c r="AK186" s="611"/>
      <c r="AL186" s="611"/>
      <c r="AM186" s="643"/>
      <c r="AN186" s="556">
        <v>0.7</v>
      </c>
      <c r="AO186" s="556">
        <v>0.7</v>
      </c>
      <c r="AP186"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86" s="565">
        <f>WWWW[[#This Row],[%Equitable and continuous access to sufficient quantity of safe drinking water]]*WWWW[[#This Row],[Total PoP ]]</f>
        <v>989</v>
      </c>
      <c r="AR18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86" s="565">
        <f>WWWW[[#This Row],[% Access to unimproved water points]]*WWWW[[#This Row],[Total PoP ]]</f>
        <v>989</v>
      </c>
      <c r="AT18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989</v>
      </c>
      <c r="AV186" s="565">
        <f>WWWW[[#This Row],[HRP1]]/250</f>
        <v>3.956</v>
      </c>
      <c r="AW186" s="555">
        <f>1-WWWW[[#This Row],[% Equitable and continuous access to sufficient quantity of domestic water]]</f>
        <v>0</v>
      </c>
      <c r="AX186" s="565">
        <f>WWWW[[#This Row],[%equitable and continuous access to sufficient quantity of safe drinking and domestic water''s GAP]]*WWWW[[#This Row],[Total PoP ]]</f>
        <v>0</v>
      </c>
      <c r="AY186" s="557">
        <f>IF(WWWW[[#This Row],[Total required water points]]-WWWW[[#This Row],['#Water points coverage]]&lt;0,0,WWWW[[#This Row],[Total required water points]]-WWWW[[#This Row],['#Water points coverage]])</f>
        <v>4.4000000000000039E-2</v>
      </c>
      <c r="AZ186" s="557">
        <f>ROUND(IF(WWWW[[#This Row],[Total PoP ]]&lt;250,1,WWWW[[#This Row],[Total PoP ]]/250),0)</f>
        <v>4</v>
      </c>
      <c r="BA186"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0.71991911021233568</v>
      </c>
      <c r="BB186" s="565">
        <f>WWWW[[#This Row],[% people access to functioning Latrine]]*WWWW[[#This Row],[Total PoP ]]</f>
        <v>712</v>
      </c>
      <c r="BC186" s="421">
        <f>WWWW[[#This Row],['#_of_Functioning_latrines_in_school]]*50</f>
        <v>100</v>
      </c>
      <c r="BD186" s="557">
        <f>ROUND((WWWW[[#This Row],[Total PoP ]]/6),0)</f>
        <v>165</v>
      </c>
      <c r="BE186" s="421">
        <f>IF(WWWW[[#This Row],[Total required Latrines]]-(WWWW[[#This Row],['#_of_sanitary_fly-proof_HH_latrines]])&lt;0,0,WWWW[[#This Row],[Total required Latrines]]-(WWWW[[#This Row],['#_of_sanitary_fly-proof_HH_latrines]]))</f>
        <v>63</v>
      </c>
      <c r="BF186" s="563">
        <f>1-WWWW[[#This Row],[% people access to functioning Latrine]]</f>
        <v>0.28008088978766432</v>
      </c>
      <c r="BG18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487</v>
      </c>
      <c r="BH186" s="565">
        <f>IF(WWWW[[#This Row],['#_of_functional_handwashing_facilities_at_HH_level]]*6&gt;WWWW[[#This Row],[Total PoP ]],WWWW[[#This Row],[Total PoP ]],WWWW[[#This Row],['#_of_functional_handwashing_facilities_at_HH_level]]*6)</f>
        <v>0</v>
      </c>
      <c r="BI186" s="557">
        <f>IF(WWWW[[#This Row],['# people reached by regular dedicated hygiene promotion]]&gt;WWWW[[#This Row],['# People received regular supply of hygiene items]],WWWW[[#This Row],['# people reached by regular dedicated hygiene promotion]],WWWW[[#This Row],['# People received regular supply of hygiene items]])</f>
        <v>487</v>
      </c>
      <c r="BJ186" s="555">
        <f>IF(WWWW[[#This Row],[HRP3]]/WWWW[[#This Row],[Total PoP ]]&gt;100%,100%,WWWW[[#This Row],[HRP3]]/WWWW[[#This Row],[Total PoP ]])</f>
        <v>0.49241658240647118</v>
      </c>
      <c r="BK186" s="558">
        <f>1-WWWW[[#This Row],[Hygiene Coverage%]]</f>
        <v>0.50758341759352876</v>
      </c>
      <c r="BL186" s="556">
        <f>WWWW[[#This Row],['# people reached by regular dedicated hygiene promotion]]/WWWW[[#This Row],[Total PoP ]]</f>
        <v>0.49241658240647118</v>
      </c>
      <c r="BM18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6" s="557">
        <f>WWWW[[#This Row],['#_of_affected_women_and_girls_receiving_a_sufficient_quantity_of_sanitary_pads]]</f>
        <v>0</v>
      </c>
      <c r="BO186" s="611">
        <f>IF(WWWW[[#This Row],['# People with access to soap]]&gt;WWWW[[#This Row],['# People with access to Sanity Pads]],WWWW[[#This Row],['# People with access to soap]],WWWW[[#This Row],['# People with access to Sanity Pads]])</f>
        <v>0</v>
      </c>
      <c r="BP186" s="458" t="str">
        <f>IF(OR(WWWW[[#This Row],['#of students in school]]="",WWWW[[#This Row],['#of students in school]]=0),"No","Yes")</f>
        <v>Yes</v>
      </c>
      <c r="BQ186" s="559" t="str">
        <f>VLOOKUP(WWWW[[#This Row],[Village  Name]],SiteDB6[[Site Name]:[Location Type 1]],9,FALSE)</f>
        <v>Village</v>
      </c>
      <c r="BR186" s="559" t="str">
        <f>VLOOKUP(WWWW[[#This Row],[Village  Name]],SiteDB6[[Site Name]:[Type of Accommodation]],10,FALSE)</f>
        <v>Village</v>
      </c>
      <c r="BS186" s="559" t="str">
        <f>VLOOKUP(WWWW[[#This Row],[Village  Name]],SiteDB6[[Site Name]:[Ethnic or GCA/NGCA]],11,FALSE)</f>
        <v>Muslim</v>
      </c>
      <c r="BT186" s="559">
        <f>VLOOKUP(WWWW[[#This Row],[Village  Name]],SiteDB6[[Site Name]:[Lat]],12,FALSE)</f>
        <v>20.914119719999999</v>
      </c>
      <c r="BU186" s="559">
        <f>VLOOKUP(WWWW[[#This Row],[Village  Name]],SiteDB6[[Site Name]:[Long]],13,FALSE)</f>
        <v>92.3506012</v>
      </c>
      <c r="BV186" s="559">
        <f>VLOOKUP(WWWW[[#This Row],[Village  Name]],SiteDB6[[Site Name]:[Pcode]],3,FALSE)</f>
        <v>197950</v>
      </c>
      <c r="BW186" s="587" t="str">
        <f t="shared" si="7"/>
        <v>Covered</v>
      </c>
      <c r="BX186" s="587"/>
      <c r="BY186" s="33"/>
      <c r="CA186" s="431"/>
      <c r="CB186" s="33"/>
      <c r="CC186" s="36"/>
      <c r="CE186" s="37"/>
      <c r="CN186" s="20"/>
    </row>
    <row r="187" spans="1:92" hidden="1">
      <c r="A187" s="612" t="s">
        <v>2380</v>
      </c>
      <c r="B187" s="551" t="s">
        <v>2864</v>
      </c>
      <c r="C187" s="551" t="s">
        <v>371</v>
      </c>
      <c r="D187" s="551" t="s">
        <v>236</v>
      </c>
      <c r="E187" s="551" t="s">
        <v>2686</v>
      </c>
      <c r="F187" s="551" t="s">
        <v>321</v>
      </c>
      <c r="G187" s="596" t="str">
        <f>VLOOKUP(WWWW[[#This Row],[Village  Name]],SiteDB6[[Site Name]:[Location Type]],8,FALSE)</f>
        <v>Village</v>
      </c>
      <c r="H187" s="821" t="s">
        <v>648</v>
      </c>
      <c r="I187" s="614">
        <v>11</v>
      </c>
      <c r="J187" s="565">
        <v>69</v>
      </c>
      <c r="K187" s="562">
        <v>43221</v>
      </c>
      <c r="L187" s="562">
        <v>43677</v>
      </c>
      <c r="M187" s="611">
        <v>35</v>
      </c>
      <c r="N187" s="611">
        <v>0</v>
      </c>
      <c r="O187" s="611">
        <v>0</v>
      </c>
      <c r="P187" s="611">
        <v>0</v>
      </c>
      <c r="Q187" s="611">
        <v>1</v>
      </c>
      <c r="R187" s="611">
        <v>0</v>
      </c>
      <c r="S187" s="611">
        <v>0</v>
      </c>
      <c r="T187" s="643"/>
      <c r="U187" s="611">
        <v>11</v>
      </c>
      <c r="V187" s="611" t="s">
        <v>128</v>
      </c>
      <c r="W187" s="611">
        <v>0</v>
      </c>
      <c r="X187" s="611">
        <v>0</v>
      </c>
      <c r="Y187" s="611">
        <v>0</v>
      </c>
      <c r="Z187" s="611">
        <v>0</v>
      </c>
      <c r="AA187" s="611">
        <v>0</v>
      </c>
      <c r="AB187" s="643"/>
      <c r="AC187" s="611">
        <v>15</v>
      </c>
      <c r="AD187" s="611">
        <v>13</v>
      </c>
      <c r="AE187" s="611">
        <v>10</v>
      </c>
      <c r="AF187" s="611">
        <v>13</v>
      </c>
      <c r="AG187" s="611">
        <v>7</v>
      </c>
      <c r="AH187" s="611">
        <v>9</v>
      </c>
      <c r="AI187" s="611">
        <v>0</v>
      </c>
      <c r="AJ187" s="611">
        <v>0</v>
      </c>
      <c r="AK187" s="611"/>
      <c r="AL187" s="611"/>
      <c r="AM187" s="643"/>
      <c r="AN187" s="556">
        <v>0.7</v>
      </c>
      <c r="AO187" s="556">
        <v>0.7</v>
      </c>
      <c r="AP187"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87" s="565">
        <f>WWWW[[#This Row],[%Equitable and continuous access to sufficient quantity of safe drinking water]]*WWWW[[#This Row],[Total PoP ]]</f>
        <v>0</v>
      </c>
      <c r="AR18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87" s="565">
        <f>WWWW[[#This Row],[% Access to unimproved water points]]*WWWW[[#This Row],[Total PoP ]]</f>
        <v>69</v>
      </c>
      <c r="AT18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v>
      </c>
      <c r="AV187" s="565">
        <f>WWWW[[#This Row],[HRP1]]/250</f>
        <v>0.27600000000000002</v>
      </c>
      <c r="AW187" s="555">
        <f>1-WWWW[[#This Row],[% Equitable and continuous access to sufficient quantity of domestic water]]</f>
        <v>0</v>
      </c>
      <c r="AX187" s="565">
        <f>WWWW[[#This Row],[%equitable and continuous access to sufficient quantity of safe drinking and domestic water''s GAP]]*WWWW[[#This Row],[Total PoP ]]</f>
        <v>0</v>
      </c>
      <c r="AY187" s="557">
        <f>IF(WWWW[[#This Row],[Total required water points]]-WWWW[[#This Row],['#Water points coverage]]&lt;0,0,WWWW[[#This Row],[Total required water points]]-WWWW[[#This Row],['#Water points coverage]])</f>
        <v>0.72399999999999998</v>
      </c>
      <c r="AZ187" s="557">
        <f>ROUND(IF(WWWW[[#This Row],[Total PoP ]]&lt;250,1,WWWW[[#This Row],[Total PoP ]]/250),0)</f>
        <v>1</v>
      </c>
      <c r="BA187"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0.95652173913043481</v>
      </c>
      <c r="BB187" s="565">
        <f>WWWW[[#This Row],[% people access to functioning Latrine]]*WWWW[[#This Row],[Total PoP ]]</f>
        <v>66</v>
      </c>
      <c r="BC187" s="421">
        <f>WWWW[[#This Row],['#_of_Functioning_latrines_in_school]]*50</f>
        <v>0</v>
      </c>
      <c r="BD187" s="557">
        <f>ROUND((WWWW[[#This Row],[Total PoP ]]/6),0)</f>
        <v>12</v>
      </c>
      <c r="BE187" s="421">
        <f>IF(WWWW[[#This Row],[Total required Latrines]]-(WWWW[[#This Row],['#_of_sanitary_fly-proof_HH_latrines]])&lt;0,0,WWWW[[#This Row],[Total required Latrines]]-(WWWW[[#This Row],['#_of_sanitary_fly-proof_HH_latrines]]))</f>
        <v>1</v>
      </c>
      <c r="BF187" s="563">
        <f>1-WWWW[[#This Row],[% people access to functioning Latrine]]</f>
        <v>4.3478260869565188E-2</v>
      </c>
      <c r="BG18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67</v>
      </c>
      <c r="BH187" s="565">
        <f>IF(WWWW[[#This Row],['#_of_functional_handwashing_facilities_at_HH_level]]*6&gt;WWWW[[#This Row],[Total PoP ]],WWWW[[#This Row],[Total PoP ]],WWWW[[#This Row],['#_of_functional_handwashing_facilities_at_HH_level]]*6)</f>
        <v>0</v>
      </c>
      <c r="BI187" s="557">
        <f>IF(WWWW[[#This Row],['# people reached by regular dedicated hygiene promotion]]&gt;WWWW[[#This Row],['# People received regular supply of hygiene items]],WWWW[[#This Row],['# people reached by regular dedicated hygiene promotion]],WWWW[[#This Row],['# People received regular supply of hygiene items]])</f>
        <v>67</v>
      </c>
      <c r="BJ187" s="555">
        <f>IF(WWWW[[#This Row],[HRP3]]/WWWW[[#This Row],[Total PoP ]]&gt;100%,100%,WWWW[[#This Row],[HRP3]]/WWWW[[#This Row],[Total PoP ]])</f>
        <v>0.97101449275362317</v>
      </c>
      <c r="BK187" s="558">
        <f>1-WWWW[[#This Row],[Hygiene Coverage%]]</f>
        <v>2.8985507246376829E-2</v>
      </c>
      <c r="BL187" s="556">
        <f>WWWW[[#This Row],['# people reached by regular dedicated hygiene promotion]]/WWWW[[#This Row],[Total PoP ]]</f>
        <v>0.97101449275362317</v>
      </c>
      <c r="BM18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7" s="557">
        <f>WWWW[[#This Row],['#_of_affected_women_and_girls_receiving_a_sufficient_quantity_of_sanitary_pads]]</f>
        <v>0</v>
      </c>
      <c r="BO187" s="611">
        <f>IF(WWWW[[#This Row],['# People with access to soap]]&gt;WWWW[[#This Row],['# People with access to Sanity Pads]],WWWW[[#This Row],['# People with access to soap]],WWWW[[#This Row],['# People with access to Sanity Pads]])</f>
        <v>0</v>
      </c>
      <c r="BP187" s="458" t="str">
        <f>IF(OR(WWWW[[#This Row],['#of students in school]]="",WWWW[[#This Row],['#of students in school]]=0),"No","Yes")</f>
        <v>Yes</v>
      </c>
      <c r="BQ187" s="559" t="str">
        <f>VLOOKUP(WWWW[[#This Row],[Village  Name]],SiteDB6[[Site Name]:[Location Type 1]],9,FALSE)</f>
        <v>Village</v>
      </c>
      <c r="BR187" s="559" t="str">
        <f>VLOOKUP(WWWW[[#This Row],[Village  Name]],SiteDB6[[Site Name]:[Type of Accommodation]],10,FALSE)</f>
        <v>Village</v>
      </c>
      <c r="BS187" s="559" t="str">
        <f>VLOOKUP(WWWW[[#This Row],[Village  Name]],SiteDB6[[Site Name]:[Ethnic or GCA/NGCA]],11,FALSE)</f>
        <v>Muslim</v>
      </c>
      <c r="BT187" s="559">
        <f>VLOOKUP(WWWW[[#This Row],[Village  Name]],SiteDB6[[Site Name]:[Lat]],12,FALSE)</f>
        <v>20.887029649999999</v>
      </c>
      <c r="BU187" s="559">
        <f>VLOOKUP(WWWW[[#This Row],[Village  Name]],SiteDB6[[Site Name]:[Long]],13,FALSE)</f>
        <v>92.556823730000005</v>
      </c>
      <c r="BV187" s="559">
        <f>VLOOKUP(WWWW[[#This Row],[Village  Name]],SiteDB6[[Site Name]:[Pcode]],3,FALSE)</f>
        <v>217871</v>
      </c>
      <c r="BW187" s="587" t="str">
        <f t="shared" si="7"/>
        <v>Covered</v>
      </c>
      <c r="BX187" s="587"/>
      <c r="BY187" s="33"/>
      <c r="CA187" s="431"/>
      <c r="CB187" s="33"/>
      <c r="CC187" s="36"/>
      <c r="CE187" s="37"/>
      <c r="CN187" s="20"/>
    </row>
    <row r="188" spans="1:92" hidden="1">
      <c r="A188" s="612" t="s">
        <v>2380</v>
      </c>
      <c r="B188" s="551" t="s">
        <v>2864</v>
      </c>
      <c r="C188" s="551" t="s">
        <v>371</v>
      </c>
      <c r="D188" s="551" t="s">
        <v>236</v>
      </c>
      <c r="E188" s="551" t="s">
        <v>2686</v>
      </c>
      <c r="F188" s="551" t="s">
        <v>307</v>
      </c>
      <c r="G188" s="596" t="str">
        <f>VLOOKUP(WWWW[[#This Row],[Village  Name]],SiteDB6[[Site Name]:[Location Type]],8,FALSE)</f>
        <v>Village</v>
      </c>
      <c r="H188" s="821" t="s">
        <v>519</v>
      </c>
      <c r="I188" s="615">
        <v>87</v>
      </c>
      <c r="J188" s="565">
        <v>361</v>
      </c>
      <c r="K188" s="562">
        <v>43221</v>
      </c>
      <c r="L188" s="562">
        <v>43677</v>
      </c>
      <c r="M188" s="611">
        <v>67</v>
      </c>
      <c r="N188" s="611">
        <v>0</v>
      </c>
      <c r="O188" s="611">
        <v>2</v>
      </c>
      <c r="P188" s="611">
        <v>0</v>
      </c>
      <c r="Q188" s="611">
        <v>3</v>
      </c>
      <c r="R188" s="611">
        <v>0</v>
      </c>
      <c r="S188" s="611">
        <v>0</v>
      </c>
      <c r="T188" s="643"/>
      <c r="U188" s="611">
        <v>30</v>
      </c>
      <c r="V188" s="611" t="s">
        <v>41</v>
      </c>
      <c r="W188" s="611">
        <v>0</v>
      </c>
      <c r="X188" s="611">
        <v>0</v>
      </c>
      <c r="Y188" s="611">
        <v>0</v>
      </c>
      <c r="Z188" s="611">
        <v>0</v>
      </c>
      <c r="AA188" s="611">
        <v>0</v>
      </c>
      <c r="AB188" s="643"/>
      <c r="AC188" s="611">
        <v>95</v>
      </c>
      <c r="AD188" s="611">
        <v>91</v>
      </c>
      <c r="AE188" s="611">
        <v>25</v>
      </c>
      <c r="AF188" s="611">
        <v>26</v>
      </c>
      <c r="AG188" s="611">
        <v>17</v>
      </c>
      <c r="AH188" s="611">
        <v>23</v>
      </c>
      <c r="AI188" s="611">
        <v>0</v>
      </c>
      <c r="AJ188" s="611">
        <v>0</v>
      </c>
      <c r="AK188" s="611"/>
      <c r="AL188" s="611"/>
      <c r="AM188" s="643"/>
      <c r="AN188" s="556">
        <v>0</v>
      </c>
      <c r="AO188" s="556">
        <v>0</v>
      </c>
      <c r="AP188"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88" s="565">
        <f>WWWW[[#This Row],[%Equitable and continuous access to sufficient quantity of safe drinking water]]*WWWW[[#This Row],[Total PoP ]]</f>
        <v>361</v>
      </c>
      <c r="AR18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88" s="565">
        <f>WWWW[[#This Row],[% Access to unimproved water points]]*WWWW[[#This Row],[Total PoP ]]</f>
        <v>361</v>
      </c>
      <c r="AT18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361</v>
      </c>
      <c r="AV188" s="565">
        <f>WWWW[[#This Row],[HRP1]]/250</f>
        <v>1.444</v>
      </c>
      <c r="AW188" s="555">
        <f>1-WWWW[[#This Row],[% Equitable and continuous access to sufficient quantity of domestic water]]</f>
        <v>0</v>
      </c>
      <c r="AX188" s="565">
        <f>WWWW[[#This Row],[%equitable and continuous access to sufficient quantity of safe drinking and domestic water''s GAP]]*WWWW[[#This Row],[Total PoP ]]</f>
        <v>0</v>
      </c>
      <c r="AY188" s="557">
        <f>IF(WWWW[[#This Row],[Total required water points]]-WWWW[[#This Row],['#Water points coverage]]&lt;0,0,WWWW[[#This Row],[Total required water points]]-WWWW[[#This Row],['#Water points coverage]])</f>
        <v>0</v>
      </c>
      <c r="AZ188" s="557">
        <f>ROUND(IF(WWWW[[#This Row],[Total PoP ]]&lt;250,1,WWWW[[#This Row],[Total PoP ]]/250),0)</f>
        <v>1</v>
      </c>
      <c r="BA188"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0.49861495844875348</v>
      </c>
      <c r="BB188" s="565">
        <f>WWWW[[#This Row],[% people access to functioning Latrine]]*WWWW[[#This Row],[Total PoP ]]</f>
        <v>180</v>
      </c>
      <c r="BC188" s="421">
        <f>WWWW[[#This Row],['#_of_Functioning_latrines_in_school]]*50</f>
        <v>0</v>
      </c>
      <c r="BD188" s="557">
        <f>ROUND((WWWW[[#This Row],[Total PoP ]]/6),0)</f>
        <v>60</v>
      </c>
      <c r="BE188" s="421">
        <f>IF(WWWW[[#This Row],[Total required Latrines]]-(WWWW[[#This Row],['#_of_sanitary_fly-proof_HH_latrines]])&lt;0,0,WWWW[[#This Row],[Total required Latrines]]-(WWWW[[#This Row],['#_of_sanitary_fly-proof_HH_latrines]]))</f>
        <v>30</v>
      </c>
      <c r="BF188" s="563">
        <f>1-WWWW[[#This Row],[% people access to functioning Latrine]]</f>
        <v>0.50138504155124652</v>
      </c>
      <c r="BG18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277</v>
      </c>
      <c r="BH188" s="565">
        <f>IF(WWWW[[#This Row],['#_of_functional_handwashing_facilities_at_HH_level]]*6&gt;WWWW[[#This Row],[Total PoP ]],WWWW[[#This Row],[Total PoP ]],WWWW[[#This Row],['#_of_functional_handwashing_facilities_at_HH_level]]*6)</f>
        <v>0</v>
      </c>
      <c r="BI188" s="557">
        <f>IF(WWWW[[#This Row],['# people reached by regular dedicated hygiene promotion]]&gt;WWWW[[#This Row],['# People received regular supply of hygiene items]],WWWW[[#This Row],['# people reached by regular dedicated hygiene promotion]],WWWW[[#This Row],['# People received regular supply of hygiene items]])</f>
        <v>277</v>
      </c>
      <c r="BJ188" s="555">
        <f>IF(WWWW[[#This Row],[HRP3]]/WWWW[[#This Row],[Total PoP ]]&gt;100%,100%,WWWW[[#This Row],[HRP3]]/WWWW[[#This Row],[Total PoP ]])</f>
        <v>0.76731301939058172</v>
      </c>
      <c r="BK188" s="558">
        <f>1-WWWW[[#This Row],[Hygiene Coverage%]]</f>
        <v>0.23268698060941828</v>
      </c>
      <c r="BL188" s="556">
        <f>WWWW[[#This Row],['# people reached by regular dedicated hygiene promotion]]/WWWW[[#This Row],[Total PoP ]]</f>
        <v>0.76731301939058172</v>
      </c>
      <c r="BM18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8" s="557">
        <f>WWWW[[#This Row],['#_of_affected_women_and_girls_receiving_a_sufficient_quantity_of_sanitary_pads]]</f>
        <v>0</v>
      </c>
      <c r="BO188" s="611">
        <f>IF(WWWW[[#This Row],['# People with access to soap]]&gt;WWWW[[#This Row],['# People with access to Sanity Pads]],WWWW[[#This Row],['# People with access to soap]],WWWW[[#This Row],['# People with access to Sanity Pads]])</f>
        <v>0</v>
      </c>
      <c r="BP188" s="458" t="str">
        <f>IF(OR(WWWW[[#This Row],['#of students in school]]="",WWWW[[#This Row],['#of students in school]]=0),"No","Yes")</f>
        <v>Yes</v>
      </c>
      <c r="BQ188" s="559" t="str">
        <f>VLOOKUP(WWWW[[#This Row],[Village  Name]],SiteDB6[[Site Name]:[Location Type 1]],9,FALSE)</f>
        <v>Village</v>
      </c>
      <c r="BR188" s="559" t="str">
        <f>VLOOKUP(WWWW[[#This Row],[Village  Name]],SiteDB6[[Site Name]:[Type of Accommodation]],10,FALSE)</f>
        <v>Village</v>
      </c>
      <c r="BS188" s="559" t="str">
        <f>VLOOKUP(WWWW[[#This Row],[Village  Name]],SiteDB6[[Site Name]:[Ethnic or GCA/NGCA]],11,FALSE)</f>
        <v>Rakhine</v>
      </c>
      <c r="BT188" s="559">
        <f>VLOOKUP(WWWW[[#This Row],[Village  Name]],SiteDB6[[Site Name]:[Lat]],12,FALSE)</f>
        <v>20.651159289999999</v>
      </c>
      <c r="BU188" s="559">
        <f>VLOOKUP(WWWW[[#This Row],[Village  Name]],SiteDB6[[Site Name]:[Long]],13,FALSE)</f>
        <v>92.605712890000007</v>
      </c>
      <c r="BV188" s="559">
        <f>VLOOKUP(WWWW[[#This Row],[Village  Name]],SiteDB6[[Site Name]:[Pcode]],3,FALSE)</f>
        <v>0</v>
      </c>
      <c r="BW188" s="587" t="str">
        <f t="shared" si="7"/>
        <v>Covered</v>
      </c>
      <c r="BX188" s="587"/>
      <c r="BY188" s="33"/>
      <c r="CA188" s="431"/>
      <c r="CB188" s="33"/>
      <c r="CC188" s="36"/>
      <c r="CE188" s="37"/>
      <c r="CN188" s="20"/>
    </row>
    <row r="189" spans="1:92" hidden="1">
      <c r="A189" s="612" t="s">
        <v>2380</v>
      </c>
      <c r="B189" s="551" t="s">
        <v>2864</v>
      </c>
      <c r="C189" s="551" t="s">
        <v>371</v>
      </c>
      <c r="D189" s="551" t="s">
        <v>236</v>
      </c>
      <c r="E189" s="551" t="s">
        <v>2686</v>
      </c>
      <c r="F189" s="551" t="s">
        <v>321</v>
      </c>
      <c r="G189" s="596" t="str">
        <f>VLOOKUP(WWWW[[#This Row],[Village  Name]],SiteDB6[[Site Name]:[Location Type]],8,FALSE)</f>
        <v>Village</v>
      </c>
      <c r="H189" s="821" t="s">
        <v>584</v>
      </c>
      <c r="I189" s="614">
        <v>166</v>
      </c>
      <c r="J189" s="565">
        <v>854</v>
      </c>
      <c r="K189" s="562">
        <v>43221</v>
      </c>
      <c r="L189" s="562">
        <v>43677</v>
      </c>
      <c r="M189" s="611">
        <v>231</v>
      </c>
      <c r="N189" s="611">
        <v>150</v>
      </c>
      <c r="O189" s="611">
        <v>0</v>
      </c>
      <c r="P189" s="611">
        <v>3</v>
      </c>
      <c r="Q189" s="611">
        <v>2</v>
      </c>
      <c r="R189" s="611">
        <v>0</v>
      </c>
      <c r="S189" s="611">
        <v>0</v>
      </c>
      <c r="T189" s="643"/>
      <c r="U189" s="611">
        <v>90</v>
      </c>
      <c r="V189" s="611" t="s">
        <v>128</v>
      </c>
      <c r="W189" s="611">
        <v>2</v>
      </c>
      <c r="X189" s="611">
        <v>0</v>
      </c>
      <c r="Y189" s="611">
        <v>0</v>
      </c>
      <c r="Z189" s="611">
        <v>0</v>
      </c>
      <c r="AA189" s="611">
        <v>0</v>
      </c>
      <c r="AB189" s="643"/>
      <c r="AC189" s="611">
        <v>176</v>
      </c>
      <c r="AD189" s="611">
        <v>150</v>
      </c>
      <c r="AE189" s="611">
        <v>55</v>
      </c>
      <c r="AF189" s="611">
        <v>60</v>
      </c>
      <c r="AG189" s="611">
        <v>42</v>
      </c>
      <c r="AH189" s="611">
        <v>55</v>
      </c>
      <c r="AI189" s="611">
        <v>0</v>
      </c>
      <c r="AJ189" s="611">
        <v>1</v>
      </c>
      <c r="AK189" s="611"/>
      <c r="AL189" s="611"/>
      <c r="AM189" s="643"/>
      <c r="AN189" s="556">
        <v>0.7</v>
      </c>
      <c r="AO189" s="556">
        <v>0.7</v>
      </c>
      <c r="AP189"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89" s="565">
        <f>WWWW[[#This Row],[%Equitable and continuous access to sufficient quantity of safe drinking water]]*WWWW[[#This Row],[Total PoP ]]</f>
        <v>854</v>
      </c>
      <c r="AR18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89" s="565">
        <f>WWWW[[#This Row],[% Access to unimproved water points]]*WWWW[[#This Row],[Total PoP ]]</f>
        <v>854</v>
      </c>
      <c r="AT18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8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854</v>
      </c>
      <c r="AV189" s="565">
        <f>WWWW[[#This Row],[HRP1]]/250</f>
        <v>3.4159999999999999</v>
      </c>
      <c r="AW189" s="555">
        <f>1-WWWW[[#This Row],[% Equitable and continuous access to sufficient quantity of domestic water]]</f>
        <v>0</v>
      </c>
      <c r="AX189" s="565">
        <f>WWWW[[#This Row],[%equitable and continuous access to sufficient quantity of safe drinking and domestic water''s GAP]]*WWWW[[#This Row],[Total PoP ]]</f>
        <v>0</v>
      </c>
      <c r="AY189" s="557">
        <f>IF(WWWW[[#This Row],[Total required water points]]-WWWW[[#This Row],['#Water points coverage]]&lt;0,0,WWWW[[#This Row],[Total required water points]]-WWWW[[#This Row],['#Water points coverage]])</f>
        <v>0</v>
      </c>
      <c r="AZ189" s="557">
        <f>ROUND(IF(WWWW[[#This Row],[Total PoP ]]&lt;250,1,WWWW[[#This Row],[Total PoP ]]/250),0)</f>
        <v>3</v>
      </c>
      <c r="BA189"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0.74941451990632324</v>
      </c>
      <c r="BB189" s="565">
        <f>WWWW[[#This Row],[% people access to functioning Latrine]]*WWWW[[#This Row],[Total PoP ]]</f>
        <v>640</v>
      </c>
      <c r="BC189" s="421">
        <f>WWWW[[#This Row],['#_of_Functioning_latrines_in_school]]*50</f>
        <v>100</v>
      </c>
      <c r="BD189" s="557">
        <f>ROUND((WWWW[[#This Row],[Total PoP ]]/6),0)</f>
        <v>142</v>
      </c>
      <c r="BE189" s="421">
        <f>IF(WWWW[[#This Row],[Total required Latrines]]-(WWWW[[#This Row],['#_of_sanitary_fly-proof_HH_latrines]])&lt;0,0,WWWW[[#This Row],[Total required Latrines]]-(WWWW[[#This Row],['#_of_sanitary_fly-proof_HH_latrines]]))</f>
        <v>52</v>
      </c>
      <c r="BF189" s="563">
        <f>1-WWWW[[#This Row],[% people access to functioning Latrine]]</f>
        <v>0.25058548009367676</v>
      </c>
      <c r="BG18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538</v>
      </c>
      <c r="BH189" s="565">
        <f>IF(WWWW[[#This Row],['#_of_functional_handwashing_facilities_at_HH_level]]*6&gt;WWWW[[#This Row],[Total PoP ]],WWWW[[#This Row],[Total PoP ]],WWWW[[#This Row],['#_of_functional_handwashing_facilities_at_HH_level]]*6)</f>
        <v>0</v>
      </c>
      <c r="BI189" s="557">
        <f>IF(WWWW[[#This Row],['# people reached by regular dedicated hygiene promotion]]&gt;WWWW[[#This Row],['# People received regular supply of hygiene items]],WWWW[[#This Row],['# people reached by regular dedicated hygiene promotion]],WWWW[[#This Row],['# People received regular supply of hygiene items]])</f>
        <v>538</v>
      </c>
      <c r="BJ189" s="555">
        <f>IF(WWWW[[#This Row],[HRP3]]/WWWW[[#This Row],[Total PoP ]]&gt;100%,100%,WWWW[[#This Row],[HRP3]]/WWWW[[#This Row],[Total PoP ]])</f>
        <v>0.62997658079625296</v>
      </c>
      <c r="BK189" s="558">
        <f>1-WWWW[[#This Row],[Hygiene Coverage%]]</f>
        <v>0.37002341920374704</v>
      </c>
      <c r="BL189" s="556">
        <f>WWWW[[#This Row],['# people reached by regular dedicated hygiene promotion]]/WWWW[[#This Row],[Total PoP ]]</f>
        <v>0.62997658079625296</v>
      </c>
      <c r="BM18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89" s="557">
        <f>WWWW[[#This Row],['#_of_affected_women_and_girls_receiving_a_sufficient_quantity_of_sanitary_pads]]</f>
        <v>0</v>
      </c>
      <c r="BO189" s="611">
        <f>IF(WWWW[[#This Row],['# People with access to soap]]&gt;WWWW[[#This Row],['# People with access to Sanity Pads]],WWWW[[#This Row],['# People with access to soap]],WWWW[[#This Row],['# People with access to Sanity Pads]])</f>
        <v>0</v>
      </c>
      <c r="BP189" s="458" t="str">
        <f>IF(OR(WWWW[[#This Row],['#of students in school]]="",WWWW[[#This Row],['#of students in school]]=0),"No","Yes")</f>
        <v>Yes</v>
      </c>
      <c r="BQ189" s="559" t="str">
        <f>VLOOKUP(WWWW[[#This Row],[Village  Name]],SiteDB6[[Site Name]:[Location Type 1]],9,FALSE)</f>
        <v>Village</v>
      </c>
      <c r="BR189" s="559" t="str">
        <f>VLOOKUP(WWWW[[#This Row],[Village  Name]],SiteDB6[[Site Name]:[Type of Accommodation]],10,FALSE)</f>
        <v>Village</v>
      </c>
      <c r="BS189" s="559" t="str">
        <f>VLOOKUP(WWWW[[#This Row],[Village  Name]],SiteDB6[[Site Name]:[Ethnic or GCA/NGCA]],11,FALSE)</f>
        <v>Rakhine</v>
      </c>
      <c r="BT189" s="559">
        <f>VLOOKUP(WWWW[[#This Row],[Village  Name]],SiteDB6[[Site Name]:[Lat]],12,FALSE)</f>
        <v>20.756410599999999</v>
      </c>
      <c r="BU189" s="559">
        <f>VLOOKUP(WWWW[[#This Row],[Village  Name]],SiteDB6[[Site Name]:[Long]],13,FALSE)</f>
        <v>92.63580322</v>
      </c>
      <c r="BV189" s="559">
        <f>VLOOKUP(WWWW[[#This Row],[Village  Name]],SiteDB6[[Site Name]:[Pcode]],3,FALSE)</f>
        <v>198413</v>
      </c>
      <c r="BW189" s="587" t="str">
        <f t="shared" si="7"/>
        <v>Covered</v>
      </c>
      <c r="BX189" s="587"/>
      <c r="BY189" s="33"/>
      <c r="CA189" s="431"/>
      <c r="CB189" s="33"/>
      <c r="CC189" s="36"/>
      <c r="CE189" s="37"/>
      <c r="CN189" s="20"/>
    </row>
    <row r="190" spans="1:92" hidden="1">
      <c r="A190" s="612" t="s">
        <v>2380</v>
      </c>
      <c r="B190" s="551" t="s">
        <v>2864</v>
      </c>
      <c r="C190" s="551" t="s">
        <v>371</v>
      </c>
      <c r="D190" s="551" t="s">
        <v>236</v>
      </c>
      <c r="E190" s="551" t="s">
        <v>2686</v>
      </c>
      <c r="F190" s="551" t="s">
        <v>307</v>
      </c>
      <c r="G190" s="596" t="str">
        <f>VLOOKUP(WWWW[[#This Row],[Village  Name]],SiteDB6[[Site Name]:[Location Type]],8,FALSE)</f>
        <v>Village</v>
      </c>
      <c r="H190" s="822" t="s">
        <v>2076</v>
      </c>
      <c r="I190" s="614">
        <v>24</v>
      </c>
      <c r="J190" s="565">
        <v>93</v>
      </c>
      <c r="K190" s="562">
        <v>43221</v>
      </c>
      <c r="L190" s="562">
        <v>43677</v>
      </c>
      <c r="M190" s="611">
        <v>28</v>
      </c>
      <c r="N190" s="611">
        <v>0</v>
      </c>
      <c r="O190" s="611">
        <v>0</v>
      </c>
      <c r="P190" s="611">
        <v>0</v>
      </c>
      <c r="Q190" s="611">
        <v>1</v>
      </c>
      <c r="R190" s="611">
        <v>0</v>
      </c>
      <c r="S190" s="611">
        <v>0</v>
      </c>
      <c r="T190" s="643"/>
      <c r="U190" s="611">
        <v>15</v>
      </c>
      <c r="V190" s="611" t="s">
        <v>128</v>
      </c>
      <c r="W190" s="611">
        <v>0</v>
      </c>
      <c r="X190" s="611">
        <v>0</v>
      </c>
      <c r="Y190" s="611">
        <v>0</v>
      </c>
      <c r="Z190" s="611">
        <v>0</v>
      </c>
      <c r="AA190" s="611">
        <v>0</v>
      </c>
      <c r="AB190" s="643"/>
      <c r="AC190" s="611">
        <v>16</v>
      </c>
      <c r="AD190" s="611">
        <v>19</v>
      </c>
      <c r="AE190" s="611">
        <v>10</v>
      </c>
      <c r="AF190" s="611">
        <v>15</v>
      </c>
      <c r="AG190" s="611">
        <v>9</v>
      </c>
      <c r="AH190" s="611">
        <v>10</v>
      </c>
      <c r="AI190" s="611">
        <v>0</v>
      </c>
      <c r="AJ190" s="611">
        <v>0</v>
      </c>
      <c r="AK190" s="611"/>
      <c r="AL190" s="611"/>
      <c r="AM190" s="643"/>
      <c r="AN190" s="556">
        <v>0.6</v>
      </c>
      <c r="AO190" s="556">
        <v>0.6</v>
      </c>
      <c r="AP190"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90" s="565">
        <f>WWWW[[#This Row],[%Equitable and continuous access to sufficient quantity of safe drinking water]]*WWWW[[#This Row],[Total PoP ]]</f>
        <v>0</v>
      </c>
      <c r="AR19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90" s="565">
        <f>WWWW[[#This Row],[% Access to unimproved water points]]*WWWW[[#This Row],[Total PoP ]]</f>
        <v>93</v>
      </c>
      <c r="AT19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AV190" s="565">
        <f>WWWW[[#This Row],[HRP1]]/250</f>
        <v>0.372</v>
      </c>
      <c r="AW190" s="555">
        <f>1-WWWW[[#This Row],[% Equitable and continuous access to sufficient quantity of domestic water]]</f>
        <v>0</v>
      </c>
      <c r="AX190" s="565">
        <f>WWWW[[#This Row],[%equitable and continuous access to sufficient quantity of safe drinking and domestic water''s GAP]]*WWWW[[#This Row],[Total PoP ]]</f>
        <v>0</v>
      </c>
      <c r="AY190" s="557">
        <f>IF(WWWW[[#This Row],[Total required water points]]-WWWW[[#This Row],['#Water points coverage]]&lt;0,0,WWWW[[#This Row],[Total required water points]]-WWWW[[#This Row],['#Water points coverage]])</f>
        <v>0.628</v>
      </c>
      <c r="AZ190" s="557">
        <f>ROUND(IF(WWWW[[#This Row],[Total PoP ]]&lt;250,1,WWWW[[#This Row],[Total PoP ]]/250),0)</f>
        <v>1</v>
      </c>
      <c r="BA190"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0.967741935483871</v>
      </c>
      <c r="BB190" s="565">
        <f>WWWW[[#This Row],[% people access to functioning Latrine]]*WWWW[[#This Row],[Total PoP ]]</f>
        <v>90</v>
      </c>
      <c r="BC190" s="421">
        <f>WWWW[[#This Row],['#_of_Functioning_latrines_in_school]]*50</f>
        <v>0</v>
      </c>
      <c r="BD190" s="557">
        <f>ROUND((WWWW[[#This Row],[Total PoP ]]/6),0)</f>
        <v>16</v>
      </c>
      <c r="BE190" s="421">
        <f>IF(WWWW[[#This Row],[Total required Latrines]]-(WWWW[[#This Row],['#_of_sanitary_fly-proof_HH_latrines]])&lt;0,0,WWWW[[#This Row],[Total required Latrines]]-(WWWW[[#This Row],['#_of_sanitary_fly-proof_HH_latrines]]))</f>
        <v>1</v>
      </c>
      <c r="BF190" s="563">
        <f>1-WWWW[[#This Row],[% people access to functioning Latrine]]</f>
        <v>3.2258064516129004E-2</v>
      </c>
      <c r="BG19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79</v>
      </c>
      <c r="BH190" s="565">
        <f>IF(WWWW[[#This Row],['#_of_functional_handwashing_facilities_at_HH_level]]*6&gt;WWWW[[#This Row],[Total PoP ]],WWWW[[#This Row],[Total PoP ]],WWWW[[#This Row],['#_of_functional_handwashing_facilities_at_HH_level]]*6)</f>
        <v>0</v>
      </c>
      <c r="BI190" s="557">
        <f>IF(WWWW[[#This Row],['# people reached by regular dedicated hygiene promotion]]&gt;WWWW[[#This Row],['# People received regular supply of hygiene items]],WWWW[[#This Row],['# people reached by regular dedicated hygiene promotion]],WWWW[[#This Row],['# People received regular supply of hygiene items]])</f>
        <v>79</v>
      </c>
      <c r="BJ190" s="555">
        <f>IF(WWWW[[#This Row],[HRP3]]/WWWW[[#This Row],[Total PoP ]]&gt;100%,100%,WWWW[[#This Row],[HRP3]]/WWWW[[#This Row],[Total PoP ]])</f>
        <v>0.84946236559139787</v>
      </c>
      <c r="BK190" s="558">
        <f>1-WWWW[[#This Row],[Hygiene Coverage%]]</f>
        <v>0.15053763440860213</v>
      </c>
      <c r="BL190" s="556">
        <f>WWWW[[#This Row],['# people reached by regular dedicated hygiene promotion]]/WWWW[[#This Row],[Total PoP ]]</f>
        <v>0.84946236559139787</v>
      </c>
      <c r="BM19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0" s="557">
        <f>WWWW[[#This Row],['#_of_affected_women_and_girls_receiving_a_sufficient_quantity_of_sanitary_pads]]</f>
        <v>0</v>
      </c>
      <c r="BO190" s="611">
        <f>IF(WWWW[[#This Row],['# People with access to soap]]&gt;WWWW[[#This Row],['# People with access to Sanity Pads]],WWWW[[#This Row],['# People with access to soap]],WWWW[[#This Row],['# People with access to Sanity Pads]])</f>
        <v>0</v>
      </c>
      <c r="BP190" s="458" t="str">
        <f>IF(OR(WWWW[[#This Row],['#of students in school]]="",WWWW[[#This Row],['#of students in school]]=0),"No","Yes")</f>
        <v>Yes</v>
      </c>
      <c r="BQ190" s="559" t="str">
        <f>VLOOKUP(WWWW[[#This Row],[Village  Name]],SiteDB6[[Site Name]:[Location Type 1]],9,FALSE)</f>
        <v>Village</v>
      </c>
      <c r="BR190" s="559" t="str">
        <f>VLOOKUP(WWWW[[#This Row],[Village  Name]],SiteDB6[[Site Name]:[Type of Accommodation]],10,FALSE)</f>
        <v>Village</v>
      </c>
      <c r="BS190" s="559" t="str">
        <f>VLOOKUP(WWWW[[#This Row],[Village  Name]],SiteDB6[[Site Name]:[Ethnic or GCA/NGCA]],11,FALSE)</f>
        <v>Rakhine</v>
      </c>
      <c r="BT190" s="559">
        <f>VLOOKUP(WWWW[[#This Row],[Village  Name]],SiteDB6[[Site Name]:[Lat]],12,FALSE)</f>
        <v>21.004550930000001</v>
      </c>
      <c r="BU190" s="559">
        <f>VLOOKUP(WWWW[[#This Row],[Village  Name]],SiteDB6[[Site Name]:[Long]],13,FALSE)</f>
        <v>92.294601439999994</v>
      </c>
      <c r="BV190" s="559">
        <f>VLOOKUP(WWWW[[#This Row],[Village  Name]],SiteDB6[[Site Name]:[Pcode]],3,FALSE)</f>
        <v>197897</v>
      </c>
      <c r="BW190" s="587" t="str">
        <f t="shared" si="7"/>
        <v>Covered</v>
      </c>
      <c r="BX190" s="587"/>
      <c r="BY190" s="33"/>
      <c r="CA190" s="431"/>
      <c r="CB190" s="33"/>
      <c r="CC190" s="36"/>
      <c r="CE190" s="37"/>
      <c r="CN190" s="20"/>
    </row>
    <row r="191" spans="1:92" hidden="1">
      <c r="A191" s="612" t="s">
        <v>2380</v>
      </c>
      <c r="B191" s="551" t="s">
        <v>2864</v>
      </c>
      <c r="C191" s="551" t="s">
        <v>371</v>
      </c>
      <c r="D191" s="551" t="s">
        <v>236</v>
      </c>
      <c r="E191" s="551" t="s">
        <v>2686</v>
      </c>
      <c r="F191" s="551" t="s">
        <v>321</v>
      </c>
      <c r="G191" s="596" t="str">
        <f>VLOOKUP(WWWW[[#This Row],[Village  Name]],SiteDB6[[Site Name]:[Location Type]],8,FALSE)</f>
        <v>Village</v>
      </c>
      <c r="H191" s="821" t="s">
        <v>586</v>
      </c>
      <c r="I191" s="614">
        <v>55</v>
      </c>
      <c r="J191" s="565">
        <v>233</v>
      </c>
      <c r="K191" s="562">
        <v>43221</v>
      </c>
      <c r="L191" s="562">
        <v>43677</v>
      </c>
      <c r="M191" s="611">
        <v>30</v>
      </c>
      <c r="N191" s="611">
        <v>150</v>
      </c>
      <c r="O191" s="611">
        <v>0</v>
      </c>
      <c r="P191" s="611">
        <v>2</v>
      </c>
      <c r="Q191" s="611">
        <v>1</v>
      </c>
      <c r="R191" s="611">
        <v>0</v>
      </c>
      <c r="S191" s="611">
        <v>0</v>
      </c>
      <c r="T191" s="643"/>
      <c r="U191" s="611">
        <v>50</v>
      </c>
      <c r="V191" s="611" t="s">
        <v>128</v>
      </c>
      <c r="W191" s="611">
        <v>0</v>
      </c>
      <c r="X191" s="611">
        <v>0</v>
      </c>
      <c r="Y191" s="611">
        <v>0</v>
      </c>
      <c r="Z191" s="611">
        <v>0</v>
      </c>
      <c r="AA191" s="611">
        <v>0</v>
      </c>
      <c r="AB191" s="643"/>
      <c r="AC191" s="611">
        <v>40</v>
      </c>
      <c r="AD191" s="611">
        <v>55</v>
      </c>
      <c r="AE191" s="611">
        <v>30</v>
      </c>
      <c r="AF191" s="611">
        <v>20</v>
      </c>
      <c r="AG191" s="611">
        <v>14</v>
      </c>
      <c r="AH191" s="611">
        <v>13</v>
      </c>
      <c r="AI191" s="611">
        <v>0</v>
      </c>
      <c r="AJ191" s="611">
        <v>0</v>
      </c>
      <c r="AK191" s="611"/>
      <c r="AL191" s="611"/>
      <c r="AM191" s="643"/>
      <c r="AN191" s="556">
        <v>0.8</v>
      </c>
      <c r="AO191" s="556">
        <v>0.8</v>
      </c>
      <c r="AP191"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91" s="565">
        <f>WWWW[[#This Row],[%Equitable and continuous access to sufficient quantity of safe drinking water]]*WWWW[[#This Row],[Total PoP ]]</f>
        <v>233</v>
      </c>
      <c r="AR19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91" s="565">
        <f>WWWW[[#This Row],[% Access to unimproved water points]]*WWWW[[#This Row],[Total PoP ]]</f>
        <v>233</v>
      </c>
      <c r="AT19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233</v>
      </c>
      <c r="AV191" s="565">
        <f>WWWW[[#This Row],[HRP1]]/250</f>
        <v>0.93200000000000005</v>
      </c>
      <c r="AW191" s="555">
        <f>1-WWWW[[#This Row],[% Equitable and continuous access to sufficient quantity of domestic water]]</f>
        <v>0</v>
      </c>
      <c r="AX191" s="565">
        <f>WWWW[[#This Row],[%equitable and continuous access to sufficient quantity of safe drinking and domestic water''s GAP]]*WWWW[[#This Row],[Total PoP ]]</f>
        <v>0</v>
      </c>
      <c r="AY191" s="557">
        <f>IF(WWWW[[#This Row],[Total required water points]]-WWWW[[#This Row],['#Water points coverage]]&lt;0,0,WWWW[[#This Row],[Total required water points]]-WWWW[[#This Row],['#Water points coverage]])</f>
        <v>6.7999999999999949E-2</v>
      </c>
      <c r="AZ191" s="557">
        <f>ROUND(IF(WWWW[[#This Row],[Total PoP ]]&lt;250,1,WWWW[[#This Row],[Total PoP ]]/250),0)</f>
        <v>1</v>
      </c>
      <c r="BA191"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191" s="565">
        <f>WWWW[[#This Row],[% people access to functioning Latrine]]*WWWW[[#This Row],[Total PoP ]]</f>
        <v>233</v>
      </c>
      <c r="BC191" s="421">
        <f>WWWW[[#This Row],['#_of_Functioning_latrines_in_school]]*50</f>
        <v>0</v>
      </c>
      <c r="BD191" s="557">
        <f>ROUND((WWWW[[#This Row],[Total PoP ]]/6),0)</f>
        <v>39</v>
      </c>
      <c r="BE191" s="421">
        <f>IF(WWWW[[#This Row],[Total required Latrines]]-(WWWW[[#This Row],['#_of_sanitary_fly-proof_HH_latrines]])&lt;0,0,WWWW[[#This Row],[Total required Latrines]]-(WWWW[[#This Row],['#_of_sanitary_fly-proof_HH_latrines]]))</f>
        <v>0</v>
      </c>
      <c r="BF191" s="563">
        <f>1-WWWW[[#This Row],[% people access to functioning Latrine]]</f>
        <v>0</v>
      </c>
      <c r="BG19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172</v>
      </c>
      <c r="BH191" s="565">
        <f>IF(WWWW[[#This Row],['#_of_functional_handwashing_facilities_at_HH_level]]*6&gt;WWWW[[#This Row],[Total PoP ]],WWWW[[#This Row],[Total PoP ]],WWWW[[#This Row],['#_of_functional_handwashing_facilities_at_HH_level]]*6)</f>
        <v>0</v>
      </c>
      <c r="BI191" s="557">
        <f>IF(WWWW[[#This Row],['# people reached by regular dedicated hygiene promotion]]&gt;WWWW[[#This Row],['# People received regular supply of hygiene items]],WWWW[[#This Row],['# people reached by regular dedicated hygiene promotion]],WWWW[[#This Row],['# People received regular supply of hygiene items]])</f>
        <v>172</v>
      </c>
      <c r="BJ191" s="555">
        <f>IF(WWWW[[#This Row],[HRP3]]/WWWW[[#This Row],[Total PoP ]]&gt;100%,100%,WWWW[[#This Row],[HRP3]]/WWWW[[#This Row],[Total PoP ]])</f>
        <v>0.7381974248927039</v>
      </c>
      <c r="BK191" s="558">
        <f>1-WWWW[[#This Row],[Hygiene Coverage%]]</f>
        <v>0.2618025751072961</v>
      </c>
      <c r="BL191" s="556">
        <f>WWWW[[#This Row],['# people reached by regular dedicated hygiene promotion]]/WWWW[[#This Row],[Total PoP ]]</f>
        <v>0.7381974248927039</v>
      </c>
      <c r="BM19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1" s="557">
        <f>WWWW[[#This Row],['#_of_affected_women_and_girls_receiving_a_sufficient_quantity_of_sanitary_pads]]</f>
        <v>0</v>
      </c>
      <c r="BO191" s="611">
        <f>IF(WWWW[[#This Row],['# People with access to soap]]&gt;WWWW[[#This Row],['# People with access to Sanity Pads]],WWWW[[#This Row],['# People with access to soap]],WWWW[[#This Row],['# People with access to Sanity Pads]])</f>
        <v>0</v>
      </c>
      <c r="BP191" s="458" t="str">
        <f>IF(OR(WWWW[[#This Row],['#of students in school]]="",WWWW[[#This Row],['#of students in school]]=0),"No","Yes")</f>
        <v>Yes</v>
      </c>
      <c r="BQ191" s="559" t="str">
        <f>VLOOKUP(WWWW[[#This Row],[Village  Name]],SiteDB6[[Site Name]:[Location Type 1]],9,FALSE)</f>
        <v>Village</v>
      </c>
      <c r="BR191" s="559" t="str">
        <f>VLOOKUP(WWWW[[#This Row],[Village  Name]],SiteDB6[[Site Name]:[Type of Accommodation]],10,FALSE)</f>
        <v>Village</v>
      </c>
      <c r="BS191" s="559" t="str">
        <f>VLOOKUP(WWWW[[#This Row],[Village  Name]],SiteDB6[[Site Name]:[Ethnic or GCA/NGCA]],11,FALSE)</f>
        <v>Rakhine</v>
      </c>
      <c r="BT191" s="559">
        <f>VLOOKUP(WWWW[[#This Row],[Village  Name]],SiteDB6[[Site Name]:[Lat]],12,FALSE)</f>
        <v>20.76407051</v>
      </c>
      <c r="BU191" s="559">
        <f>VLOOKUP(WWWW[[#This Row],[Village  Name]],SiteDB6[[Site Name]:[Long]],13,FALSE)</f>
        <v>92.631126399999999</v>
      </c>
      <c r="BV191" s="559">
        <f>VLOOKUP(WWWW[[#This Row],[Village  Name]],SiteDB6[[Site Name]:[Pcode]],3,FALSE)</f>
        <v>198408</v>
      </c>
      <c r="BW191" s="587" t="str">
        <f t="shared" si="7"/>
        <v>Covered</v>
      </c>
      <c r="BX191" s="587"/>
      <c r="BY191" s="33"/>
      <c r="CA191" s="431"/>
      <c r="CB191" s="33"/>
      <c r="CC191" s="36"/>
      <c r="CE191" s="37"/>
      <c r="CN191" s="20"/>
    </row>
    <row r="192" spans="1:92" hidden="1">
      <c r="A192" s="612" t="s">
        <v>2380</v>
      </c>
      <c r="B192" s="551" t="s">
        <v>2864</v>
      </c>
      <c r="C192" s="551" t="s">
        <v>371</v>
      </c>
      <c r="D192" s="551" t="s">
        <v>236</v>
      </c>
      <c r="E192" s="551" t="s">
        <v>2686</v>
      </c>
      <c r="F192" s="551" t="s">
        <v>307</v>
      </c>
      <c r="G192" s="596" t="str">
        <f>VLOOKUP(WWWW[[#This Row],[Village  Name]],SiteDB6[[Site Name]:[Location Type]],8,FALSE)</f>
        <v>Village</v>
      </c>
      <c r="H192" s="826" t="s">
        <v>2862</v>
      </c>
      <c r="I192" s="615">
        <v>54</v>
      </c>
      <c r="J192" s="565">
        <v>249</v>
      </c>
      <c r="K192" s="562">
        <v>43221</v>
      </c>
      <c r="L192" s="562">
        <v>43677</v>
      </c>
      <c r="M192" s="611">
        <v>80</v>
      </c>
      <c r="N192" s="611">
        <v>0</v>
      </c>
      <c r="O192" s="611">
        <v>2</v>
      </c>
      <c r="P192" s="611">
        <v>4</v>
      </c>
      <c r="Q192" s="611">
        <v>2</v>
      </c>
      <c r="R192" s="611">
        <v>0</v>
      </c>
      <c r="S192" s="611">
        <v>1</v>
      </c>
      <c r="T192" s="643"/>
      <c r="U192" s="611">
        <v>40</v>
      </c>
      <c r="V192" s="611" t="s">
        <v>41</v>
      </c>
      <c r="W192" s="611">
        <v>2</v>
      </c>
      <c r="X192" s="611">
        <v>0</v>
      </c>
      <c r="Y192" s="611">
        <v>0</v>
      </c>
      <c r="Z192" s="611">
        <v>0</v>
      </c>
      <c r="AA192" s="611">
        <v>0</v>
      </c>
      <c r="AB192" s="643"/>
      <c r="AC192" s="611">
        <v>55</v>
      </c>
      <c r="AD192" s="611">
        <v>60</v>
      </c>
      <c r="AE192" s="611">
        <v>26</v>
      </c>
      <c r="AF192" s="611">
        <v>30</v>
      </c>
      <c r="AG192" s="611">
        <v>20</v>
      </c>
      <c r="AH192" s="611">
        <v>27</v>
      </c>
      <c r="AI192" s="611">
        <v>0</v>
      </c>
      <c r="AJ192" s="611">
        <v>1</v>
      </c>
      <c r="AK192" s="611"/>
      <c r="AL192" s="611"/>
      <c r="AM192" s="643"/>
      <c r="AN192" s="556">
        <v>0.6</v>
      </c>
      <c r="AO192" s="556">
        <v>0.6</v>
      </c>
      <c r="AP192"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92" s="565">
        <f>WWWW[[#This Row],[%Equitable and continuous access to sufficient quantity of safe drinking water]]*WWWW[[#This Row],[Total PoP ]]</f>
        <v>249</v>
      </c>
      <c r="AR19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92" s="565">
        <f>WWWW[[#This Row],[% Access to unimproved water points]]*WWWW[[#This Row],[Total PoP ]]</f>
        <v>249</v>
      </c>
      <c r="AT19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V192" s="565">
        <f>WWWW[[#This Row],[HRP1]]/250</f>
        <v>0.996</v>
      </c>
      <c r="AW192" s="555">
        <f>1-WWWW[[#This Row],[% Equitable and continuous access to sufficient quantity of domestic water]]</f>
        <v>0</v>
      </c>
      <c r="AX192" s="565">
        <f>WWWW[[#This Row],[%equitable and continuous access to sufficient quantity of safe drinking and domestic water''s GAP]]*WWWW[[#This Row],[Total PoP ]]</f>
        <v>0</v>
      </c>
      <c r="AY192" s="557">
        <f>IF(WWWW[[#This Row],[Total required water points]]-WWWW[[#This Row],['#Water points coverage]]&lt;0,0,WWWW[[#This Row],[Total required water points]]-WWWW[[#This Row],['#Water points coverage]])</f>
        <v>4.0000000000000036E-3</v>
      </c>
      <c r="AZ192" s="557">
        <f>ROUND(IF(WWWW[[#This Row],[Total PoP ]]&lt;250,1,WWWW[[#This Row],[Total PoP ]]/250),0)</f>
        <v>1</v>
      </c>
      <c r="BA192"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192" s="565">
        <f>WWWW[[#This Row],[% people access to functioning Latrine]]*WWWW[[#This Row],[Total PoP ]]</f>
        <v>249</v>
      </c>
      <c r="BC192" s="421">
        <f>WWWW[[#This Row],['#_of_Functioning_latrines_in_school]]*50</f>
        <v>100</v>
      </c>
      <c r="BD192" s="557">
        <f>ROUND((WWWW[[#This Row],[Total PoP ]]/6),0)</f>
        <v>42</v>
      </c>
      <c r="BE192" s="421">
        <f>IF(WWWW[[#This Row],[Total required Latrines]]-(WWWW[[#This Row],['#_of_sanitary_fly-proof_HH_latrines]])&lt;0,0,WWWW[[#This Row],[Total required Latrines]]-(WWWW[[#This Row],['#_of_sanitary_fly-proof_HH_latrines]]))</f>
        <v>2</v>
      </c>
      <c r="BF192" s="563">
        <f>1-WWWW[[#This Row],[% people access to functioning Latrine]]</f>
        <v>0</v>
      </c>
      <c r="BG19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218</v>
      </c>
      <c r="BH192" s="565">
        <f>IF(WWWW[[#This Row],['#_of_functional_handwashing_facilities_at_HH_level]]*6&gt;WWWW[[#This Row],[Total PoP ]],WWWW[[#This Row],[Total PoP ]],WWWW[[#This Row],['#_of_functional_handwashing_facilities_at_HH_level]]*6)</f>
        <v>0</v>
      </c>
      <c r="BI192" s="557">
        <f>IF(WWWW[[#This Row],['# people reached by regular dedicated hygiene promotion]]&gt;WWWW[[#This Row],['# People received regular supply of hygiene items]],WWWW[[#This Row],['# people reached by regular dedicated hygiene promotion]],WWWW[[#This Row],['# People received regular supply of hygiene items]])</f>
        <v>218</v>
      </c>
      <c r="BJ192" s="555">
        <f>IF(WWWW[[#This Row],[HRP3]]/WWWW[[#This Row],[Total PoP ]]&gt;100%,100%,WWWW[[#This Row],[HRP3]]/WWWW[[#This Row],[Total PoP ]])</f>
        <v>0.87550200803212852</v>
      </c>
      <c r="BK192" s="558">
        <f>1-WWWW[[#This Row],[Hygiene Coverage%]]</f>
        <v>0.12449799196787148</v>
      </c>
      <c r="BL192" s="556">
        <f>WWWW[[#This Row],['# people reached by regular dedicated hygiene promotion]]/WWWW[[#This Row],[Total PoP ]]</f>
        <v>0.87550200803212852</v>
      </c>
      <c r="BM19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2" s="557">
        <f>WWWW[[#This Row],['#_of_affected_women_and_girls_receiving_a_sufficient_quantity_of_sanitary_pads]]</f>
        <v>0</v>
      </c>
      <c r="BO192" s="611">
        <f>IF(WWWW[[#This Row],['# People with access to soap]]&gt;WWWW[[#This Row],['# People with access to Sanity Pads]],WWWW[[#This Row],['# People with access to soap]],WWWW[[#This Row],['# People with access to Sanity Pads]])</f>
        <v>0</v>
      </c>
      <c r="BP192" s="458" t="str">
        <f>IF(OR(WWWW[[#This Row],['#of students in school]]="",WWWW[[#This Row],['#of students in school]]=0),"No","Yes")</f>
        <v>Yes</v>
      </c>
      <c r="BQ192" s="559" t="str">
        <f>VLOOKUP(WWWW[[#This Row],[Village  Name]],SiteDB6[[Site Name]:[Location Type 1]],9,FALSE)</f>
        <v>Village</v>
      </c>
      <c r="BR192" s="559" t="str">
        <f>VLOOKUP(WWWW[[#This Row],[Village  Name]],SiteDB6[[Site Name]:[Type of Accommodation]],10,FALSE)</f>
        <v>Village</v>
      </c>
      <c r="BS192" s="559">
        <f>VLOOKUP(WWWW[[#This Row],[Village  Name]],SiteDB6[[Site Name]:[Ethnic or GCA/NGCA]],11,FALSE)</f>
        <v>0</v>
      </c>
      <c r="BT192" s="559">
        <f>VLOOKUP(WWWW[[#This Row],[Village  Name]],SiteDB6[[Site Name]:[Lat]],12,FALSE)</f>
        <v>0</v>
      </c>
      <c r="BU192" s="559">
        <f>VLOOKUP(WWWW[[#This Row],[Village  Name]],SiteDB6[[Site Name]:[Long]],13,FALSE)</f>
        <v>0</v>
      </c>
      <c r="BV192" s="559">
        <f>VLOOKUP(WWWW[[#This Row],[Village  Name]],SiteDB6[[Site Name]:[Pcode]],3,FALSE)</f>
        <v>0</v>
      </c>
      <c r="BW192" s="587" t="str">
        <f t="shared" si="7"/>
        <v>Covered</v>
      </c>
      <c r="BX192" s="587"/>
      <c r="BY192" s="33"/>
      <c r="CA192" s="431"/>
      <c r="CB192" s="33"/>
      <c r="CC192" s="36"/>
      <c r="CE192" s="37"/>
      <c r="CN192" s="20"/>
    </row>
    <row r="193" spans="1:92" hidden="1">
      <c r="A193" s="612" t="s">
        <v>2380</v>
      </c>
      <c r="B193" s="551" t="s">
        <v>2864</v>
      </c>
      <c r="C193" s="551" t="s">
        <v>371</v>
      </c>
      <c r="D193" s="551" t="s">
        <v>236</v>
      </c>
      <c r="E193" s="551" t="s">
        <v>2686</v>
      </c>
      <c r="F193" s="551" t="s">
        <v>307</v>
      </c>
      <c r="G193" s="596" t="str">
        <f>VLOOKUP(WWWW[[#This Row],[Village  Name]],SiteDB6[[Site Name]:[Location Type]],8,FALSE)</f>
        <v>Village</v>
      </c>
      <c r="H193" s="827" t="s">
        <v>2863</v>
      </c>
      <c r="I193" s="615">
        <v>62</v>
      </c>
      <c r="J193" s="565">
        <v>332</v>
      </c>
      <c r="K193" s="562">
        <v>43221</v>
      </c>
      <c r="L193" s="562">
        <v>43677</v>
      </c>
      <c r="M193" s="611">
        <v>5</v>
      </c>
      <c r="N193" s="611">
        <v>0</v>
      </c>
      <c r="O193" s="611">
        <v>0</v>
      </c>
      <c r="P193" s="611">
        <v>2</v>
      </c>
      <c r="Q193" s="611">
        <v>1</v>
      </c>
      <c r="R193" s="611">
        <v>0</v>
      </c>
      <c r="S193" s="611">
        <v>0</v>
      </c>
      <c r="T193" s="643"/>
      <c r="U193" s="611">
        <v>15</v>
      </c>
      <c r="V193" s="611" t="s">
        <v>128</v>
      </c>
      <c r="W193" s="611">
        <v>0</v>
      </c>
      <c r="X193" s="611">
        <v>0</v>
      </c>
      <c r="Y193" s="611">
        <v>0</v>
      </c>
      <c r="Z193" s="611">
        <v>0</v>
      </c>
      <c r="AA193" s="611">
        <v>0</v>
      </c>
      <c r="AB193" s="643"/>
      <c r="AC193" s="611">
        <v>85</v>
      </c>
      <c r="AD193" s="611">
        <v>53</v>
      </c>
      <c r="AE193" s="611">
        <v>28</v>
      </c>
      <c r="AF193" s="611">
        <v>34</v>
      </c>
      <c r="AG193" s="611">
        <v>3</v>
      </c>
      <c r="AH193" s="611">
        <v>2</v>
      </c>
      <c r="AI193" s="611">
        <v>0</v>
      </c>
      <c r="AJ193" s="611">
        <v>0</v>
      </c>
      <c r="AK193" s="611"/>
      <c r="AL193" s="611"/>
      <c r="AM193" s="643"/>
      <c r="AN193" s="556">
        <v>0</v>
      </c>
      <c r="AO193" s="556">
        <v>0</v>
      </c>
      <c r="AP193"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93" s="565">
        <f>WWWW[[#This Row],[%Equitable and continuous access to sufficient quantity of safe drinking water]]*WWWW[[#This Row],[Total PoP ]]</f>
        <v>332</v>
      </c>
      <c r="AR19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93" s="565">
        <f>WWWW[[#This Row],[% Access to unimproved water points]]*WWWW[[#This Row],[Total PoP ]]</f>
        <v>332</v>
      </c>
      <c r="AT19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332</v>
      </c>
      <c r="AV193" s="565">
        <f>WWWW[[#This Row],[HRP1]]/250</f>
        <v>1.3280000000000001</v>
      </c>
      <c r="AW193" s="555">
        <f>1-WWWW[[#This Row],[% Equitable and continuous access to sufficient quantity of domestic water]]</f>
        <v>0</v>
      </c>
      <c r="AX193" s="565">
        <f>WWWW[[#This Row],[%equitable and continuous access to sufficient quantity of safe drinking and domestic water''s GAP]]*WWWW[[#This Row],[Total PoP ]]</f>
        <v>0</v>
      </c>
      <c r="AY193" s="557">
        <f>IF(WWWW[[#This Row],[Total required water points]]-WWWW[[#This Row],['#Water points coverage]]&lt;0,0,WWWW[[#This Row],[Total required water points]]-WWWW[[#This Row],['#Water points coverage]])</f>
        <v>0</v>
      </c>
      <c r="AZ193" s="557">
        <f>ROUND(IF(WWWW[[#This Row],[Total PoP ]]&lt;250,1,WWWW[[#This Row],[Total PoP ]]/250),0)</f>
        <v>1</v>
      </c>
      <c r="BA193"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0.27108433734939757</v>
      </c>
      <c r="BB193" s="565">
        <f>WWWW[[#This Row],[% people access to functioning Latrine]]*WWWW[[#This Row],[Total PoP ]]</f>
        <v>90</v>
      </c>
      <c r="BC193" s="421">
        <f>WWWW[[#This Row],['#_of_Functioning_latrines_in_school]]*50</f>
        <v>0</v>
      </c>
      <c r="BD193" s="557">
        <f>ROUND((WWWW[[#This Row],[Total PoP ]]/6),0)</f>
        <v>55</v>
      </c>
      <c r="BE193" s="421">
        <f>IF(WWWW[[#This Row],[Total required Latrines]]-(WWWW[[#This Row],['#_of_sanitary_fly-proof_HH_latrines]])&lt;0,0,WWWW[[#This Row],[Total required Latrines]]-(WWWW[[#This Row],['#_of_sanitary_fly-proof_HH_latrines]]))</f>
        <v>40</v>
      </c>
      <c r="BF193" s="563">
        <f>1-WWWW[[#This Row],[% people access to functioning Latrine]]</f>
        <v>0.72891566265060237</v>
      </c>
      <c r="BG19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205</v>
      </c>
      <c r="BH193" s="565">
        <f>IF(WWWW[[#This Row],['#_of_functional_handwashing_facilities_at_HH_level]]*6&gt;WWWW[[#This Row],[Total PoP ]],WWWW[[#This Row],[Total PoP ]],WWWW[[#This Row],['#_of_functional_handwashing_facilities_at_HH_level]]*6)</f>
        <v>0</v>
      </c>
      <c r="BI193" s="557">
        <f>IF(WWWW[[#This Row],['# people reached by regular dedicated hygiene promotion]]&gt;WWWW[[#This Row],['# People received regular supply of hygiene items]],WWWW[[#This Row],['# people reached by regular dedicated hygiene promotion]],WWWW[[#This Row],['# People received regular supply of hygiene items]])</f>
        <v>205</v>
      </c>
      <c r="BJ193" s="555">
        <f>IF(WWWW[[#This Row],[HRP3]]/WWWW[[#This Row],[Total PoP ]]&gt;100%,100%,WWWW[[#This Row],[HRP3]]/WWWW[[#This Row],[Total PoP ]])</f>
        <v>0.61746987951807231</v>
      </c>
      <c r="BK193" s="558">
        <f>1-WWWW[[#This Row],[Hygiene Coverage%]]</f>
        <v>0.38253012048192769</v>
      </c>
      <c r="BL193" s="556">
        <f>WWWW[[#This Row],['# people reached by regular dedicated hygiene promotion]]/WWWW[[#This Row],[Total PoP ]]</f>
        <v>0.61746987951807231</v>
      </c>
      <c r="BM19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3" s="557">
        <f>WWWW[[#This Row],['#_of_affected_women_and_girls_receiving_a_sufficient_quantity_of_sanitary_pads]]</f>
        <v>0</v>
      </c>
      <c r="BO193" s="611">
        <f>IF(WWWW[[#This Row],['# People with access to soap]]&gt;WWWW[[#This Row],['# People with access to Sanity Pads]],WWWW[[#This Row],['# People with access to soap]],WWWW[[#This Row],['# People with access to Sanity Pads]])</f>
        <v>0</v>
      </c>
      <c r="BP193" s="458" t="str">
        <f>IF(OR(WWWW[[#This Row],['#of students in school]]="",WWWW[[#This Row],['#of students in school]]=0),"No","Yes")</f>
        <v>Yes</v>
      </c>
      <c r="BQ193" s="559" t="str">
        <f>VLOOKUP(WWWW[[#This Row],[Village  Name]],SiteDB6[[Site Name]:[Location Type 1]],9,FALSE)</f>
        <v>Village</v>
      </c>
      <c r="BR193" s="559" t="str">
        <f>VLOOKUP(WWWW[[#This Row],[Village  Name]],SiteDB6[[Site Name]:[Type of Accommodation]],10,FALSE)</f>
        <v>Village</v>
      </c>
      <c r="BS193" s="559" t="str">
        <f>VLOOKUP(WWWW[[#This Row],[Village  Name]],SiteDB6[[Site Name]:[Ethnic or GCA/NGCA]],11,FALSE)</f>
        <v>Muslim</v>
      </c>
      <c r="BT193" s="559">
        <f>VLOOKUP(WWWW[[#This Row],[Village  Name]],SiteDB6[[Site Name]:[Lat]],12,FALSE)</f>
        <v>20.7818698883057</v>
      </c>
      <c r="BU193" s="559">
        <f>VLOOKUP(WWWW[[#This Row],[Village  Name]],SiteDB6[[Site Name]:[Long]],13,FALSE)</f>
        <v>92.393142700195298</v>
      </c>
      <c r="BV193" s="559">
        <f>VLOOKUP(WWWW[[#This Row],[Village  Name]],SiteDB6[[Site Name]:[Pcode]],3,FALSE)</f>
        <v>198002</v>
      </c>
      <c r="BW193" s="587" t="str">
        <f t="shared" si="7"/>
        <v>Covered</v>
      </c>
      <c r="BX193" s="587"/>
      <c r="BY193" s="33"/>
      <c r="CA193" s="431"/>
      <c r="CB193" s="33"/>
      <c r="CC193" s="36"/>
      <c r="CE193" s="37"/>
      <c r="CN193" s="20"/>
    </row>
    <row r="194" spans="1:92" hidden="1">
      <c r="A194" s="612" t="s">
        <v>2380</v>
      </c>
      <c r="B194" s="551" t="s">
        <v>2864</v>
      </c>
      <c r="C194" s="551" t="s">
        <v>371</v>
      </c>
      <c r="D194" s="551" t="s">
        <v>236</v>
      </c>
      <c r="E194" s="551" t="s">
        <v>2686</v>
      </c>
      <c r="F194" s="551" t="s">
        <v>321</v>
      </c>
      <c r="G194" s="596" t="str">
        <f>VLOOKUP(WWWW[[#This Row],[Village  Name]],SiteDB6[[Site Name]:[Location Type]],8,FALSE)</f>
        <v>Village</v>
      </c>
      <c r="H194" s="821" t="s">
        <v>2860</v>
      </c>
      <c r="I194" s="614">
        <v>260</v>
      </c>
      <c r="J194" s="565">
        <v>2652</v>
      </c>
      <c r="K194" s="562">
        <v>43221</v>
      </c>
      <c r="L194" s="562">
        <v>43677</v>
      </c>
      <c r="M194" s="611">
        <v>462</v>
      </c>
      <c r="N194" s="611">
        <v>90</v>
      </c>
      <c r="O194" s="611">
        <v>0</v>
      </c>
      <c r="P194" s="611">
        <v>7</v>
      </c>
      <c r="Q194" s="611">
        <v>5</v>
      </c>
      <c r="R194" s="611">
        <v>1</v>
      </c>
      <c r="S194" s="611">
        <v>1</v>
      </c>
      <c r="T194" s="643"/>
      <c r="U194" s="611">
        <v>60</v>
      </c>
      <c r="V194" s="611" t="s">
        <v>128</v>
      </c>
      <c r="W194" s="611">
        <v>0</v>
      </c>
      <c r="X194" s="611">
        <v>0</v>
      </c>
      <c r="Y194" s="611">
        <v>0</v>
      </c>
      <c r="Z194" s="611">
        <v>0</v>
      </c>
      <c r="AA194" s="611">
        <v>0</v>
      </c>
      <c r="AB194" s="643"/>
      <c r="AC194" s="611">
        <v>225</v>
      </c>
      <c r="AD194" s="611">
        <v>190</v>
      </c>
      <c r="AE194" s="611">
        <v>80</v>
      </c>
      <c r="AF194" s="611">
        <v>25</v>
      </c>
      <c r="AG194" s="611">
        <v>40</v>
      </c>
      <c r="AH194" s="611">
        <v>46</v>
      </c>
      <c r="AI194" s="611">
        <v>0</v>
      </c>
      <c r="AJ194" s="611">
        <v>0</v>
      </c>
      <c r="AK194" s="611"/>
      <c r="AL194" s="611"/>
      <c r="AM194" s="643"/>
      <c r="AN194" s="556">
        <v>0.75</v>
      </c>
      <c r="AO194" s="556">
        <v>0.75</v>
      </c>
      <c r="AP194"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94" s="565">
        <f>WWWW[[#This Row],[%Equitable and continuous access to sufficient quantity of safe drinking water]]*WWWW[[#This Row],[Total PoP ]]</f>
        <v>2652</v>
      </c>
      <c r="AR19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94" s="565">
        <f>WWWW[[#This Row],[% Access to unimproved water points]]*WWWW[[#This Row],[Total PoP ]]</f>
        <v>2652</v>
      </c>
      <c r="AT19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2652</v>
      </c>
      <c r="AV194" s="565">
        <f>WWWW[[#This Row],[HRP1]]/250</f>
        <v>10.608000000000001</v>
      </c>
      <c r="AW194" s="555">
        <f>1-WWWW[[#This Row],[% Equitable and continuous access to sufficient quantity of domestic water]]</f>
        <v>0</v>
      </c>
      <c r="AX194" s="565">
        <f>WWWW[[#This Row],[%equitable and continuous access to sufficient quantity of safe drinking and domestic water''s GAP]]*WWWW[[#This Row],[Total PoP ]]</f>
        <v>0</v>
      </c>
      <c r="AY194" s="557">
        <f>IF(WWWW[[#This Row],[Total required water points]]-WWWW[[#This Row],['#Water points coverage]]&lt;0,0,WWWW[[#This Row],[Total required water points]]-WWWW[[#This Row],['#Water points coverage]])</f>
        <v>0.39199999999999946</v>
      </c>
      <c r="AZ194" s="557">
        <f>ROUND(IF(WWWW[[#This Row],[Total PoP ]]&lt;250,1,WWWW[[#This Row],[Total PoP ]]/250),0)</f>
        <v>11</v>
      </c>
      <c r="BA194"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0.13574660633484162</v>
      </c>
      <c r="BB194" s="565">
        <f>WWWW[[#This Row],[% people access to functioning Latrine]]*WWWW[[#This Row],[Total PoP ]]</f>
        <v>360</v>
      </c>
      <c r="BC194" s="421">
        <f>WWWW[[#This Row],['#_of_Functioning_latrines_in_school]]*50</f>
        <v>0</v>
      </c>
      <c r="BD194" s="557">
        <f>ROUND((WWWW[[#This Row],[Total PoP ]]/6),0)</f>
        <v>442</v>
      </c>
      <c r="BE194" s="421">
        <f>IF(WWWW[[#This Row],[Total required Latrines]]-(WWWW[[#This Row],['#_of_sanitary_fly-proof_HH_latrines]])&lt;0,0,WWWW[[#This Row],[Total required Latrines]]-(WWWW[[#This Row],['#_of_sanitary_fly-proof_HH_latrines]]))</f>
        <v>382</v>
      </c>
      <c r="BF194" s="563">
        <f>1-WWWW[[#This Row],[% people access to functioning Latrine]]</f>
        <v>0.86425339366515841</v>
      </c>
      <c r="BG19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606</v>
      </c>
      <c r="BH194" s="565">
        <f>IF(WWWW[[#This Row],['#_of_functional_handwashing_facilities_at_HH_level]]*6&gt;WWWW[[#This Row],[Total PoP ]],WWWW[[#This Row],[Total PoP ]],WWWW[[#This Row],['#_of_functional_handwashing_facilities_at_HH_level]]*6)</f>
        <v>0</v>
      </c>
      <c r="BI194" s="557">
        <f>IF(WWWW[[#This Row],['# people reached by regular dedicated hygiene promotion]]&gt;WWWW[[#This Row],['# People received regular supply of hygiene items]],WWWW[[#This Row],['# people reached by regular dedicated hygiene promotion]],WWWW[[#This Row],['# People received regular supply of hygiene items]])</f>
        <v>606</v>
      </c>
      <c r="BJ194" s="555">
        <f>IF(WWWW[[#This Row],[HRP3]]/WWWW[[#This Row],[Total PoP ]]&gt;100%,100%,WWWW[[#This Row],[HRP3]]/WWWW[[#This Row],[Total PoP ]])</f>
        <v>0.22850678733031674</v>
      </c>
      <c r="BK194" s="558">
        <f>1-WWWW[[#This Row],[Hygiene Coverage%]]</f>
        <v>0.77149321266968329</v>
      </c>
      <c r="BL194" s="556">
        <f>WWWW[[#This Row],['# people reached by regular dedicated hygiene promotion]]/WWWW[[#This Row],[Total PoP ]]</f>
        <v>0.22850678733031674</v>
      </c>
      <c r="BM19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4" s="557">
        <f>WWWW[[#This Row],['#_of_affected_women_and_girls_receiving_a_sufficient_quantity_of_sanitary_pads]]</f>
        <v>0</v>
      </c>
      <c r="BO194" s="611">
        <f>IF(WWWW[[#This Row],['# People with access to soap]]&gt;WWWW[[#This Row],['# People with access to Sanity Pads]],WWWW[[#This Row],['# People with access to soap]],WWWW[[#This Row],['# People with access to Sanity Pads]])</f>
        <v>0</v>
      </c>
      <c r="BP194" s="458" t="str">
        <f>IF(OR(WWWW[[#This Row],['#of students in school]]="",WWWW[[#This Row],['#of students in school]]=0),"No","Yes")</f>
        <v>Yes</v>
      </c>
      <c r="BQ194" s="559" t="str">
        <f>VLOOKUP(WWWW[[#This Row],[Village  Name]],SiteDB6[[Site Name]:[Location Type 1]],9,FALSE)</f>
        <v>Village</v>
      </c>
      <c r="BR194" s="559" t="str">
        <f>VLOOKUP(WWWW[[#This Row],[Village  Name]],SiteDB6[[Site Name]:[Type of Accommodation]],10,FALSE)</f>
        <v>Village</v>
      </c>
      <c r="BS194" s="559" t="str">
        <f>VLOOKUP(WWWW[[#This Row],[Village  Name]],SiteDB6[[Site Name]:[Ethnic or GCA/NGCA]],11,FALSE)</f>
        <v>Muslim</v>
      </c>
      <c r="BT194" s="559">
        <f>VLOOKUP(WWWW[[#This Row],[Village  Name]],SiteDB6[[Site Name]:[Lat]],12,FALSE)</f>
        <v>20.775840759277301</v>
      </c>
      <c r="BU194" s="559">
        <f>VLOOKUP(WWWW[[#This Row],[Village  Name]],SiteDB6[[Site Name]:[Long]],13,FALSE)</f>
        <v>92.613082885742202</v>
      </c>
      <c r="BV194" s="559">
        <f>VLOOKUP(WWWW[[#This Row],[Village  Name]],SiteDB6[[Site Name]:[Pcode]],3,FALSE)</f>
        <v>198407</v>
      </c>
      <c r="BW194" s="587" t="str">
        <f t="shared" si="7"/>
        <v>Covered</v>
      </c>
      <c r="BX194" s="587"/>
      <c r="BY194" s="33"/>
      <c r="CA194" s="431"/>
      <c r="CB194" s="33"/>
      <c r="CC194" s="36"/>
      <c r="CE194" s="37"/>
      <c r="CN194" s="20"/>
    </row>
    <row r="195" spans="1:92" hidden="1">
      <c r="A195" s="612" t="s">
        <v>2380</v>
      </c>
      <c r="B195" s="551" t="s">
        <v>2864</v>
      </c>
      <c r="C195" s="551" t="s">
        <v>371</v>
      </c>
      <c r="D195" s="551" t="s">
        <v>236</v>
      </c>
      <c r="E195" s="551" t="s">
        <v>2686</v>
      </c>
      <c r="F195" s="551" t="s">
        <v>307</v>
      </c>
      <c r="G195" s="596" t="str">
        <f>VLOOKUP(WWWW[[#This Row],[Village  Name]],SiteDB6[[Site Name]:[Location Type]],8,FALSE)</f>
        <v>Village</v>
      </c>
      <c r="H195" s="822" t="s">
        <v>2054</v>
      </c>
      <c r="I195" s="615">
        <v>150</v>
      </c>
      <c r="J195" s="565">
        <v>626</v>
      </c>
      <c r="K195" s="562">
        <v>43221</v>
      </c>
      <c r="L195" s="562">
        <v>43677</v>
      </c>
      <c r="M195" s="611">
        <v>100</v>
      </c>
      <c r="N195" s="611">
        <v>0</v>
      </c>
      <c r="O195" s="611">
        <v>0</v>
      </c>
      <c r="P195" s="611">
        <v>6</v>
      </c>
      <c r="Q195" s="611">
        <v>0</v>
      </c>
      <c r="R195" s="611">
        <v>0</v>
      </c>
      <c r="S195" s="611">
        <v>0</v>
      </c>
      <c r="T195" s="643"/>
      <c r="U195" s="611">
        <v>82</v>
      </c>
      <c r="V195" s="611" t="s">
        <v>128</v>
      </c>
      <c r="W195" s="611">
        <v>0</v>
      </c>
      <c r="X195" s="611">
        <v>0</v>
      </c>
      <c r="Y195" s="611">
        <v>0</v>
      </c>
      <c r="Z195" s="611">
        <v>0</v>
      </c>
      <c r="AA195" s="611">
        <v>0</v>
      </c>
      <c r="AB195" s="643"/>
      <c r="AC195" s="611">
        <v>88</v>
      </c>
      <c r="AD195" s="611">
        <v>65</v>
      </c>
      <c r="AE195" s="611">
        <v>45</v>
      </c>
      <c r="AF195" s="611">
        <v>30</v>
      </c>
      <c r="AG195" s="611">
        <v>39</v>
      </c>
      <c r="AH195" s="611">
        <v>28</v>
      </c>
      <c r="AI195" s="611">
        <v>0</v>
      </c>
      <c r="AJ195" s="611">
        <v>1</v>
      </c>
      <c r="AK195" s="611"/>
      <c r="AL195" s="611"/>
      <c r="AM195" s="643"/>
      <c r="AN195" s="556">
        <v>0.7</v>
      </c>
      <c r="AO195" s="556">
        <v>0.7</v>
      </c>
      <c r="AP195"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195" s="565">
        <f>WWWW[[#This Row],[%Equitable and continuous access to sufficient quantity of safe drinking water]]*WWWW[[#This Row],[Total PoP ]]</f>
        <v>626</v>
      </c>
      <c r="AR19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195" s="565">
        <f>WWWW[[#This Row],[% Access to unimproved water points]]*WWWW[[#This Row],[Total PoP ]]</f>
        <v>0</v>
      </c>
      <c r="AT19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626</v>
      </c>
      <c r="AV195" s="565">
        <f>WWWW[[#This Row],[HRP1]]/250</f>
        <v>2.504</v>
      </c>
      <c r="AW195" s="555">
        <f>1-WWWW[[#This Row],[% Equitable and continuous access to sufficient quantity of domestic water]]</f>
        <v>0</v>
      </c>
      <c r="AX195" s="565">
        <f>WWWW[[#This Row],[%equitable and continuous access to sufficient quantity of safe drinking and domestic water''s GAP]]*WWWW[[#This Row],[Total PoP ]]</f>
        <v>0</v>
      </c>
      <c r="AY195" s="557">
        <f>IF(WWWW[[#This Row],[Total required water points]]-WWWW[[#This Row],['#Water points coverage]]&lt;0,0,WWWW[[#This Row],[Total required water points]]-WWWW[[#This Row],['#Water points coverage]])</f>
        <v>0.496</v>
      </c>
      <c r="AZ195" s="557">
        <f>ROUND(IF(WWWW[[#This Row],[Total PoP ]]&lt;250,1,WWWW[[#This Row],[Total PoP ]]/250),0)</f>
        <v>3</v>
      </c>
      <c r="BA195"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0.78594249201277955</v>
      </c>
      <c r="BB195" s="565">
        <f>WWWW[[#This Row],[% people access to functioning Latrine]]*WWWW[[#This Row],[Total PoP ]]</f>
        <v>492</v>
      </c>
      <c r="BC195" s="421">
        <f>WWWW[[#This Row],['#_of_Functioning_latrines_in_school]]*50</f>
        <v>0</v>
      </c>
      <c r="BD195" s="557">
        <f>ROUND((WWWW[[#This Row],[Total PoP ]]/6),0)</f>
        <v>104</v>
      </c>
      <c r="BE195" s="421">
        <f>IF(WWWW[[#This Row],[Total required Latrines]]-(WWWW[[#This Row],['#_of_sanitary_fly-proof_HH_latrines]])&lt;0,0,WWWW[[#This Row],[Total required Latrines]]-(WWWW[[#This Row],['#_of_sanitary_fly-proof_HH_latrines]]))</f>
        <v>22</v>
      </c>
      <c r="BF195" s="563">
        <f>1-WWWW[[#This Row],[% people access to functioning Latrine]]</f>
        <v>0.21405750798722045</v>
      </c>
      <c r="BG19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295</v>
      </c>
      <c r="BH195" s="565">
        <f>IF(WWWW[[#This Row],['#_of_functional_handwashing_facilities_at_HH_level]]*6&gt;WWWW[[#This Row],[Total PoP ]],WWWW[[#This Row],[Total PoP ]],WWWW[[#This Row],['#_of_functional_handwashing_facilities_at_HH_level]]*6)</f>
        <v>0</v>
      </c>
      <c r="BI195" s="557">
        <f>IF(WWWW[[#This Row],['# people reached by regular dedicated hygiene promotion]]&gt;WWWW[[#This Row],['# People received regular supply of hygiene items]],WWWW[[#This Row],['# people reached by regular dedicated hygiene promotion]],WWWW[[#This Row],['# People received regular supply of hygiene items]])</f>
        <v>295</v>
      </c>
      <c r="BJ195" s="555">
        <f>IF(WWWW[[#This Row],[HRP3]]/WWWW[[#This Row],[Total PoP ]]&gt;100%,100%,WWWW[[#This Row],[HRP3]]/WWWW[[#This Row],[Total PoP ]])</f>
        <v>0.47124600638977637</v>
      </c>
      <c r="BK195" s="558">
        <f>1-WWWW[[#This Row],[Hygiene Coverage%]]</f>
        <v>0.52875399361022368</v>
      </c>
      <c r="BL195" s="556">
        <f>WWWW[[#This Row],['# people reached by regular dedicated hygiene promotion]]/WWWW[[#This Row],[Total PoP ]]</f>
        <v>0.47124600638977637</v>
      </c>
      <c r="BM19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5" s="557">
        <f>WWWW[[#This Row],['#_of_affected_women_and_girls_receiving_a_sufficient_quantity_of_sanitary_pads]]</f>
        <v>0</v>
      </c>
      <c r="BO195" s="611">
        <f>IF(WWWW[[#This Row],['# People with access to soap]]&gt;WWWW[[#This Row],['# People with access to Sanity Pads]],WWWW[[#This Row],['# People with access to soap]],WWWW[[#This Row],['# People with access to Sanity Pads]])</f>
        <v>0</v>
      </c>
      <c r="BP195" s="458" t="str">
        <f>IF(OR(WWWW[[#This Row],['#of students in school]]="",WWWW[[#This Row],['#of students in school]]=0),"No","Yes")</f>
        <v>Yes</v>
      </c>
      <c r="BQ195" s="559" t="str">
        <f>VLOOKUP(WWWW[[#This Row],[Village  Name]],SiteDB6[[Site Name]:[Location Type 1]],9,FALSE)</f>
        <v>Village</v>
      </c>
      <c r="BR195" s="559" t="str">
        <f>VLOOKUP(WWWW[[#This Row],[Village  Name]],SiteDB6[[Site Name]:[Type of Accommodation]],10,FALSE)</f>
        <v>Village</v>
      </c>
      <c r="BS195" s="559" t="str">
        <f>VLOOKUP(WWWW[[#This Row],[Village  Name]],SiteDB6[[Site Name]:[Ethnic or GCA/NGCA]],11,FALSE)</f>
        <v>Muslim</v>
      </c>
      <c r="BT195" s="559">
        <f>VLOOKUP(WWWW[[#This Row],[Village  Name]],SiteDB6[[Site Name]:[Lat]],12,FALSE)</f>
        <v>20.900329589999998</v>
      </c>
      <c r="BU195" s="559">
        <f>VLOOKUP(WWWW[[#This Row],[Village  Name]],SiteDB6[[Site Name]:[Long]],13,FALSE)</f>
        <v>92.362213130000001</v>
      </c>
      <c r="BV195" s="559">
        <f>VLOOKUP(WWWW[[#This Row],[Village  Name]],SiteDB6[[Site Name]:[Pcode]],3,FALSE)</f>
        <v>197957</v>
      </c>
      <c r="BW195" s="587" t="str">
        <f t="shared" si="7"/>
        <v>Covered</v>
      </c>
      <c r="BX195" s="587"/>
      <c r="BY195" s="33"/>
      <c r="CA195" s="431"/>
      <c r="CB195" s="33"/>
      <c r="CC195" s="36"/>
      <c r="CE195" s="37"/>
      <c r="CN195" s="20"/>
    </row>
    <row r="196" spans="1:92" hidden="1">
      <c r="A196" s="612" t="s">
        <v>2380</v>
      </c>
      <c r="B196" s="551" t="s">
        <v>2864</v>
      </c>
      <c r="C196" s="551" t="s">
        <v>371</v>
      </c>
      <c r="D196" s="551" t="s">
        <v>236</v>
      </c>
      <c r="E196" s="551" t="s">
        <v>2686</v>
      </c>
      <c r="F196" s="551" t="s">
        <v>321</v>
      </c>
      <c r="G196" s="596" t="str">
        <f>VLOOKUP(WWWW[[#This Row],[Village  Name]],SiteDB6[[Site Name]:[Location Type]],8,FALSE)</f>
        <v>village</v>
      </c>
      <c r="H196" s="822" t="s">
        <v>2714</v>
      </c>
      <c r="I196" s="614">
        <v>192</v>
      </c>
      <c r="J196" s="565">
        <v>1690</v>
      </c>
      <c r="K196" s="562">
        <v>43221</v>
      </c>
      <c r="L196" s="562">
        <v>43677</v>
      </c>
      <c r="M196" s="611">
        <v>190</v>
      </c>
      <c r="N196" s="611">
        <v>30</v>
      </c>
      <c r="O196" s="611">
        <v>0</v>
      </c>
      <c r="P196" s="611">
        <v>0</v>
      </c>
      <c r="Q196" s="611">
        <v>2</v>
      </c>
      <c r="R196" s="611">
        <v>0</v>
      </c>
      <c r="S196" s="611">
        <v>0</v>
      </c>
      <c r="T196" s="643"/>
      <c r="U196" s="611">
        <v>94</v>
      </c>
      <c r="V196" s="611" t="s">
        <v>128</v>
      </c>
      <c r="W196" s="611">
        <v>0</v>
      </c>
      <c r="X196" s="611">
        <v>0</v>
      </c>
      <c r="Y196" s="611">
        <v>0</v>
      </c>
      <c r="Z196" s="611">
        <v>0</v>
      </c>
      <c r="AA196" s="611">
        <v>0</v>
      </c>
      <c r="AB196" s="643"/>
      <c r="AC196" s="611">
        <v>156</v>
      </c>
      <c r="AD196" s="611">
        <v>97</v>
      </c>
      <c r="AE196" s="611">
        <v>48</v>
      </c>
      <c r="AF196" s="611">
        <v>51</v>
      </c>
      <c r="AG196" s="611">
        <v>30</v>
      </c>
      <c r="AH196" s="611">
        <v>43</v>
      </c>
      <c r="AI196" s="611">
        <v>0</v>
      </c>
      <c r="AJ196" s="611">
        <v>0</v>
      </c>
      <c r="AK196" s="611"/>
      <c r="AL196" s="611"/>
      <c r="AM196" s="643"/>
      <c r="AN196" s="556">
        <v>0.6</v>
      </c>
      <c r="AO196" s="556">
        <v>0.6</v>
      </c>
      <c r="AP196"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96" s="565">
        <f>WWWW[[#This Row],[%Equitable and continuous access to sufficient quantity of safe drinking water]]*WWWW[[#This Row],[Total PoP ]]</f>
        <v>0</v>
      </c>
      <c r="AR19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96" s="565">
        <f>WWWW[[#This Row],[% Access to unimproved water points]]*WWWW[[#This Row],[Total PoP ]]</f>
        <v>1690</v>
      </c>
      <c r="AT19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v>
      </c>
      <c r="AV196" s="565">
        <f>WWWW[[#This Row],[HRP1]]/250</f>
        <v>6.76</v>
      </c>
      <c r="AW196" s="555">
        <f>1-WWWW[[#This Row],[% Equitable and continuous access to sufficient quantity of domestic water]]</f>
        <v>0</v>
      </c>
      <c r="AX196" s="565">
        <f>WWWW[[#This Row],[%equitable and continuous access to sufficient quantity of safe drinking and domestic water''s GAP]]*WWWW[[#This Row],[Total PoP ]]</f>
        <v>0</v>
      </c>
      <c r="AY196" s="557">
        <f>IF(WWWW[[#This Row],[Total required water points]]-WWWW[[#This Row],['#Water points coverage]]&lt;0,0,WWWW[[#This Row],[Total required water points]]-WWWW[[#This Row],['#Water points coverage]])</f>
        <v>0.24000000000000021</v>
      </c>
      <c r="AZ196" s="557">
        <f>ROUND(IF(WWWW[[#This Row],[Total PoP ]]&lt;250,1,WWWW[[#This Row],[Total PoP ]]/250),0)</f>
        <v>7</v>
      </c>
      <c r="BA196"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0.33372781065088758</v>
      </c>
      <c r="BB196" s="565">
        <f>WWWW[[#This Row],[% people access to functioning Latrine]]*WWWW[[#This Row],[Total PoP ]]</f>
        <v>564</v>
      </c>
      <c r="BC196" s="421">
        <f>WWWW[[#This Row],['#_of_Functioning_latrines_in_school]]*50</f>
        <v>0</v>
      </c>
      <c r="BD196" s="557">
        <f>ROUND((WWWW[[#This Row],[Total PoP ]]/6),0)</f>
        <v>282</v>
      </c>
      <c r="BE196" s="421">
        <f>IF(WWWW[[#This Row],[Total required Latrines]]-(WWWW[[#This Row],['#_of_sanitary_fly-proof_HH_latrines]])&lt;0,0,WWWW[[#This Row],[Total required Latrines]]-(WWWW[[#This Row],['#_of_sanitary_fly-proof_HH_latrines]]))</f>
        <v>188</v>
      </c>
      <c r="BF196" s="563">
        <f>1-WWWW[[#This Row],[% people access to functioning Latrine]]</f>
        <v>0.66627218934911236</v>
      </c>
      <c r="BG19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425</v>
      </c>
      <c r="BH196" s="565">
        <f>IF(WWWW[[#This Row],['#_of_functional_handwashing_facilities_at_HH_level]]*6&gt;WWWW[[#This Row],[Total PoP ]],WWWW[[#This Row],[Total PoP ]],WWWW[[#This Row],['#_of_functional_handwashing_facilities_at_HH_level]]*6)</f>
        <v>0</v>
      </c>
      <c r="BI196" s="557">
        <f>IF(WWWW[[#This Row],['# people reached by regular dedicated hygiene promotion]]&gt;WWWW[[#This Row],['# People received regular supply of hygiene items]],WWWW[[#This Row],['# people reached by regular dedicated hygiene promotion]],WWWW[[#This Row],['# People received regular supply of hygiene items]])</f>
        <v>425</v>
      </c>
      <c r="BJ196" s="555">
        <f>IF(WWWW[[#This Row],[HRP3]]/WWWW[[#This Row],[Total PoP ]]&gt;100%,100%,WWWW[[#This Row],[HRP3]]/WWWW[[#This Row],[Total PoP ]])</f>
        <v>0.25147928994082841</v>
      </c>
      <c r="BK196" s="558">
        <f>1-WWWW[[#This Row],[Hygiene Coverage%]]</f>
        <v>0.74852071005917153</v>
      </c>
      <c r="BL196" s="556">
        <f>WWWW[[#This Row],['# people reached by regular dedicated hygiene promotion]]/WWWW[[#This Row],[Total PoP ]]</f>
        <v>0.25147928994082841</v>
      </c>
      <c r="BM19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6" s="557">
        <f>WWWW[[#This Row],['#_of_affected_women_and_girls_receiving_a_sufficient_quantity_of_sanitary_pads]]</f>
        <v>0</v>
      </c>
      <c r="BO196" s="611">
        <f>IF(WWWW[[#This Row],['# People with access to soap]]&gt;WWWW[[#This Row],['# People with access to Sanity Pads]],WWWW[[#This Row],['# People with access to soap]],WWWW[[#This Row],['# People with access to Sanity Pads]])</f>
        <v>0</v>
      </c>
      <c r="BP196" s="458" t="str">
        <f>IF(OR(WWWW[[#This Row],['#of students in school]]="",WWWW[[#This Row],['#of students in school]]=0),"No","Yes")</f>
        <v>Yes</v>
      </c>
      <c r="BQ196" s="559" t="str">
        <f>VLOOKUP(WWWW[[#This Row],[Village  Name]],SiteDB6[[Site Name]:[Location Type 1]],9,FALSE)</f>
        <v>village</v>
      </c>
      <c r="BR196" s="559" t="str">
        <f>VLOOKUP(WWWW[[#This Row],[Village  Name]],SiteDB6[[Site Name]:[Type of Accommodation]],10,FALSE)</f>
        <v>village</v>
      </c>
      <c r="BS196" s="559" t="str">
        <f>VLOOKUP(WWWW[[#This Row],[Village  Name]],SiteDB6[[Site Name]:[Ethnic or GCA/NGCA]],11,FALSE)</f>
        <v>Muslim</v>
      </c>
      <c r="BT196" s="559">
        <f>VLOOKUP(WWWW[[#This Row],[Village  Name]],SiteDB6[[Site Name]:[Lat]],12,FALSE)</f>
        <v>20.741249079999999</v>
      </c>
      <c r="BU196" s="559">
        <f>VLOOKUP(WWWW[[#This Row],[Village  Name]],SiteDB6[[Site Name]:[Long]],13,FALSE)</f>
        <v>92.610519409999995</v>
      </c>
      <c r="BV196" s="559">
        <f>VLOOKUP(WWWW[[#This Row],[Village  Name]],SiteDB6[[Site Name]:[Pcode]],3,FALSE)</f>
        <v>198398</v>
      </c>
      <c r="BW196" s="587" t="str">
        <f t="shared" si="7"/>
        <v>Covered</v>
      </c>
      <c r="BX196" s="587"/>
      <c r="BY196" s="33"/>
      <c r="CA196" s="431"/>
      <c r="CB196" s="33"/>
      <c r="CC196" s="36"/>
      <c r="CE196" s="37"/>
      <c r="CN196" s="20"/>
    </row>
    <row r="197" spans="1:92" hidden="1">
      <c r="A197" s="612" t="s">
        <v>2380</v>
      </c>
      <c r="B197" s="551" t="s">
        <v>2864</v>
      </c>
      <c r="C197" s="551" t="s">
        <v>371</v>
      </c>
      <c r="D197" s="551" t="s">
        <v>236</v>
      </c>
      <c r="E197" s="551" t="s">
        <v>2686</v>
      </c>
      <c r="F197" s="551" t="s">
        <v>321</v>
      </c>
      <c r="G197" s="596" t="str">
        <f>VLOOKUP(WWWW[[#This Row],[Village  Name]],SiteDB6[[Site Name]:[Location Type]],8,FALSE)</f>
        <v>Village</v>
      </c>
      <c r="H197" s="822" t="s">
        <v>578</v>
      </c>
      <c r="I197" s="614">
        <v>80</v>
      </c>
      <c r="J197" s="565">
        <v>300</v>
      </c>
      <c r="K197" s="562">
        <v>43221</v>
      </c>
      <c r="L197" s="562">
        <v>43677</v>
      </c>
      <c r="M197" s="611">
        <v>40</v>
      </c>
      <c r="N197" s="611">
        <v>30</v>
      </c>
      <c r="O197" s="611">
        <v>0</v>
      </c>
      <c r="P197" s="611">
        <v>0</v>
      </c>
      <c r="Q197" s="611">
        <v>2</v>
      </c>
      <c r="R197" s="611">
        <v>0</v>
      </c>
      <c r="S197" s="611">
        <v>0</v>
      </c>
      <c r="T197" s="643"/>
      <c r="U197" s="611">
        <v>60</v>
      </c>
      <c r="V197" s="611" t="s">
        <v>128</v>
      </c>
      <c r="W197" s="611">
        <v>0</v>
      </c>
      <c r="X197" s="611">
        <v>0</v>
      </c>
      <c r="Y197" s="611">
        <v>0</v>
      </c>
      <c r="Z197" s="611">
        <v>0</v>
      </c>
      <c r="AA197" s="611">
        <v>0</v>
      </c>
      <c r="AB197" s="643"/>
      <c r="AC197" s="611">
        <v>59</v>
      </c>
      <c r="AD197" s="611">
        <v>60</v>
      </c>
      <c r="AE197" s="611">
        <v>37</v>
      </c>
      <c r="AF197" s="611">
        <v>41</v>
      </c>
      <c r="AG197" s="611">
        <v>29</v>
      </c>
      <c r="AH197" s="611">
        <v>34</v>
      </c>
      <c r="AI197" s="611">
        <v>0</v>
      </c>
      <c r="AJ197" s="611">
        <v>0</v>
      </c>
      <c r="AK197" s="611"/>
      <c r="AL197" s="611"/>
      <c r="AM197" s="643"/>
      <c r="AN197" s="556">
        <v>0.7</v>
      </c>
      <c r="AO197" s="556">
        <v>0.7</v>
      </c>
      <c r="AP197"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97" s="565">
        <f>WWWW[[#This Row],[%Equitable and continuous access to sufficient quantity of safe drinking water]]*WWWW[[#This Row],[Total PoP ]]</f>
        <v>0</v>
      </c>
      <c r="AR19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97" s="565">
        <f>WWWW[[#This Row],[% Access to unimproved water points]]*WWWW[[#This Row],[Total PoP ]]</f>
        <v>300</v>
      </c>
      <c r="AT19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AV197" s="565">
        <f>WWWW[[#This Row],[HRP1]]/250</f>
        <v>1.2</v>
      </c>
      <c r="AW197" s="555">
        <f>1-WWWW[[#This Row],[% Equitable and continuous access to sufficient quantity of domestic water]]</f>
        <v>0</v>
      </c>
      <c r="AX197" s="565">
        <f>WWWW[[#This Row],[%equitable and continuous access to sufficient quantity of safe drinking and domestic water''s GAP]]*WWWW[[#This Row],[Total PoP ]]</f>
        <v>0</v>
      </c>
      <c r="AY197" s="557">
        <f>IF(WWWW[[#This Row],[Total required water points]]-WWWW[[#This Row],['#Water points coverage]]&lt;0,0,WWWW[[#This Row],[Total required water points]]-WWWW[[#This Row],['#Water points coverage]])</f>
        <v>0</v>
      </c>
      <c r="AZ197" s="557">
        <f>ROUND(IF(WWWW[[#This Row],[Total PoP ]]&lt;250,1,WWWW[[#This Row],[Total PoP ]]/250),0)</f>
        <v>1</v>
      </c>
      <c r="BA197"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197" s="565">
        <f>WWWW[[#This Row],[% people access to functioning Latrine]]*WWWW[[#This Row],[Total PoP ]]</f>
        <v>300</v>
      </c>
      <c r="BC197" s="421">
        <f>WWWW[[#This Row],['#_of_Functioning_latrines_in_school]]*50</f>
        <v>0</v>
      </c>
      <c r="BD197" s="557">
        <f>ROUND((WWWW[[#This Row],[Total PoP ]]/6),0)</f>
        <v>50</v>
      </c>
      <c r="BE197" s="421">
        <f>IF(WWWW[[#This Row],[Total required Latrines]]-(WWWW[[#This Row],['#_of_sanitary_fly-proof_HH_latrines]])&lt;0,0,WWWW[[#This Row],[Total required Latrines]]-(WWWW[[#This Row],['#_of_sanitary_fly-proof_HH_latrines]]))</f>
        <v>0</v>
      </c>
      <c r="BF197" s="563">
        <f>1-WWWW[[#This Row],[% people access to functioning Latrine]]</f>
        <v>0</v>
      </c>
      <c r="BG19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260</v>
      </c>
      <c r="BH197" s="565">
        <f>IF(WWWW[[#This Row],['#_of_functional_handwashing_facilities_at_HH_level]]*6&gt;WWWW[[#This Row],[Total PoP ]],WWWW[[#This Row],[Total PoP ]],WWWW[[#This Row],['#_of_functional_handwashing_facilities_at_HH_level]]*6)</f>
        <v>0</v>
      </c>
      <c r="BI197" s="557">
        <f>IF(WWWW[[#This Row],['# people reached by regular dedicated hygiene promotion]]&gt;WWWW[[#This Row],['# People received regular supply of hygiene items]],WWWW[[#This Row],['# people reached by regular dedicated hygiene promotion]],WWWW[[#This Row],['# People received regular supply of hygiene items]])</f>
        <v>260</v>
      </c>
      <c r="BJ197" s="555">
        <f>IF(WWWW[[#This Row],[HRP3]]/WWWW[[#This Row],[Total PoP ]]&gt;100%,100%,WWWW[[#This Row],[HRP3]]/WWWW[[#This Row],[Total PoP ]])</f>
        <v>0.8666666666666667</v>
      </c>
      <c r="BK197" s="558">
        <f>1-WWWW[[#This Row],[Hygiene Coverage%]]</f>
        <v>0.1333333333333333</v>
      </c>
      <c r="BL197" s="556">
        <f>WWWW[[#This Row],['# people reached by regular dedicated hygiene promotion]]/WWWW[[#This Row],[Total PoP ]]</f>
        <v>0.8666666666666667</v>
      </c>
      <c r="BM19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7" s="557">
        <f>WWWW[[#This Row],['#_of_affected_women_and_girls_receiving_a_sufficient_quantity_of_sanitary_pads]]</f>
        <v>0</v>
      </c>
      <c r="BO197" s="611">
        <f>IF(WWWW[[#This Row],['# People with access to soap]]&gt;WWWW[[#This Row],['# People with access to Sanity Pads]],WWWW[[#This Row],['# People with access to soap]],WWWW[[#This Row],['# People with access to Sanity Pads]])</f>
        <v>0</v>
      </c>
      <c r="BP197" s="458" t="str">
        <f>IF(OR(WWWW[[#This Row],['#of students in school]]="",WWWW[[#This Row],['#of students in school]]=0),"No","Yes")</f>
        <v>Yes</v>
      </c>
      <c r="BQ197" s="559" t="str">
        <f>VLOOKUP(WWWW[[#This Row],[Village  Name]],SiteDB6[[Site Name]:[Location Type 1]],9,FALSE)</f>
        <v>Village</v>
      </c>
      <c r="BR197" s="559" t="str">
        <f>VLOOKUP(WWWW[[#This Row],[Village  Name]],SiteDB6[[Site Name]:[Type of Accommodation]],10,FALSE)</f>
        <v>Village</v>
      </c>
      <c r="BS197" s="559" t="str">
        <f>VLOOKUP(WWWW[[#This Row],[Village  Name]],SiteDB6[[Site Name]:[Ethnic or GCA/NGCA]],11,FALSE)</f>
        <v>Rakhine</v>
      </c>
      <c r="BT197" s="559">
        <f>VLOOKUP(WWWW[[#This Row],[Village  Name]],SiteDB6[[Site Name]:[Lat]],12,FALSE)</f>
        <v>20.739839549999999</v>
      </c>
      <c r="BU197" s="559">
        <f>VLOOKUP(WWWW[[#This Row],[Village  Name]],SiteDB6[[Site Name]:[Long]],13,FALSE)</f>
        <v>92.613456729999996</v>
      </c>
      <c r="BV197" s="559">
        <f>VLOOKUP(WWWW[[#This Row],[Village  Name]],SiteDB6[[Site Name]:[Pcode]],3,FALSE)</f>
        <v>198399</v>
      </c>
      <c r="BW197" s="587" t="str">
        <f t="shared" si="7"/>
        <v>Covered</v>
      </c>
      <c r="BX197" s="587"/>
      <c r="BY197" s="33"/>
      <c r="CA197" s="431"/>
      <c r="CB197" s="33"/>
      <c r="CC197" s="36"/>
      <c r="CE197" s="37"/>
      <c r="CN197" s="20"/>
    </row>
    <row r="198" spans="1:92" hidden="1">
      <c r="A198" s="612" t="s">
        <v>2380</v>
      </c>
      <c r="B198" s="551" t="s">
        <v>2864</v>
      </c>
      <c r="C198" s="551" t="s">
        <v>371</v>
      </c>
      <c r="D198" s="551" t="s">
        <v>236</v>
      </c>
      <c r="E198" s="551" t="s">
        <v>2686</v>
      </c>
      <c r="F198" s="551" t="s">
        <v>321</v>
      </c>
      <c r="G198" s="596" t="str">
        <f>VLOOKUP(WWWW[[#This Row],[Village  Name]],SiteDB6[[Site Name]:[Location Type]],8,FALSE)</f>
        <v>Village</v>
      </c>
      <c r="H198" s="821" t="s">
        <v>940</v>
      </c>
      <c r="I198" s="614">
        <v>20</v>
      </c>
      <c r="J198" s="565">
        <v>96</v>
      </c>
      <c r="K198" s="562">
        <v>43221</v>
      </c>
      <c r="L198" s="562">
        <v>43677</v>
      </c>
      <c r="M198" s="611">
        <v>30</v>
      </c>
      <c r="N198" s="611">
        <v>0</v>
      </c>
      <c r="O198" s="611">
        <v>0</v>
      </c>
      <c r="P198" s="611">
        <v>0</v>
      </c>
      <c r="Q198" s="611">
        <v>1</v>
      </c>
      <c r="R198" s="611">
        <v>0</v>
      </c>
      <c r="S198" s="611"/>
      <c r="T198" s="643"/>
      <c r="U198" s="611">
        <v>17</v>
      </c>
      <c r="V198" s="611" t="s">
        <v>128</v>
      </c>
      <c r="W198" s="611">
        <v>0</v>
      </c>
      <c r="X198" s="611">
        <v>0</v>
      </c>
      <c r="Y198" s="611">
        <v>0</v>
      </c>
      <c r="Z198" s="611">
        <v>0</v>
      </c>
      <c r="AA198" s="611">
        <v>0</v>
      </c>
      <c r="AB198" s="643"/>
      <c r="AC198" s="611">
        <v>19</v>
      </c>
      <c r="AD198" s="611">
        <v>15</v>
      </c>
      <c r="AE198" s="611">
        <v>10</v>
      </c>
      <c r="AF198" s="611">
        <v>9</v>
      </c>
      <c r="AG198" s="611">
        <v>9</v>
      </c>
      <c r="AH198" s="611">
        <v>7</v>
      </c>
      <c r="AI198" s="611">
        <v>0</v>
      </c>
      <c r="AJ198" s="611">
        <v>0</v>
      </c>
      <c r="AK198" s="611"/>
      <c r="AL198" s="611"/>
      <c r="AM198" s="643"/>
      <c r="AN198" s="556">
        <v>0.7</v>
      </c>
      <c r="AO198" s="556">
        <v>0.7</v>
      </c>
      <c r="AP198"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198" s="565">
        <f>WWWW[[#This Row],[%Equitable and continuous access to sufficient quantity of safe drinking water]]*WWWW[[#This Row],[Total PoP ]]</f>
        <v>0</v>
      </c>
      <c r="AR19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98" s="565">
        <f>WWWW[[#This Row],[% Access to unimproved water points]]*WWWW[[#This Row],[Total PoP ]]</f>
        <v>96</v>
      </c>
      <c r="AT19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v>
      </c>
      <c r="AV198" s="565">
        <f>WWWW[[#This Row],[HRP1]]/250</f>
        <v>0.38400000000000001</v>
      </c>
      <c r="AW198" s="555">
        <f>1-WWWW[[#This Row],[% Equitable and continuous access to sufficient quantity of domestic water]]</f>
        <v>0</v>
      </c>
      <c r="AX198" s="565">
        <f>WWWW[[#This Row],[%equitable and continuous access to sufficient quantity of safe drinking and domestic water''s GAP]]*WWWW[[#This Row],[Total PoP ]]</f>
        <v>0</v>
      </c>
      <c r="AY198" s="557">
        <f>IF(WWWW[[#This Row],[Total required water points]]-WWWW[[#This Row],['#Water points coverage]]&lt;0,0,WWWW[[#This Row],[Total required water points]]-WWWW[[#This Row],['#Water points coverage]])</f>
        <v>0.61599999999999999</v>
      </c>
      <c r="AZ198" s="557">
        <f>ROUND(IF(WWWW[[#This Row],[Total PoP ]]&lt;250,1,WWWW[[#This Row],[Total PoP ]]/250),0)</f>
        <v>1</v>
      </c>
      <c r="BA198" s="46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198" s="565">
        <f>WWWW[[#This Row],[% people access to functioning Latrine]]*WWWW[[#This Row],[Total PoP ]]</f>
        <v>96</v>
      </c>
      <c r="BC198" s="421">
        <f>WWWW[[#This Row],['#_of_Functioning_latrines_in_school]]*50</f>
        <v>0</v>
      </c>
      <c r="BD198" s="557">
        <f>ROUND((WWWW[[#This Row],[Total PoP ]]/6),0)</f>
        <v>16</v>
      </c>
      <c r="BE198" s="421">
        <f>IF(WWWW[[#This Row],[Total required Latrines]]-(WWWW[[#This Row],['#_of_sanitary_fly-proof_HH_latrines]])&lt;0,0,WWWW[[#This Row],[Total required Latrines]]-(WWWW[[#This Row],['#_of_sanitary_fly-proof_HH_latrines]]))</f>
        <v>0</v>
      </c>
      <c r="BF198" s="563">
        <f>1-WWWW[[#This Row],[% people access to functioning Latrine]]</f>
        <v>0</v>
      </c>
      <c r="BG19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69</v>
      </c>
      <c r="BH198" s="565">
        <f>IF(WWWW[[#This Row],['#_of_functional_handwashing_facilities_at_HH_level]]*6&gt;WWWW[[#This Row],[Total PoP ]],WWWW[[#This Row],[Total PoP ]],WWWW[[#This Row],['#_of_functional_handwashing_facilities_at_HH_level]]*6)</f>
        <v>0</v>
      </c>
      <c r="BI198" s="557">
        <f>IF(WWWW[[#This Row],['# people reached by regular dedicated hygiene promotion]]&gt;WWWW[[#This Row],['# People received regular supply of hygiene items]],WWWW[[#This Row],['# people reached by regular dedicated hygiene promotion]],WWWW[[#This Row],['# People received regular supply of hygiene items]])</f>
        <v>69</v>
      </c>
      <c r="BJ198" s="555">
        <f>IF(WWWW[[#This Row],[HRP3]]/WWWW[[#This Row],[Total PoP ]]&gt;100%,100%,WWWW[[#This Row],[HRP3]]/WWWW[[#This Row],[Total PoP ]])</f>
        <v>0.71875</v>
      </c>
      <c r="BK198" s="558">
        <f>1-WWWW[[#This Row],[Hygiene Coverage%]]</f>
        <v>0.28125</v>
      </c>
      <c r="BL198" s="556">
        <f>WWWW[[#This Row],['# people reached by regular dedicated hygiene promotion]]/WWWW[[#This Row],[Total PoP ]]</f>
        <v>0.71875</v>
      </c>
      <c r="BM19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8" s="557">
        <f>WWWW[[#This Row],['#_of_affected_women_and_girls_receiving_a_sufficient_quantity_of_sanitary_pads]]</f>
        <v>0</v>
      </c>
      <c r="BO198" s="611">
        <f>IF(WWWW[[#This Row],['# People with access to soap]]&gt;WWWW[[#This Row],['# People with access to Sanity Pads]],WWWW[[#This Row],['# People with access to soap]],WWWW[[#This Row],['# People with access to Sanity Pads]])</f>
        <v>0</v>
      </c>
      <c r="BP198" s="458" t="str">
        <f>IF(OR(WWWW[[#This Row],['#of students in school]]="",WWWW[[#This Row],['#of students in school]]=0),"No","Yes")</f>
        <v>Yes</v>
      </c>
      <c r="BQ198" s="559" t="str">
        <f>VLOOKUP(WWWW[[#This Row],[Village  Name]],SiteDB6[[Site Name]:[Location Type 1]],9,FALSE)</f>
        <v>Village</v>
      </c>
      <c r="BR198" s="559" t="str">
        <f>VLOOKUP(WWWW[[#This Row],[Village  Name]],SiteDB6[[Site Name]:[Type of Accommodation]],10,FALSE)</f>
        <v>Village</v>
      </c>
      <c r="BS198" s="559">
        <f>VLOOKUP(WWWW[[#This Row],[Village  Name]],SiteDB6[[Site Name]:[Ethnic or GCA/NGCA]],11,FALSE)</f>
        <v>0</v>
      </c>
      <c r="BT198" s="559">
        <f>VLOOKUP(WWWW[[#This Row],[Village  Name]],SiteDB6[[Site Name]:[Lat]],12,FALSE)</f>
        <v>0</v>
      </c>
      <c r="BU198" s="559">
        <f>VLOOKUP(WWWW[[#This Row],[Village  Name]],SiteDB6[[Site Name]:[Long]],13,FALSE)</f>
        <v>0</v>
      </c>
      <c r="BV198" s="559">
        <f>VLOOKUP(WWWW[[#This Row],[Village  Name]],SiteDB6[[Site Name]:[Pcode]],3,FALSE)</f>
        <v>0</v>
      </c>
      <c r="BW198" s="587" t="str">
        <f t="shared" si="7"/>
        <v>Covered</v>
      </c>
      <c r="BX198" s="587"/>
      <c r="BY198" s="33"/>
      <c r="CA198" s="431"/>
      <c r="CB198" s="33"/>
      <c r="CC198" s="36"/>
      <c r="CE198" s="37"/>
      <c r="CN198" s="20"/>
    </row>
    <row r="199" spans="1:92" hidden="1">
      <c r="A199" s="612" t="s">
        <v>2380</v>
      </c>
      <c r="B199" s="551" t="s">
        <v>2864</v>
      </c>
      <c r="C199" s="551" t="s">
        <v>371</v>
      </c>
      <c r="D199" s="551" t="s">
        <v>236</v>
      </c>
      <c r="E199" s="551" t="s">
        <v>2686</v>
      </c>
      <c r="F199" s="551" t="s">
        <v>321</v>
      </c>
      <c r="G199" s="596" t="str">
        <f>VLOOKUP(WWWW[[#This Row],[Village  Name]],SiteDB6[[Site Name]:[Location Type]],8,FALSE)</f>
        <v>Village</v>
      </c>
      <c r="H199" s="821" t="s">
        <v>2859</v>
      </c>
      <c r="I199" s="614">
        <v>311</v>
      </c>
      <c r="J199" s="564">
        <v>1713</v>
      </c>
      <c r="K199" s="562">
        <v>43221</v>
      </c>
      <c r="L199" s="562">
        <v>43677</v>
      </c>
      <c r="M199" s="611">
        <v>335</v>
      </c>
      <c r="N199" s="611">
        <v>0</v>
      </c>
      <c r="O199" s="610">
        <v>0</v>
      </c>
      <c r="P199" s="610">
        <v>0</v>
      </c>
      <c r="Q199" s="610">
        <v>2</v>
      </c>
      <c r="R199" s="610">
        <v>1</v>
      </c>
      <c r="S199" s="610">
        <v>1</v>
      </c>
      <c r="T199" s="644"/>
      <c r="U199" s="610">
        <v>50</v>
      </c>
      <c r="V199" s="611" t="s">
        <v>128</v>
      </c>
      <c r="W199" s="611">
        <v>2</v>
      </c>
      <c r="X199" s="611">
        <v>0</v>
      </c>
      <c r="Y199" s="611">
        <v>0</v>
      </c>
      <c r="Z199" s="611">
        <v>0</v>
      </c>
      <c r="AA199" s="610">
        <v>0</v>
      </c>
      <c r="AB199" s="644"/>
      <c r="AC199" s="611">
        <v>200</v>
      </c>
      <c r="AD199" s="611">
        <v>50</v>
      </c>
      <c r="AE199" s="611">
        <v>66</v>
      </c>
      <c r="AF199" s="611">
        <v>70</v>
      </c>
      <c r="AG199" s="611">
        <v>50</v>
      </c>
      <c r="AH199" s="610">
        <v>40</v>
      </c>
      <c r="AI199" s="610">
        <v>0</v>
      </c>
      <c r="AJ199" s="610">
        <v>1</v>
      </c>
      <c r="AK199" s="610"/>
      <c r="AL199" s="610"/>
      <c r="AM199" s="644"/>
      <c r="AN199" s="556">
        <v>0.8</v>
      </c>
      <c r="AO199" s="556">
        <v>0.8</v>
      </c>
      <c r="AP199"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0.14594279042615294</v>
      </c>
      <c r="AQ199" s="565">
        <f>WWWW[[#This Row],[%Equitable and continuous access to sufficient quantity of safe drinking water]]*WWWW[[#This Row],[Total PoP ]]</f>
        <v>249.99999999999997</v>
      </c>
      <c r="AR19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199" s="565">
        <f>WWWW[[#This Row],[% Access to unimproved water points]]*WWWW[[#This Row],[Total PoP ]]</f>
        <v>1713</v>
      </c>
      <c r="AT19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19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1713</v>
      </c>
      <c r="AV199" s="565">
        <f>WWWW[[#This Row],[HRP1]]/250</f>
        <v>6.8520000000000003</v>
      </c>
      <c r="AW199" s="555">
        <f>1-WWWW[[#This Row],[% Equitable and continuous access to sufficient quantity of domestic water]]</f>
        <v>0</v>
      </c>
      <c r="AX199" s="565">
        <f>WWWW[[#This Row],[%equitable and continuous access to sufficient quantity of safe drinking and domestic water''s GAP]]*WWWW[[#This Row],[Total PoP ]]</f>
        <v>0</v>
      </c>
      <c r="AY199" s="557">
        <f>IF(WWWW[[#This Row],[Total required water points]]-WWWW[[#This Row],['#Water points coverage]]&lt;0,0,WWWW[[#This Row],[Total required water points]]-WWWW[[#This Row],['#Water points coverage]])</f>
        <v>0.14799999999999969</v>
      </c>
      <c r="AZ199" s="557">
        <f>ROUND(IF(WWWW[[#This Row],[Total PoP ]]&lt;250,1,WWWW[[#This Row],[Total PoP ]]/250),0)</f>
        <v>7</v>
      </c>
      <c r="BA199"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0.23350846468184472</v>
      </c>
      <c r="BB199" s="565">
        <f>WWWW[[#This Row],[% people access to functioning Latrine]]*WWWW[[#This Row],[Total PoP ]]</f>
        <v>400</v>
      </c>
      <c r="BC199" s="421">
        <f>WWWW[[#This Row],['#_of_Functioning_latrines_in_school]]*50</f>
        <v>100</v>
      </c>
      <c r="BD199" s="557">
        <f>ROUND((WWWW[[#This Row],[Total PoP ]]/6),0)</f>
        <v>286</v>
      </c>
      <c r="BE199" s="421">
        <f>IF(WWWW[[#This Row],[Total required Latrines]]-(WWWW[[#This Row],['#_of_sanitary_fly-proof_HH_latrines]])&lt;0,0,WWWW[[#This Row],[Total required Latrines]]-(WWWW[[#This Row],['#_of_sanitary_fly-proof_HH_latrines]]))</f>
        <v>236</v>
      </c>
      <c r="BF199" s="563">
        <f>1-WWWW[[#This Row],[% people access to functioning Latrine]]</f>
        <v>0.76649153531815528</v>
      </c>
      <c r="BG19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476</v>
      </c>
      <c r="BH199" s="565">
        <f>IF(WWWW[[#This Row],['#_of_functional_handwashing_facilities_at_HH_level]]*6&gt;WWWW[[#This Row],[Total PoP ]],WWWW[[#This Row],[Total PoP ]],WWWW[[#This Row],['#_of_functional_handwashing_facilities_at_HH_level]]*6)</f>
        <v>0</v>
      </c>
      <c r="BI199" s="557">
        <f>IF(WWWW[[#This Row],['# people reached by regular dedicated hygiene promotion]]&gt;WWWW[[#This Row],['# People received regular supply of hygiene items]],WWWW[[#This Row],['# people reached by regular dedicated hygiene promotion]],WWWW[[#This Row],['# People received regular supply of hygiene items]])</f>
        <v>476</v>
      </c>
      <c r="BJ199" s="555">
        <f>IF(WWWW[[#This Row],[HRP3]]/WWWW[[#This Row],[Total PoP ]]&gt;100%,100%,WWWW[[#This Row],[HRP3]]/WWWW[[#This Row],[Total PoP ]])</f>
        <v>0.27787507297139519</v>
      </c>
      <c r="BK199" s="558">
        <f>1-WWWW[[#This Row],[Hygiene Coverage%]]</f>
        <v>0.72212492702860476</v>
      </c>
      <c r="BL199" s="556">
        <f>WWWW[[#This Row],['# people reached by regular dedicated hygiene promotion]]/WWWW[[#This Row],[Total PoP ]]</f>
        <v>0.27787507297139519</v>
      </c>
      <c r="BM19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199" s="557">
        <f>WWWW[[#This Row],['#_of_affected_women_and_girls_receiving_a_sufficient_quantity_of_sanitary_pads]]</f>
        <v>0</v>
      </c>
      <c r="BO199" s="611">
        <f>IF(WWWW[[#This Row],['# People with access to soap]]&gt;WWWW[[#This Row],['# People with access to Sanity Pads]],WWWW[[#This Row],['# People with access to soap]],WWWW[[#This Row],['# People with access to Sanity Pads]])</f>
        <v>0</v>
      </c>
      <c r="BP199" s="458" t="str">
        <f>IF(OR(WWWW[[#This Row],['#of students in school]]="",WWWW[[#This Row],['#of students in school]]=0),"No","Yes")</f>
        <v>Yes</v>
      </c>
      <c r="BQ199" s="559" t="str">
        <f>VLOOKUP(WWWW[[#This Row],[Village  Name]],SiteDB6[[Site Name]:[Location Type 1]],9,FALSE)</f>
        <v>Village</v>
      </c>
      <c r="BR199" s="559" t="str">
        <f>VLOOKUP(WWWW[[#This Row],[Village  Name]],SiteDB6[[Site Name]:[Type of Accommodation]],10,FALSE)</f>
        <v>Village</v>
      </c>
      <c r="BS199" s="559">
        <f>VLOOKUP(WWWW[[#This Row],[Village  Name]],SiteDB6[[Site Name]:[Ethnic or GCA/NGCA]],11,FALSE)</f>
        <v>0</v>
      </c>
      <c r="BT199" s="559">
        <f>VLOOKUP(WWWW[[#This Row],[Village  Name]],SiteDB6[[Site Name]:[Lat]],12,FALSE)</f>
        <v>0</v>
      </c>
      <c r="BU199" s="559">
        <f>VLOOKUP(WWWW[[#This Row],[Village  Name]],SiteDB6[[Site Name]:[Long]],13,FALSE)</f>
        <v>0</v>
      </c>
      <c r="BV199" s="559">
        <f>VLOOKUP(WWWW[[#This Row],[Village  Name]],SiteDB6[[Site Name]:[Pcode]],3,FALSE)</f>
        <v>0</v>
      </c>
      <c r="BW199" s="587" t="str">
        <f t="shared" si="7"/>
        <v>Covered</v>
      </c>
      <c r="BX199" s="587"/>
      <c r="BY199" s="33"/>
      <c r="CA199" s="431"/>
      <c r="CB199" s="33"/>
      <c r="CC199" s="36"/>
      <c r="CE199" s="37"/>
      <c r="CN199" s="20"/>
    </row>
    <row r="200" spans="1:92" hidden="1">
      <c r="A200" s="612" t="s">
        <v>2380</v>
      </c>
      <c r="B200" s="551" t="s">
        <v>2864</v>
      </c>
      <c r="C200" s="551" t="s">
        <v>371</v>
      </c>
      <c r="D200" s="551" t="s">
        <v>236</v>
      </c>
      <c r="E200" s="551" t="s">
        <v>2686</v>
      </c>
      <c r="F200" s="551" t="s">
        <v>321</v>
      </c>
      <c r="G200" s="596" t="str">
        <f>VLOOKUP(WWWW[[#This Row],[Village  Name]],SiteDB6[[Site Name]:[Location Type]],8,FALSE)</f>
        <v>Village</v>
      </c>
      <c r="H200" s="821" t="s">
        <v>2865</v>
      </c>
      <c r="I200" s="614">
        <v>250</v>
      </c>
      <c r="J200" s="565">
        <v>1012</v>
      </c>
      <c r="K200" s="562">
        <v>43221</v>
      </c>
      <c r="L200" s="562">
        <v>43677</v>
      </c>
      <c r="M200" s="611">
        <v>732</v>
      </c>
      <c r="N200" s="611">
        <v>90</v>
      </c>
      <c r="O200" s="611">
        <v>3</v>
      </c>
      <c r="P200" s="611">
        <v>0</v>
      </c>
      <c r="Q200" s="611">
        <v>2</v>
      </c>
      <c r="R200" s="611">
        <v>1</v>
      </c>
      <c r="S200" s="611">
        <v>1</v>
      </c>
      <c r="T200" s="643"/>
      <c r="U200" s="611">
        <v>150</v>
      </c>
      <c r="V200" s="611" t="s">
        <v>41</v>
      </c>
      <c r="W200" s="611">
        <v>4</v>
      </c>
      <c r="X200" s="611">
        <v>0</v>
      </c>
      <c r="Y200" s="611">
        <v>0</v>
      </c>
      <c r="Z200" s="611">
        <v>0</v>
      </c>
      <c r="AA200" s="611">
        <v>0</v>
      </c>
      <c r="AB200" s="643"/>
      <c r="AC200" s="611">
        <v>0</v>
      </c>
      <c r="AD200" s="611">
        <v>0</v>
      </c>
      <c r="AE200" s="611">
        <v>0</v>
      </c>
      <c r="AF200" s="611">
        <v>0</v>
      </c>
      <c r="AG200" s="611">
        <v>0</v>
      </c>
      <c r="AH200" s="611">
        <v>0</v>
      </c>
      <c r="AI200" s="611">
        <v>0</v>
      </c>
      <c r="AJ200" s="611">
        <v>0</v>
      </c>
      <c r="AK200" s="611"/>
      <c r="AL200" s="611"/>
      <c r="AM200" s="643"/>
      <c r="AN200" s="651">
        <v>0.85</v>
      </c>
      <c r="AO200" s="651">
        <v>0.85</v>
      </c>
      <c r="AP200" s="556">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200" s="565">
        <f>WWWW[[#This Row],[%Equitable and continuous access to sufficient quantity of safe drinking water]]*WWWW[[#This Row],[Total PoP ]]</f>
        <v>1012</v>
      </c>
      <c r="AR20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00" s="565">
        <f>WWWW[[#This Row],[% Access to unimproved water points]]*WWWW[[#This Row],[Total PoP ]]</f>
        <v>1012</v>
      </c>
      <c r="AT20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0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1012</v>
      </c>
      <c r="AV200" s="565">
        <f>WWWW[[#This Row],[HRP1]]/250</f>
        <v>4.048</v>
      </c>
      <c r="AW200" s="555">
        <f>1-WWWW[[#This Row],[% Equitable and continuous access to sufficient quantity of domestic water]]</f>
        <v>0</v>
      </c>
      <c r="AX200" s="565">
        <f>WWWW[[#This Row],[%equitable and continuous access to sufficient quantity of safe drinking and domestic water''s GAP]]*WWWW[[#This Row],[Total PoP ]]</f>
        <v>0</v>
      </c>
      <c r="AY200" s="557">
        <f>IF(WWWW[[#This Row],[Total required water points]]-WWWW[[#This Row],['#Water points coverage]]&lt;0,0,WWWW[[#This Row],[Total required water points]]-WWWW[[#This Row],['#Water points coverage]])</f>
        <v>0</v>
      </c>
      <c r="AZ200" s="557">
        <f>ROUND(IF(WWWW[[#This Row],[Total PoP ]]&lt;250,1,WWWW[[#This Row],[Total PoP ]]/250),0)</f>
        <v>4</v>
      </c>
      <c r="BA20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200" s="565">
        <f>WWWW[[#This Row],[% people access to functioning Latrine]]*WWWW[[#This Row],[Total PoP ]]</f>
        <v>1012</v>
      </c>
      <c r="BC200" s="421">
        <f>WWWW[[#This Row],['#_of_Functioning_latrines_in_school]]*50</f>
        <v>200</v>
      </c>
      <c r="BD200" s="557">
        <f>ROUND((WWWW[[#This Row],[Total PoP ]]/6),0)</f>
        <v>169</v>
      </c>
      <c r="BE200" s="421">
        <f>IF(WWWW[[#This Row],[Total required Latrines]]-(WWWW[[#This Row],['#_of_sanitary_fly-proof_HH_latrines]])&lt;0,0,WWWW[[#This Row],[Total required Latrines]]-(WWWW[[#This Row],['#_of_sanitary_fly-proof_HH_latrines]]))</f>
        <v>19</v>
      </c>
      <c r="BF200" s="563">
        <f>1-WWWW[[#This Row],[% people access to functioning Latrine]]</f>
        <v>0</v>
      </c>
      <c r="BG20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0" s="565">
        <f>IF(WWWW[[#This Row],['#_of_functional_handwashing_facilities_at_HH_level]]*6&gt;WWWW[[#This Row],[Total PoP ]],WWWW[[#This Row],[Total PoP ]],WWWW[[#This Row],['#_of_functional_handwashing_facilities_at_HH_level]]*6)</f>
        <v>0</v>
      </c>
      <c r="BI200" s="557">
        <f>IF(WWWW[[#This Row],['# people reached by regular dedicated hygiene promotion]]&gt;WWWW[[#This Row],['# People received regular supply of hygiene items]],WWWW[[#This Row],['# people reached by regular dedicated hygiene promotion]],WWWW[[#This Row],['# People received regular supply of hygiene items]])</f>
        <v>0</v>
      </c>
      <c r="BJ200" s="555">
        <f>IF(WWWW[[#This Row],[HRP3]]/WWWW[[#This Row],[Total PoP ]]&gt;100%,100%,WWWW[[#This Row],[HRP3]]/WWWW[[#This Row],[Total PoP ]])</f>
        <v>0</v>
      </c>
      <c r="BK200" s="558">
        <f>1-WWWW[[#This Row],[Hygiene Coverage%]]</f>
        <v>1</v>
      </c>
      <c r="BL200" s="556">
        <f>WWWW[[#This Row],['# people reached by regular dedicated hygiene promotion]]/WWWW[[#This Row],[Total PoP ]]</f>
        <v>0</v>
      </c>
      <c r="BM20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0" s="557">
        <f>WWWW[[#This Row],['#_of_affected_women_and_girls_receiving_a_sufficient_quantity_of_sanitary_pads]]</f>
        <v>0</v>
      </c>
      <c r="BO200" s="611">
        <f>IF(WWWW[[#This Row],['# People with access to soap]]&gt;WWWW[[#This Row],['# People with access to Sanity Pads]],WWWW[[#This Row],['# People with access to soap]],WWWW[[#This Row],['# People with access to Sanity Pads]])</f>
        <v>0</v>
      </c>
      <c r="BP200" s="458" t="str">
        <f>IF(OR(WWWW[[#This Row],['#of students in school]]="",WWWW[[#This Row],['#of students in school]]=0),"No","Yes")</f>
        <v>Yes</v>
      </c>
      <c r="BQ200" s="559" t="str">
        <f>VLOOKUP(WWWW[[#This Row],[Village  Name]],SiteDB6[[Site Name]:[Location Type 1]],9,FALSE)</f>
        <v>Village</v>
      </c>
      <c r="BR200" s="559" t="str">
        <f>VLOOKUP(WWWW[[#This Row],[Village  Name]],SiteDB6[[Site Name]:[Type of Accommodation]],10,FALSE)</f>
        <v>Village</v>
      </c>
      <c r="BS200" s="559">
        <f>VLOOKUP(WWWW[[#This Row],[Village  Name]],SiteDB6[[Site Name]:[Ethnic or GCA/NGCA]],11,FALSE)</f>
        <v>0</v>
      </c>
      <c r="BT200" s="559">
        <f>VLOOKUP(WWWW[[#This Row],[Village  Name]],SiteDB6[[Site Name]:[Lat]],12,FALSE)</f>
        <v>20.735639572143601</v>
      </c>
      <c r="BU200" s="559">
        <f>VLOOKUP(WWWW[[#This Row],[Village  Name]],SiteDB6[[Site Name]:[Long]],13,FALSE)</f>
        <v>92.638076782226605</v>
      </c>
      <c r="BV200" s="559">
        <f>VLOOKUP(WWWW[[#This Row],[Village  Name]],SiteDB6[[Site Name]:[Pcode]],3,FALSE)</f>
        <v>198424</v>
      </c>
      <c r="BW200" s="587" t="str">
        <f t="shared" si="7"/>
        <v>Covered</v>
      </c>
      <c r="BX200" s="587"/>
      <c r="BY200" s="33"/>
      <c r="CA200" s="431"/>
      <c r="CB200" s="33"/>
      <c r="CC200" s="36"/>
      <c r="CE200" s="37"/>
      <c r="CN200" s="20"/>
    </row>
    <row r="201" spans="1:92" s="550" customFormat="1" hidden="1">
      <c r="A201" s="412" t="s">
        <v>2380</v>
      </c>
      <c r="B201" s="412" t="s">
        <v>320</v>
      </c>
      <c r="C201" s="418" t="s">
        <v>320</v>
      </c>
      <c r="D201" s="418" t="s">
        <v>336</v>
      </c>
      <c r="E201" s="551" t="s">
        <v>2687</v>
      </c>
      <c r="F201" s="418" t="s">
        <v>304</v>
      </c>
      <c r="G201" s="551" t="str">
        <f>VLOOKUP(WWWW[[#This Row],[Village  Name]],SiteDB6[[Site Name]:[Location Type]],8,FALSE)</f>
        <v>Village</v>
      </c>
      <c r="H201" s="418" t="s">
        <v>351</v>
      </c>
      <c r="I201" s="420">
        <v>73</v>
      </c>
      <c r="J201" s="420">
        <v>306</v>
      </c>
      <c r="K201" s="426">
        <v>42887</v>
      </c>
      <c r="L201" s="427">
        <v>43616</v>
      </c>
      <c r="M201" s="420"/>
      <c r="N201" s="420"/>
      <c r="O201" s="420"/>
      <c r="P201" s="420"/>
      <c r="Q201" s="420"/>
      <c r="R201" s="420"/>
      <c r="S201" s="420"/>
      <c r="T201" s="642"/>
      <c r="U201" s="420"/>
      <c r="V201" s="420"/>
      <c r="W201" s="420"/>
      <c r="X201" s="420"/>
      <c r="Y201" s="420"/>
      <c r="Z201" s="420"/>
      <c r="AA201" s="420"/>
      <c r="AB201" s="642"/>
      <c r="AC201" s="420"/>
      <c r="AD201" s="420"/>
      <c r="AE201" s="420"/>
      <c r="AF201" s="420"/>
      <c r="AG201" s="420"/>
      <c r="AH201" s="420"/>
      <c r="AI201" s="420"/>
      <c r="AJ201" s="420"/>
      <c r="AK201" s="420"/>
      <c r="AL201" s="420"/>
      <c r="AM201" s="642"/>
      <c r="AN201" s="420"/>
      <c r="AO201" s="420"/>
      <c r="AP20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1" s="419">
        <f>WWWW[[#This Row],[%Equitable and continuous access to sufficient quantity of safe drinking water]]*WWWW[[#This Row],[Total PoP ]]</f>
        <v>0</v>
      </c>
      <c r="AR20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1" s="419">
        <f>WWWW[[#This Row],[% Access to unimproved water points]]*WWWW[[#This Row],[Total PoP ]]</f>
        <v>0</v>
      </c>
      <c r="AT20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1" s="419">
        <f>WWWW[[#This Row],[HRP1]]/250</f>
        <v>0</v>
      </c>
      <c r="AW201" s="424">
        <f>1-WWWW[[#This Row],[% Equitable and continuous access to sufficient quantity of domestic water]]</f>
        <v>1</v>
      </c>
      <c r="AX201" s="419">
        <f>WWWW[[#This Row],[%equitable and continuous access to sufficient quantity of safe drinking and domestic water''s GAP]]*WWWW[[#This Row],[Total PoP ]]</f>
        <v>306</v>
      </c>
      <c r="AY201" s="421">
        <f>IF(WWWW[[#This Row],[Total required water points]]-WWWW[[#This Row],['#Water points coverage]]&lt;0,0,WWWW[[#This Row],[Total required water points]]-WWWW[[#This Row],['#Water points coverage]])</f>
        <v>1</v>
      </c>
      <c r="AZ201" s="421">
        <f>ROUND(IF(WWWW[[#This Row],[Total PoP ]]&lt;250,1,WWWW[[#This Row],[Total PoP ]]/250),0)</f>
        <v>1</v>
      </c>
      <c r="BA20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1" s="419">
        <f>WWWW[[#This Row],[% people access to functioning Latrine]]*WWWW[[#This Row],[Total PoP ]]</f>
        <v>0</v>
      </c>
      <c r="BC201" s="421">
        <f>WWWW[[#This Row],['#_of_Functioning_latrines_in_school]]*50</f>
        <v>0</v>
      </c>
      <c r="BD201" s="421">
        <f>ROUND((WWWW[[#This Row],[Total PoP ]]/6),0)</f>
        <v>51</v>
      </c>
      <c r="BE201" s="421">
        <f>IF(WWWW[[#This Row],[Total required Latrines]]-(WWWW[[#This Row],['#_of_sanitary_fly-proof_HH_latrines]])&lt;0,0,WWWW[[#This Row],[Total required Latrines]]-(WWWW[[#This Row],['#_of_sanitary_fly-proof_HH_latrines]]))</f>
        <v>51</v>
      </c>
      <c r="BF201" s="563">
        <f>1-WWWW[[#This Row],[% people access to functioning Latrine]]</f>
        <v>1</v>
      </c>
      <c r="BG20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1" s="419">
        <f>IF(WWWW[[#This Row],['#_of_functional_handwashing_facilities_at_HH_level]]*6&gt;WWWW[[#This Row],[Total PoP ]],WWWW[[#This Row],[Total PoP ]],WWWW[[#This Row],['#_of_functional_handwashing_facilities_at_HH_level]]*6)</f>
        <v>0</v>
      </c>
      <c r="BI201" s="421">
        <f>IF(WWWW[[#This Row],['# people reached by regular dedicated hygiene promotion]]&gt;WWWW[[#This Row],['# People received regular supply of hygiene items]],WWWW[[#This Row],['# people reached by regular dedicated hygiene promotion]],WWWW[[#This Row],['# People received regular supply of hygiene items]])</f>
        <v>0</v>
      </c>
      <c r="BJ201" s="424">
        <f>IF(WWWW[[#This Row],[HRP3]]/WWWW[[#This Row],[Total PoP ]]&gt;100%,100%,WWWW[[#This Row],[HRP3]]/WWWW[[#This Row],[Total PoP ]])</f>
        <v>0</v>
      </c>
      <c r="BK201" s="423">
        <f>1-WWWW[[#This Row],[Hygiene Coverage%]]</f>
        <v>1</v>
      </c>
      <c r="BL201" s="422">
        <f>WWWW[[#This Row],['# people reached by regular dedicated hygiene promotion]]/WWWW[[#This Row],[Total PoP ]]</f>
        <v>0</v>
      </c>
      <c r="BM20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1" s="421">
        <f>WWWW[[#This Row],['#_of_affected_women_and_girls_receiving_a_sufficient_quantity_of_sanitary_pads]]</f>
        <v>0</v>
      </c>
      <c r="BO201" s="420">
        <f>IF(WWWW[[#This Row],['# People with access to soap]]&gt;WWWW[[#This Row],['# People with access to Sanity Pads]],WWWW[[#This Row],['# People with access to soap]],WWWW[[#This Row],['# People with access to Sanity Pads]])</f>
        <v>0</v>
      </c>
      <c r="BP201" s="419" t="str">
        <f>IF(OR(WWWW[[#This Row],['#of students in school]]="",WWWW[[#This Row],['#of students in school]]=0),"No","Yes")</f>
        <v>No</v>
      </c>
      <c r="BQ201" s="417" t="str">
        <f>VLOOKUP(WWWW[[#This Row],[Village  Name]],SiteDB6[[Site Name]:[Location Type 1]],9,FALSE)</f>
        <v>Village</v>
      </c>
      <c r="BR201" s="417" t="str">
        <f>VLOOKUP(WWWW[[#This Row],[Village  Name]],SiteDB6[[Site Name]:[Type of Accommodation]],10,FALSE)</f>
        <v>Village</v>
      </c>
      <c r="BS201" s="417" t="str">
        <f>VLOOKUP(WWWW[[#This Row],[Village  Name]],SiteDB6[[Site Name]:[Ethnic or GCA/NGCA]],11,FALSE)</f>
        <v>Rakhine</v>
      </c>
      <c r="BT201" s="417">
        <f>VLOOKUP(WWWW[[#This Row],[Village  Name]],SiteDB6[[Site Name]:[Lat]],12,FALSE)</f>
        <v>0</v>
      </c>
      <c r="BU201" s="417">
        <f>VLOOKUP(WWWW[[#This Row],[Village  Name]],SiteDB6[[Site Name]:[Long]],13,FALSE)</f>
        <v>0</v>
      </c>
      <c r="BV201" s="417">
        <f>VLOOKUP(WWWW[[#This Row],[Village  Name]],SiteDB6[[Site Name]:[Pcode]],3,FALSE)</f>
        <v>0</v>
      </c>
      <c r="BW201" s="425" t="str">
        <f t="shared" si="6"/>
        <v>Covered</v>
      </c>
      <c r="BX201" s="425"/>
      <c r="BY201" s="552"/>
      <c r="BZ201" s="552"/>
      <c r="CA201" s="575"/>
      <c r="CB201" s="552"/>
      <c r="CC201" s="553"/>
      <c r="CD201" s="553"/>
      <c r="CE201" s="554"/>
      <c r="CF201" s="554"/>
      <c r="CG201" s="554"/>
      <c r="CH201" s="554"/>
      <c r="CI201" s="554"/>
      <c r="CJ201" s="554"/>
      <c r="CK201" s="554"/>
      <c r="CL201" s="554"/>
      <c r="CM201" s="554"/>
    </row>
    <row r="202" spans="1:92" s="550" customFormat="1" hidden="1">
      <c r="A202" s="412" t="s">
        <v>2380</v>
      </c>
      <c r="B202" s="412" t="s">
        <v>320</v>
      </c>
      <c r="C202" s="418" t="s">
        <v>320</v>
      </c>
      <c r="D202" s="418" t="s">
        <v>336</v>
      </c>
      <c r="E202" s="551" t="s">
        <v>2687</v>
      </c>
      <c r="F202" s="418" t="s">
        <v>304</v>
      </c>
      <c r="G202" s="551" t="str">
        <f>VLOOKUP(WWWW[[#This Row],[Village  Name]],SiteDB6[[Site Name]:[Location Type]],8,FALSE)</f>
        <v>Village</v>
      </c>
      <c r="H202" s="418" t="s">
        <v>2007</v>
      </c>
      <c r="I202" s="420">
        <v>168</v>
      </c>
      <c r="J202" s="420">
        <v>1002</v>
      </c>
      <c r="K202" s="426">
        <v>42887</v>
      </c>
      <c r="L202" s="427">
        <v>43616</v>
      </c>
      <c r="M202" s="420"/>
      <c r="N202" s="420"/>
      <c r="O202" s="420"/>
      <c r="P202" s="420"/>
      <c r="Q202" s="420"/>
      <c r="R202" s="420"/>
      <c r="S202" s="420"/>
      <c r="T202" s="642"/>
      <c r="U202" s="420"/>
      <c r="V202" s="420"/>
      <c r="W202" s="420"/>
      <c r="X202" s="420"/>
      <c r="Y202" s="420"/>
      <c r="Z202" s="420"/>
      <c r="AA202" s="420"/>
      <c r="AB202" s="642"/>
      <c r="AC202" s="420"/>
      <c r="AD202" s="420"/>
      <c r="AE202" s="420"/>
      <c r="AF202" s="420"/>
      <c r="AG202" s="420"/>
      <c r="AH202" s="420"/>
      <c r="AI202" s="420"/>
      <c r="AJ202" s="420"/>
      <c r="AK202" s="420"/>
      <c r="AL202" s="420"/>
      <c r="AM202" s="642"/>
      <c r="AN202" s="420"/>
      <c r="AO202" s="420"/>
      <c r="AP20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2" s="419">
        <f>WWWW[[#This Row],[%Equitable and continuous access to sufficient quantity of safe drinking water]]*WWWW[[#This Row],[Total PoP ]]</f>
        <v>0</v>
      </c>
      <c r="AR20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2" s="419">
        <f>WWWW[[#This Row],[% Access to unimproved water points]]*WWWW[[#This Row],[Total PoP ]]</f>
        <v>0</v>
      </c>
      <c r="AT20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2" s="419">
        <f>WWWW[[#This Row],[HRP1]]/250</f>
        <v>0</v>
      </c>
      <c r="AW202" s="424">
        <f>1-WWWW[[#This Row],[% Equitable and continuous access to sufficient quantity of domestic water]]</f>
        <v>1</v>
      </c>
      <c r="AX202" s="419">
        <f>WWWW[[#This Row],[%equitable and continuous access to sufficient quantity of safe drinking and domestic water''s GAP]]*WWWW[[#This Row],[Total PoP ]]</f>
        <v>1002</v>
      </c>
      <c r="AY202" s="421">
        <f>IF(WWWW[[#This Row],[Total required water points]]-WWWW[[#This Row],['#Water points coverage]]&lt;0,0,WWWW[[#This Row],[Total required water points]]-WWWW[[#This Row],['#Water points coverage]])</f>
        <v>4</v>
      </c>
      <c r="AZ202" s="421">
        <f>ROUND(IF(WWWW[[#This Row],[Total PoP ]]&lt;250,1,WWWW[[#This Row],[Total PoP ]]/250),0)</f>
        <v>4</v>
      </c>
      <c r="BA20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2" s="419">
        <f>WWWW[[#This Row],[% people access to functioning Latrine]]*WWWW[[#This Row],[Total PoP ]]</f>
        <v>0</v>
      </c>
      <c r="BC202" s="421">
        <f>WWWW[[#This Row],['#_of_Functioning_latrines_in_school]]*50</f>
        <v>0</v>
      </c>
      <c r="BD202" s="421">
        <f>ROUND((WWWW[[#This Row],[Total PoP ]]/6),0)</f>
        <v>167</v>
      </c>
      <c r="BE202" s="421">
        <f>IF(WWWW[[#This Row],[Total required Latrines]]-(WWWW[[#This Row],['#_of_sanitary_fly-proof_HH_latrines]])&lt;0,0,WWWW[[#This Row],[Total required Latrines]]-(WWWW[[#This Row],['#_of_sanitary_fly-proof_HH_latrines]]))</f>
        <v>167</v>
      </c>
      <c r="BF202" s="563">
        <f>1-WWWW[[#This Row],[% people access to functioning Latrine]]</f>
        <v>1</v>
      </c>
      <c r="BG20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2" s="419">
        <f>IF(WWWW[[#This Row],['#_of_functional_handwashing_facilities_at_HH_level]]*6&gt;WWWW[[#This Row],[Total PoP ]],WWWW[[#This Row],[Total PoP ]],WWWW[[#This Row],['#_of_functional_handwashing_facilities_at_HH_level]]*6)</f>
        <v>0</v>
      </c>
      <c r="BI202" s="421">
        <f>IF(WWWW[[#This Row],['# people reached by regular dedicated hygiene promotion]]&gt;WWWW[[#This Row],['# People received regular supply of hygiene items]],WWWW[[#This Row],['# people reached by regular dedicated hygiene promotion]],WWWW[[#This Row],['# People received regular supply of hygiene items]])</f>
        <v>0</v>
      </c>
      <c r="BJ202" s="424">
        <f>IF(WWWW[[#This Row],[HRP3]]/WWWW[[#This Row],[Total PoP ]]&gt;100%,100%,WWWW[[#This Row],[HRP3]]/WWWW[[#This Row],[Total PoP ]])</f>
        <v>0</v>
      </c>
      <c r="BK202" s="423">
        <f>1-WWWW[[#This Row],[Hygiene Coverage%]]</f>
        <v>1</v>
      </c>
      <c r="BL202" s="422">
        <f>WWWW[[#This Row],['# people reached by regular dedicated hygiene promotion]]/WWWW[[#This Row],[Total PoP ]]</f>
        <v>0</v>
      </c>
      <c r="BM20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2" s="421">
        <f>WWWW[[#This Row],['#_of_affected_women_and_girls_receiving_a_sufficient_quantity_of_sanitary_pads]]</f>
        <v>0</v>
      </c>
      <c r="BO202" s="420">
        <f>IF(WWWW[[#This Row],['# People with access to soap]]&gt;WWWW[[#This Row],['# People with access to Sanity Pads]],WWWW[[#This Row],['# People with access to soap]],WWWW[[#This Row],['# People with access to Sanity Pads]])</f>
        <v>0</v>
      </c>
      <c r="BP202" s="419" t="str">
        <f>IF(OR(WWWW[[#This Row],['#of students in school]]="",WWWW[[#This Row],['#of students in school]]=0),"No","Yes")</f>
        <v>No</v>
      </c>
      <c r="BQ202" s="417" t="str">
        <f>VLOOKUP(WWWW[[#This Row],[Village  Name]],SiteDB6[[Site Name]:[Location Type 1]],9,FALSE)</f>
        <v>Village</v>
      </c>
      <c r="BR202" s="417" t="str">
        <f>VLOOKUP(WWWW[[#This Row],[Village  Name]],SiteDB6[[Site Name]:[Type of Accommodation]],10,FALSE)</f>
        <v>Village</v>
      </c>
      <c r="BS202" s="417" t="str">
        <f>VLOOKUP(WWWW[[#This Row],[Village  Name]],SiteDB6[[Site Name]:[Ethnic or GCA/NGCA]],11,FALSE)</f>
        <v>Muslim</v>
      </c>
      <c r="BT202" s="417">
        <f>VLOOKUP(WWWW[[#This Row],[Village  Name]],SiteDB6[[Site Name]:[Lat]],12,FALSE)</f>
        <v>0</v>
      </c>
      <c r="BU202" s="417">
        <f>VLOOKUP(WWWW[[#This Row],[Village  Name]],SiteDB6[[Site Name]:[Long]],13,FALSE)</f>
        <v>0</v>
      </c>
      <c r="BV202" s="417">
        <f>VLOOKUP(WWWW[[#This Row],[Village  Name]],SiteDB6[[Site Name]:[Pcode]],3,FALSE)</f>
        <v>196818</v>
      </c>
      <c r="BW202" s="425" t="str">
        <f t="shared" si="6"/>
        <v>Covered</v>
      </c>
      <c r="BX202" s="425"/>
      <c r="BY202" s="552"/>
      <c r="BZ202" s="552"/>
      <c r="CA202" s="575"/>
      <c r="CB202" s="552"/>
      <c r="CC202" s="553"/>
      <c r="CD202" s="553"/>
      <c r="CE202" s="554"/>
      <c r="CF202" s="554"/>
      <c r="CG202" s="554"/>
      <c r="CH202" s="554"/>
      <c r="CI202" s="554"/>
      <c r="CJ202" s="554"/>
      <c r="CK202" s="554"/>
      <c r="CL202" s="554"/>
      <c r="CM202" s="554"/>
    </row>
    <row r="203" spans="1:92" s="550" customFormat="1" hidden="1">
      <c r="A203" s="412" t="s">
        <v>2380</v>
      </c>
      <c r="B203" s="412" t="s">
        <v>320</v>
      </c>
      <c r="C203" s="418" t="s">
        <v>320</v>
      </c>
      <c r="D203" s="418" t="s">
        <v>336</v>
      </c>
      <c r="E203" s="551" t="s">
        <v>2687</v>
      </c>
      <c r="F203" s="418" t="s">
        <v>304</v>
      </c>
      <c r="G203" s="551" t="str">
        <f>VLOOKUP(WWWW[[#This Row],[Village  Name]],SiteDB6[[Site Name]:[Location Type]],8,FALSE)</f>
        <v>Village</v>
      </c>
      <c r="H203" s="418" t="s">
        <v>2004</v>
      </c>
      <c r="I203" s="420">
        <v>45</v>
      </c>
      <c r="J203" s="420">
        <v>206</v>
      </c>
      <c r="K203" s="426">
        <v>42887</v>
      </c>
      <c r="L203" s="427">
        <v>43616</v>
      </c>
      <c r="M203" s="420"/>
      <c r="N203" s="420"/>
      <c r="O203" s="420"/>
      <c r="P203" s="420"/>
      <c r="Q203" s="420"/>
      <c r="R203" s="420"/>
      <c r="S203" s="420"/>
      <c r="T203" s="642"/>
      <c r="U203" s="420"/>
      <c r="V203" s="420"/>
      <c r="W203" s="420"/>
      <c r="X203" s="420"/>
      <c r="Y203" s="420"/>
      <c r="Z203" s="420"/>
      <c r="AA203" s="420"/>
      <c r="AB203" s="642"/>
      <c r="AC203" s="420"/>
      <c r="AD203" s="420"/>
      <c r="AE203" s="420"/>
      <c r="AF203" s="420"/>
      <c r="AG203" s="420"/>
      <c r="AH203" s="420"/>
      <c r="AI203" s="420"/>
      <c r="AJ203" s="420"/>
      <c r="AK203" s="420"/>
      <c r="AL203" s="420"/>
      <c r="AM203" s="642"/>
      <c r="AN203" s="420"/>
      <c r="AO203" s="420"/>
      <c r="AP20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3" s="419">
        <f>WWWW[[#This Row],[%Equitable and continuous access to sufficient quantity of safe drinking water]]*WWWW[[#This Row],[Total PoP ]]</f>
        <v>0</v>
      </c>
      <c r="AR20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3" s="419">
        <f>WWWW[[#This Row],[% Access to unimproved water points]]*WWWW[[#This Row],[Total PoP ]]</f>
        <v>0</v>
      </c>
      <c r="AT20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3" s="419">
        <f>WWWW[[#This Row],[HRP1]]/250</f>
        <v>0</v>
      </c>
      <c r="AW203" s="424">
        <f>1-WWWW[[#This Row],[% Equitable and continuous access to sufficient quantity of domestic water]]</f>
        <v>1</v>
      </c>
      <c r="AX203" s="419">
        <f>WWWW[[#This Row],[%equitable and continuous access to sufficient quantity of safe drinking and domestic water''s GAP]]*WWWW[[#This Row],[Total PoP ]]</f>
        <v>206</v>
      </c>
      <c r="AY203" s="421">
        <f>IF(WWWW[[#This Row],[Total required water points]]-WWWW[[#This Row],['#Water points coverage]]&lt;0,0,WWWW[[#This Row],[Total required water points]]-WWWW[[#This Row],['#Water points coverage]])</f>
        <v>1</v>
      </c>
      <c r="AZ203" s="421">
        <f>ROUND(IF(WWWW[[#This Row],[Total PoP ]]&lt;250,1,WWWW[[#This Row],[Total PoP ]]/250),0)</f>
        <v>1</v>
      </c>
      <c r="BA20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3" s="419">
        <f>WWWW[[#This Row],[% people access to functioning Latrine]]*WWWW[[#This Row],[Total PoP ]]</f>
        <v>0</v>
      </c>
      <c r="BC203" s="421">
        <f>WWWW[[#This Row],['#_of_Functioning_latrines_in_school]]*50</f>
        <v>0</v>
      </c>
      <c r="BD203" s="421">
        <f>ROUND((WWWW[[#This Row],[Total PoP ]]/6),0)</f>
        <v>34</v>
      </c>
      <c r="BE203" s="421">
        <f>IF(WWWW[[#This Row],[Total required Latrines]]-(WWWW[[#This Row],['#_of_sanitary_fly-proof_HH_latrines]])&lt;0,0,WWWW[[#This Row],[Total required Latrines]]-(WWWW[[#This Row],['#_of_sanitary_fly-proof_HH_latrines]]))</f>
        <v>34</v>
      </c>
      <c r="BF203" s="563">
        <f>1-WWWW[[#This Row],[% people access to functioning Latrine]]</f>
        <v>1</v>
      </c>
      <c r="BG20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3" s="419">
        <f>IF(WWWW[[#This Row],['#_of_functional_handwashing_facilities_at_HH_level]]*6&gt;WWWW[[#This Row],[Total PoP ]],WWWW[[#This Row],[Total PoP ]],WWWW[[#This Row],['#_of_functional_handwashing_facilities_at_HH_level]]*6)</f>
        <v>0</v>
      </c>
      <c r="BI203" s="421">
        <f>IF(WWWW[[#This Row],['# people reached by regular dedicated hygiene promotion]]&gt;WWWW[[#This Row],['# People received regular supply of hygiene items]],WWWW[[#This Row],['# people reached by regular dedicated hygiene promotion]],WWWW[[#This Row],['# People received regular supply of hygiene items]])</f>
        <v>0</v>
      </c>
      <c r="BJ203" s="424">
        <f>IF(WWWW[[#This Row],[HRP3]]/WWWW[[#This Row],[Total PoP ]]&gt;100%,100%,WWWW[[#This Row],[HRP3]]/WWWW[[#This Row],[Total PoP ]])</f>
        <v>0</v>
      </c>
      <c r="BK203" s="423">
        <f>1-WWWW[[#This Row],[Hygiene Coverage%]]</f>
        <v>1</v>
      </c>
      <c r="BL203" s="422">
        <f>WWWW[[#This Row],['# people reached by regular dedicated hygiene promotion]]/WWWW[[#This Row],[Total PoP ]]</f>
        <v>0</v>
      </c>
      <c r="BM20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3" s="421">
        <f>WWWW[[#This Row],['#_of_affected_women_and_girls_receiving_a_sufficient_quantity_of_sanitary_pads]]</f>
        <v>0</v>
      </c>
      <c r="BO203" s="420">
        <f>IF(WWWW[[#This Row],['# People with access to soap]]&gt;WWWW[[#This Row],['# People with access to Sanity Pads]],WWWW[[#This Row],['# People with access to soap]],WWWW[[#This Row],['# People with access to Sanity Pads]])</f>
        <v>0</v>
      </c>
      <c r="BP203" s="419" t="str">
        <f>IF(OR(WWWW[[#This Row],['#of students in school]]="",WWWW[[#This Row],['#of students in school]]=0),"No","Yes")</f>
        <v>No</v>
      </c>
      <c r="BQ203" s="417" t="str">
        <f>VLOOKUP(WWWW[[#This Row],[Village  Name]],SiteDB6[[Site Name]:[Location Type 1]],9,FALSE)</f>
        <v>Village</v>
      </c>
      <c r="BR203" s="417" t="str">
        <f>VLOOKUP(WWWW[[#This Row],[Village  Name]],SiteDB6[[Site Name]:[Type of Accommodation]],10,FALSE)</f>
        <v>Village</v>
      </c>
      <c r="BS203" s="417" t="str">
        <f>VLOOKUP(WWWW[[#This Row],[Village  Name]],SiteDB6[[Site Name]:[Ethnic or GCA/NGCA]],11,FALSE)</f>
        <v>Rakhine</v>
      </c>
      <c r="BT203" s="417">
        <f>VLOOKUP(WWWW[[#This Row],[Village  Name]],SiteDB6[[Site Name]:[Lat]],12,FALSE)</f>
        <v>20.879186630248999</v>
      </c>
      <c r="BU203" s="417">
        <f>VLOOKUP(WWWW[[#This Row],[Village  Name]],SiteDB6[[Site Name]:[Long]],13,FALSE)</f>
        <v>92.938163757324205</v>
      </c>
      <c r="BV203" s="417">
        <f>VLOOKUP(WWWW[[#This Row],[Village  Name]],SiteDB6[[Site Name]:[Pcode]],3,FALSE)</f>
        <v>196821</v>
      </c>
      <c r="BW203" s="425" t="str">
        <f t="shared" si="6"/>
        <v>Covered</v>
      </c>
      <c r="BX203" s="425"/>
      <c r="BY203" s="552"/>
      <c r="BZ203" s="552"/>
      <c r="CA203" s="575"/>
      <c r="CB203" s="552"/>
      <c r="CC203" s="553"/>
      <c r="CD203" s="553"/>
      <c r="CE203" s="554"/>
      <c r="CF203" s="554"/>
      <c r="CG203" s="554"/>
      <c r="CH203" s="554"/>
      <c r="CI203" s="554"/>
      <c r="CJ203" s="554"/>
      <c r="CK203" s="554"/>
      <c r="CL203" s="554"/>
      <c r="CM203" s="554"/>
    </row>
    <row r="204" spans="1:92" s="550" customFormat="1" hidden="1">
      <c r="A204" s="412" t="s">
        <v>2380</v>
      </c>
      <c r="B204" s="412" t="s">
        <v>320</v>
      </c>
      <c r="C204" s="418" t="s">
        <v>320</v>
      </c>
      <c r="D204" s="418" t="s">
        <v>336</v>
      </c>
      <c r="E204" s="551" t="s">
        <v>2687</v>
      </c>
      <c r="F204" s="418" t="s">
        <v>304</v>
      </c>
      <c r="G204" s="551" t="str">
        <f>VLOOKUP(WWWW[[#This Row],[Village  Name]],SiteDB6[[Site Name]:[Location Type]],8,FALSE)</f>
        <v>Village</v>
      </c>
      <c r="H204" s="418" t="s">
        <v>640</v>
      </c>
      <c r="I204" s="420">
        <v>513</v>
      </c>
      <c r="J204" s="420">
        <v>3224</v>
      </c>
      <c r="K204" s="426">
        <v>42887</v>
      </c>
      <c r="L204" s="427">
        <v>43616</v>
      </c>
      <c r="M204" s="420"/>
      <c r="N204" s="420"/>
      <c r="O204" s="420"/>
      <c r="P204" s="420"/>
      <c r="Q204" s="420"/>
      <c r="R204" s="420"/>
      <c r="S204" s="420"/>
      <c r="T204" s="642"/>
      <c r="U204" s="420"/>
      <c r="V204" s="420"/>
      <c r="W204" s="420"/>
      <c r="X204" s="420"/>
      <c r="Y204" s="420"/>
      <c r="Z204" s="420"/>
      <c r="AA204" s="420"/>
      <c r="AB204" s="642"/>
      <c r="AC204" s="420"/>
      <c r="AD204" s="420"/>
      <c r="AE204" s="420"/>
      <c r="AF204" s="420"/>
      <c r="AG204" s="420"/>
      <c r="AH204" s="420"/>
      <c r="AI204" s="420"/>
      <c r="AJ204" s="420"/>
      <c r="AK204" s="420"/>
      <c r="AL204" s="420"/>
      <c r="AM204" s="642"/>
      <c r="AN204" s="420"/>
      <c r="AO204" s="420"/>
      <c r="AP20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4" s="419">
        <f>WWWW[[#This Row],[%Equitable and continuous access to sufficient quantity of safe drinking water]]*WWWW[[#This Row],[Total PoP ]]</f>
        <v>0</v>
      </c>
      <c r="AR20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4" s="419">
        <f>WWWW[[#This Row],[% Access to unimproved water points]]*WWWW[[#This Row],[Total PoP ]]</f>
        <v>0</v>
      </c>
      <c r="AT20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4" s="419">
        <f>WWWW[[#This Row],[HRP1]]/250</f>
        <v>0</v>
      </c>
      <c r="AW204" s="424">
        <f>1-WWWW[[#This Row],[% Equitable and continuous access to sufficient quantity of domestic water]]</f>
        <v>1</v>
      </c>
      <c r="AX204" s="419">
        <f>WWWW[[#This Row],[%equitable and continuous access to sufficient quantity of safe drinking and domestic water''s GAP]]*WWWW[[#This Row],[Total PoP ]]</f>
        <v>3224</v>
      </c>
      <c r="AY204" s="421">
        <f>IF(WWWW[[#This Row],[Total required water points]]-WWWW[[#This Row],['#Water points coverage]]&lt;0,0,WWWW[[#This Row],[Total required water points]]-WWWW[[#This Row],['#Water points coverage]])</f>
        <v>13</v>
      </c>
      <c r="AZ204" s="421">
        <f>ROUND(IF(WWWW[[#This Row],[Total PoP ]]&lt;250,1,WWWW[[#This Row],[Total PoP ]]/250),0)</f>
        <v>13</v>
      </c>
      <c r="BA20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4" s="419">
        <f>WWWW[[#This Row],[% people access to functioning Latrine]]*WWWW[[#This Row],[Total PoP ]]</f>
        <v>0</v>
      </c>
      <c r="BC204" s="421">
        <f>WWWW[[#This Row],['#_of_Functioning_latrines_in_school]]*50</f>
        <v>0</v>
      </c>
      <c r="BD204" s="421">
        <f>ROUND((WWWW[[#This Row],[Total PoP ]]/6),0)</f>
        <v>537</v>
      </c>
      <c r="BE204" s="421">
        <f>IF(WWWW[[#This Row],[Total required Latrines]]-(WWWW[[#This Row],['#_of_sanitary_fly-proof_HH_latrines]])&lt;0,0,WWWW[[#This Row],[Total required Latrines]]-(WWWW[[#This Row],['#_of_sanitary_fly-proof_HH_latrines]]))</f>
        <v>537</v>
      </c>
      <c r="BF204" s="563">
        <f>1-WWWW[[#This Row],[% people access to functioning Latrine]]</f>
        <v>1</v>
      </c>
      <c r="BG20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4" s="419">
        <f>IF(WWWW[[#This Row],['#_of_functional_handwashing_facilities_at_HH_level]]*6&gt;WWWW[[#This Row],[Total PoP ]],WWWW[[#This Row],[Total PoP ]],WWWW[[#This Row],['#_of_functional_handwashing_facilities_at_HH_level]]*6)</f>
        <v>0</v>
      </c>
      <c r="BI204" s="421">
        <f>IF(WWWW[[#This Row],['# people reached by regular dedicated hygiene promotion]]&gt;WWWW[[#This Row],['# People received regular supply of hygiene items]],WWWW[[#This Row],['# people reached by regular dedicated hygiene promotion]],WWWW[[#This Row],['# People received regular supply of hygiene items]])</f>
        <v>0</v>
      </c>
      <c r="BJ204" s="424">
        <f>IF(WWWW[[#This Row],[HRP3]]/WWWW[[#This Row],[Total PoP ]]&gt;100%,100%,WWWW[[#This Row],[HRP3]]/WWWW[[#This Row],[Total PoP ]])</f>
        <v>0</v>
      </c>
      <c r="BK204" s="423">
        <f>1-WWWW[[#This Row],[Hygiene Coverage%]]</f>
        <v>1</v>
      </c>
      <c r="BL204" s="422">
        <f>WWWW[[#This Row],['# people reached by regular dedicated hygiene promotion]]/WWWW[[#This Row],[Total PoP ]]</f>
        <v>0</v>
      </c>
      <c r="BM20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4" s="421">
        <f>WWWW[[#This Row],['#_of_affected_women_and_girls_receiving_a_sufficient_quantity_of_sanitary_pads]]</f>
        <v>0</v>
      </c>
      <c r="BO204" s="420">
        <f>IF(WWWW[[#This Row],['# People with access to soap]]&gt;WWWW[[#This Row],['# People with access to Sanity Pads]],WWWW[[#This Row],['# People with access to soap]],WWWW[[#This Row],['# People with access to Sanity Pads]])</f>
        <v>0</v>
      </c>
      <c r="BP204" s="419" t="str">
        <f>IF(OR(WWWW[[#This Row],['#of students in school]]="",WWWW[[#This Row],['#of students in school]]=0),"No","Yes")</f>
        <v>No</v>
      </c>
      <c r="BQ204" s="417" t="str">
        <f>VLOOKUP(WWWW[[#This Row],[Village  Name]],SiteDB6[[Site Name]:[Location Type 1]],9,FALSE)</f>
        <v>Village</v>
      </c>
      <c r="BR204" s="417" t="str">
        <f>VLOOKUP(WWWW[[#This Row],[Village  Name]],SiteDB6[[Site Name]:[Type of Accommodation]],10,FALSE)</f>
        <v>Village</v>
      </c>
      <c r="BS204" s="417" t="str">
        <f>VLOOKUP(WWWW[[#This Row],[Village  Name]],SiteDB6[[Site Name]:[Ethnic or GCA/NGCA]],11,FALSE)</f>
        <v>Muslim</v>
      </c>
      <c r="BT204" s="417">
        <f>VLOOKUP(WWWW[[#This Row],[Village  Name]],SiteDB6[[Site Name]:[Lat]],12,FALSE)</f>
        <v>20.864519120000001</v>
      </c>
      <c r="BU204" s="417">
        <f>VLOOKUP(WWWW[[#This Row],[Village  Name]],SiteDB6[[Site Name]:[Long]],13,FALSE)</f>
        <v>92.940399170000006</v>
      </c>
      <c r="BV204" s="417">
        <f>VLOOKUP(WWWW[[#This Row],[Village  Name]],SiteDB6[[Site Name]:[Pcode]],3,FALSE)</f>
        <v>196817</v>
      </c>
      <c r="BW204" s="425" t="str">
        <f t="shared" si="6"/>
        <v>Covered</v>
      </c>
      <c r="BX204" s="425"/>
      <c r="BY204" s="552"/>
      <c r="BZ204" s="552"/>
      <c r="CA204" s="575"/>
      <c r="CB204" s="552"/>
      <c r="CC204" s="553"/>
      <c r="CD204" s="553"/>
      <c r="CE204" s="554"/>
      <c r="CF204" s="554"/>
      <c r="CG204" s="554"/>
      <c r="CH204" s="554"/>
      <c r="CI204" s="554"/>
      <c r="CJ204" s="554"/>
      <c r="CK204" s="554"/>
      <c r="CL204" s="554"/>
      <c r="CM204" s="554"/>
    </row>
    <row r="205" spans="1:92" s="550" customFormat="1" hidden="1">
      <c r="A205" s="412" t="s">
        <v>2380</v>
      </c>
      <c r="B205" s="412" t="s">
        <v>320</v>
      </c>
      <c r="C205" s="418" t="s">
        <v>320</v>
      </c>
      <c r="D205" s="418" t="s">
        <v>336</v>
      </c>
      <c r="E205" s="551" t="s">
        <v>2687</v>
      </c>
      <c r="F205" s="418" t="s">
        <v>304</v>
      </c>
      <c r="G205" s="551" t="str">
        <f>VLOOKUP(WWWW[[#This Row],[Village  Name]],SiteDB6[[Site Name]:[Location Type]],8,FALSE)</f>
        <v>Village</v>
      </c>
      <c r="H205" s="418" t="s">
        <v>692</v>
      </c>
      <c r="I205" s="420">
        <v>454</v>
      </c>
      <c r="J205" s="420">
        <v>3020</v>
      </c>
      <c r="K205" s="426">
        <v>42887</v>
      </c>
      <c r="L205" s="427">
        <v>43616</v>
      </c>
      <c r="M205" s="420"/>
      <c r="N205" s="420"/>
      <c r="O205" s="420"/>
      <c r="P205" s="420"/>
      <c r="Q205" s="420"/>
      <c r="R205" s="420"/>
      <c r="S205" s="420"/>
      <c r="T205" s="642"/>
      <c r="U205" s="420"/>
      <c r="V205" s="420"/>
      <c r="W205" s="420"/>
      <c r="X205" s="420"/>
      <c r="Y205" s="420"/>
      <c r="Z205" s="420"/>
      <c r="AA205" s="420"/>
      <c r="AB205" s="642"/>
      <c r="AC205" s="420"/>
      <c r="AD205" s="420"/>
      <c r="AE205" s="420"/>
      <c r="AF205" s="420"/>
      <c r="AG205" s="420"/>
      <c r="AH205" s="420"/>
      <c r="AI205" s="420"/>
      <c r="AJ205" s="420"/>
      <c r="AK205" s="420"/>
      <c r="AL205" s="420"/>
      <c r="AM205" s="642"/>
      <c r="AN205" s="420"/>
      <c r="AO205" s="420"/>
      <c r="AP20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5" s="419">
        <f>WWWW[[#This Row],[%Equitable and continuous access to sufficient quantity of safe drinking water]]*WWWW[[#This Row],[Total PoP ]]</f>
        <v>0</v>
      </c>
      <c r="AR20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5" s="419">
        <f>WWWW[[#This Row],[% Access to unimproved water points]]*WWWW[[#This Row],[Total PoP ]]</f>
        <v>0</v>
      </c>
      <c r="AT20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5" s="419">
        <f>WWWW[[#This Row],[HRP1]]/250</f>
        <v>0</v>
      </c>
      <c r="AW205" s="424">
        <f>1-WWWW[[#This Row],[% Equitable and continuous access to sufficient quantity of domestic water]]</f>
        <v>1</v>
      </c>
      <c r="AX205" s="419">
        <f>WWWW[[#This Row],[%equitable and continuous access to sufficient quantity of safe drinking and domestic water''s GAP]]*WWWW[[#This Row],[Total PoP ]]</f>
        <v>3020</v>
      </c>
      <c r="AY205" s="421">
        <f>IF(WWWW[[#This Row],[Total required water points]]-WWWW[[#This Row],['#Water points coverage]]&lt;0,0,WWWW[[#This Row],[Total required water points]]-WWWW[[#This Row],['#Water points coverage]])</f>
        <v>12</v>
      </c>
      <c r="AZ205" s="421">
        <f>ROUND(IF(WWWW[[#This Row],[Total PoP ]]&lt;250,1,WWWW[[#This Row],[Total PoP ]]/250),0)</f>
        <v>12</v>
      </c>
      <c r="BA20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5" s="419">
        <f>WWWW[[#This Row],[% people access to functioning Latrine]]*WWWW[[#This Row],[Total PoP ]]</f>
        <v>0</v>
      </c>
      <c r="BC205" s="421">
        <f>WWWW[[#This Row],['#_of_Functioning_latrines_in_school]]*50</f>
        <v>0</v>
      </c>
      <c r="BD205" s="421">
        <f>ROUND((WWWW[[#This Row],[Total PoP ]]/6),0)</f>
        <v>503</v>
      </c>
      <c r="BE205" s="421">
        <f>IF(WWWW[[#This Row],[Total required Latrines]]-(WWWW[[#This Row],['#_of_sanitary_fly-proof_HH_latrines]])&lt;0,0,WWWW[[#This Row],[Total required Latrines]]-(WWWW[[#This Row],['#_of_sanitary_fly-proof_HH_latrines]]))</f>
        <v>503</v>
      </c>
      <c r="BF205" s="563">
        <f>1-WWWW[[#This Row],[% people access to functioning Latrine]]</f>
        <v>1</v>
      </c>
      <c r="BG20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5" s="419">
        <f>IF(WWWW[[#This Row],['#_of_functional_handwashing_facilities_at_HH_level]]*6&gt;WWWW[[#This Row],[Total PoP ]],WWWW[[#This Row],[Total PoP ]],WWWW[[#This Row],['#_of_functional_handwashing_facilities_at_HH_level]]*6)</f>
        <v>0</v>
      </c>
      <c r="BI205" s="421">
        <f>IF(WWWW[[#This Row],['# people reached by regular dedicated hygiene promotion]]&gt;WWWW[[#This Row],['# People received regular supply of hygiene items]],WWWW[[#This Row],['# people reached by regular dedicated hygiene promotion]],WWWW[[#This Row],['# People received regular supply of hygiene items]])</f>
        <v>0</v>
      </c>
      <c r="BJ205" s="424">
        <f>IF(WWWW[[#This Row],[HRP3]]/WWWW[[#This Row],[Total PoP ]]&gt;100%,100%,WWWW[[#This Row],[HRP3]]/WWWW[[#This Row],[Total PoP ]])</f>
        <v>0</v>
      </c>
      <c r="BK205" s="423">
        <f>1-WWWW[[#This Row],[Hygiene Coverage%]]</f>
        <v>1</v>
      </c>
      <c r="BL205" s="422">
        <f>WWWW[[#This Row],['# people reached by regular dedicated hygiene promotion]]/WWWW[[#This Row],[Total PoP ]]</f>
        <v>0</v>
      </c>
      <c r="BM20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5" s="421">
        <f>WWWW[[#This Row],['#_of_affected_women_and_girls_receiving_a_sufficient_quantity_of_sanitary_pads]]</f>
        <v>0</v>
      </c>
      <c r="BO205" s="420">
        <f>IF(WWWW[[#This Row],['# People with access to soap]]&gt;WWWW[[#This Row],['# People with access to Sanity Pads]],WWWW[[#This Row],['# People with access to soap]],WWWW[[#This Row],['# People with access to Sanity Pads]])</f>
        <v>0</v>
      </c>
      <c r="BP205" s="419" t="str">
        <f>IF(OR(WWWW[[#This Row],['#of students in school]]="",WWWW[[#This Row],['#of students in school]]=0),"No","Yes")</f>
        <v>No</v>
      </c>
      <c r="BQ205" s="417" t="str">
        <f>VLOOKUP(WWWW[[#This Row],[Village  Name]],SiteDB6[[Site Name]:[Location Type 1]],9,FALSE)</f>
        <v>Village</v>
      </c>
      <c r="BR205" s="417" t="str">
        <f>VLOOKUP(WWWW[[#This Row],[Village  Name]],SiteDB6[[Site Name]:[Type of Accommodation]],10,FALSE)</f>
        <v>Village</v>
      </c>
      <c r="BS205" s="417" t="str">
        <f>VLOOKUP(WWWW[[#This Row],[Village  Name]],SiteDB6[[Site Name]:[Ethnic or GCA/NGCA]],11,FALSE)</f>
        <v>Muslim</v>
      </c>
      <c r="BT205" s="417">
        <f>VLOOKUP(WWWW[[#This Row],[Village  Name]],SiteDB6[[Site Name]:[Lat]],12,FALSE)</f>
        <v>20.85956955</v>
      </c>
      <c r="BU205" s="417">
        <f>VLOOKUP(WWWW[[#This Row],[Village  Name]],SiteDB6[[Site Name]:[Long]],13,FALSE)</f>
        <v>92.941146849999996</v>
      </c>
      <c r="BV205" s="417">
        <f>VLOOKUP(WWWW[[#This Row],[Village  Name]],SiteDB6[[Site Name]:[Pcode]],3,FALSE)</f>
        <v>196823</v>
      </c>
      <c r="BW205" s="425" t="str">
        <f t="shared" si="6"/>
        <v>Covered</v>
      </c>
      <c r="BX205" s="425"/>
      <c r="BY205" s="552"/>
      <c r="BZ205" s="552"/>
      <c r="CA205" s="575"/>
      <c r="CB205" s="552"/>
      <c r="CC205" s="553"/>
      <c r="CD205" s="553"/>
      <c r="CE205" s="554"/>
      <c r="CF205" s="554"/>
      <c r="CG205" s="554"/>
      <c r="CH205" s="554"/>
      <c r="CI205" s="554"/>
      <c r="CJ205" s="554"/>
      <c r="CK205" s="554"/>
      <c r="CL205" s="554"/>
      <c r="CM205" s="554"/>
    </row>
    <row r="206" spans="1:92" s="550" customFormat="1" hidden="1">
      <c r="A206" s="412" t="s">
        <v>2380</v>
      </c>
      <c r="B206" s="412" t="s">
        <v>320</v>
      </c>
      <c r="C206" s="418" t="s">
        <v>320</v>
      </c>
      <c r="D206" s="418" t="s">
        <v>336</v>
      </c>
      <c r="E206" s="551" t="s">
        <v>2687</v>
      </c>
      <c r="F206" s="418" t="s">
        <v>304</v>
      </c>
      <c r="G206" s="551" t="str">
        <f>VLOOKUP(WWWW[[#This Row],[Village  Name]],SiteDB6[[Site Name]:[Location Type]],8,FALSE)</f>
        <v>Village</v>
      </c>
      <c r="H206" s="418" t="s">
        <v>655</v>
      </c>
      <c r="I206" s="420">
        <v>170</v>
      </c>
      <c r="J206" s="420">
        <v>825</v>
      </c>
      <c r="K206" s="426">
        <v>42887</v>
      </c>
      <c r="L206" s="427">
        <v>43616</v>
      </c>
      <c r="M206" s="420"/>
      <c r="N206" s="420"/>
      <c r="O206" s="420"/>
      <c r="P206" s="420"/>
      <c r="Q206" s="420"/>
      <c r="R206" s="420"/>
      <c r="S206" s="420"/>
      <c r="T206" s="642"/>
      <c r="U206" s="420"/>
      <c r="V206" s="420"/>
      <c r="W206" s="420"/>
      <c r="X206" s="420"/>
      <c r="Y206" s="420"/>
      <c r="Z206" s="420"/>
      <c r="AA206" s="420"/>
      <c r="AB206" s="642"/>
      <c r="AC206" s="420"/>
      <c r="AD206" s="420"/>
      <c r="AE206" s="420"/>
      <c r="AF206" s="420"/>
      <c r="AG206" s="420"/>
      <c r="AH206" s="420"/>
      <c r="AI206" s="420"/>
      <c r="AJ206" s="420"/>
      <c r="AK206" s="420"/>
      <c r="AL206" s="420"/>
      <c r="AM206" s="642"/>
      <c r="AN206" s="420"/>
      <c r="AO206" s="420"/>
      <c r="AP20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6" s="419">
        <f>WWWW[[#This Row],[%Equitable and continuous access to sufficient quantity of safe drinking water]]*WWWW[[#This Row],[Total PoP ]]</f>
        <v>0</v>
      </c>
      <c r="AR20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6" s="419">
        <f>WWWW[[#This Row],[% Access to unimproved water points]]*WWWW[[#This Row],[Total PoP ]]</f>
        <v>0</v>
      </c>
      <c r="AT20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6" s="419">
        <f>WWWW[[#This Row],[HRP1]]/250</f>
        <v>0</v>
      </c>
      <c r="AW206" s="424">
        <f>1-WWWW[[#This Row],[% Equitable and continuous access to sufficient quantity of domestic water]]</f>
        <v>1</v>
      </c>
      <c r="AX206" s="419">
        <f>WWWW[[#This Row],[%equitable and continuous access to sufficient quantity of safe drinking and domestic water''s GAP]]*WWWW[[#This Row],[Total PoP ]]</f>
        <v>825</v>
      </c>
      <c r="AY206" s="421">
        <f>IF(WWWW[[#This Row],[Total required water points]]-WWWW[[#This Row],['#Water points coverage]]&lt;0,0,WWWW[[#This Row],[Total required water points]]-WWWW[[#This Row],['#Water points coverage]])</f>
        <v>3</v>
      </c>
      <c r="AZ206" s="421">
        <f>ROUND(IF(WWWW[[#This Row],[Total PoP ]]&lt;250,1,WWWW[[#This Row],[Total PoP ]]/250),0)</f>
        <v>3</v>
      </c>
      <c r="BA20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6" s="419">
        <f>WWWW[[#This Row],[% people access to functioning Latrine]]*WWWW[[#This Row],[Total PoP ]]</f>
        <v>0</v>
      </c>
      <c r="BC206" s="421">
        <f>WWWW[[#This Row],['#_of_Functioning_latrines_in_school]]*50</f>
        <v>0</v>
      </c>
      <c r="BD206" s="421">
        <f>ROUND((WWWW[[#This Row],[Total PoP ]]/6),0)</f>
        <v>138</v>
      </c>
      <c r="BE206" s="421">
        <f>IF(WWWW[[#This Row],[Total required Latrines]]-(WWWW[[#This Row],['#_of_sanitary_fly-proof_HH_latrines]])&lt;0,0,WWWW[[#This Row],[Total required Latrines]]-(WWWW[[#This Row],['#_of_sanitary_fly-proof_HH_latrines]]))</f>
        <v>138</v>
      </c>
      <c r="BF206" s="563">
        <f>1-WWWW[[#This Row],[% people access to functioning Latrine]]</f>
        <v>1</v>
      </c>
      <c r="BG20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6" s="419">
        <f>IF(WWWW[[#This Row],['#_of_functional_handwashing_facilities_at_HH_level]]*6&gt;WWWW[[#This Row],[Total PoP ]],WWWW[[#This Row],[Total PoP ]],WWWW[[#This Row],['#_of_functional_handwashing_facilities_at_HH_level]]*6)</f>
        <v>0</v>
      </c>
      <c r="BI206" s="421">
        <f>IF(WWWW[[#This Row],['# people reached by regular dedicated hygiene promotion]]&gt;WWWW[[#This Row],['# People received regular supply of hygiene items]],WWWW[[#This Row],['# people reached by regular dedicated hygiene promotion]],WWWW[[#This Row],['# People received regular supply of hygiene items]])</f>
        <v>0</v>
      </c>
      <c r="BJ206" s="424">
        <f>IF(WWWW[[#This Row],[HRP3]]/WWWW[[#This Row],[Total PoP ]]&gt;100%,100%,WWWW[[#This Row],[HRP3]]/WWWW[[#This Row],[Total PoP ]])</f>
        <v>0</v>
      </c>
      <c r="BK206" s="423">
        <f>1-WWWW[[#This Row],[Hygiene Coverage%]]</f>
        <v>1</v>
      </c>
      <c r="BL206" s="422">
        <f>WWWW[[#This Row],['# people reached by regular dedicated hygiene promotion]]/WWWW[[#This Row],[Total PoP ]]</f>
        <v>0</v>
      </c>
      <c r="BM20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6" s="421">
        <f>WWWW[[#This Row],['#_of_affected_women_and_girls_receiving_a_sufficient_quantity_of_sanitary_pads]]</f>
        <v>0</v>
      </c>
      <c r="BO206" s="420">
        <f>IF(WWWW[[#This Row],['# People with access to soap]]&gt;WWWW[[#This Row],['# People with access to Sanity Pads]],WWWW[[#This Row],['# People with access to soap]],WWWW[[#This Row],['# People with access to Sanity Pads]])</f>
        <v>0</v>
      </c>
      <c r="BP206" s="419" t="str">
        <f>IF(OR(WWWW[[#This Row],['#of students in school]]="",WWWW[[#This Row],['#of students in school]]=0),"No","Yes")</f>
        <v>No</v>
      </c>
      <c r="BQ206" s="417" t="str">
        <f>VLOOKUP(WWWW[[#This Row],[Village  Name]],SiteDB6[[Site Name]:[Location Type 1]],9,FALSE)</f>
        <v>Village</v>
      </c>
      <c r="BR206" s="417" t="str">
        <f>VLOOKUP(WWWW[[#This Row],[Village  Name]],SiteDB6[[Site Name]:[Type of Accommodation]],10,FALSE)</f>
        <v>Village</v>
      </c>
      <c r="BS206" s="417" t="str">
        <f>VLOOKUP(WWWW[[#This Row],[Village  Name]],SiteDB6[[Site Name]:[Ethnic or GCA/NGCA]],11,FALSE)</f>
        <v>Rakhine</v>
      </c>
      <c r="BT206" s="417">
        <f>VLOOKUP(WWWW[[#This Row],[Village  Name]],SiteDB6[[Site Name]:[Lat]],12,FALSE)</f>
        <v>20.894269940000001</v>
      </c>
      <c r="BU206" s="417">
        <f>VLOOKUP(WWWW[[#This Row],[Village  Name]],SiteDB6[[Site Name]:[Long]],13,FALSE)</f>
        <v>92.920730590000005</v>
      </c>
      <c r="BV206" s="417">
        <f>VLOOKUP(WWWW[[#This Row],[Village  Name]],SiteDB6[[Site Name]:[Pcode]],3,FALSE)</f>
        <v>196814</v>
      </c>
      <c r="BW206" s="425" t="str">
        <f t="shared" si="6"/>
        <v>Covered</v>
      </c>
      <c r="BX206" s="425"/>
      <c r="BY206" s="552"/>
      <c r="BZ206" s="552"/>
      <c r="CA206" s="575"/>
      <c r="CB206" s="552"/>
      <c r="CC206" s="553"/>
      <c r="CD206" s="553"/>
      <c r="CE206" s="554"/>
      <c r="CF206" s="554"/>
      <c r="CG206" s="554"/>
      <c r="CH206" s="554"/>
      <c r="CI206" s="554"/>
      <c r="CJ206" s="554"/>
      <c r="CK206" s="554"/>
      <c r="CL206" s="554"/>
      <c r="CM206" s="554"/>
    </row>
    <row r="207" spans="1:92" s="550" customFormat="1" hidden="1">
      <c r="A207" s="412" t="s">
        <v>2380</v>
      </c>
      <c r="B207" s="412" t="s">
        <v>320</v>
      </c>
      <c r="C207" s="418" t="s">
        <v>320</v>
      </c>
      <c r="D207" s="418" t="s">
        <v>336</v>
      </c>
      <c r="E207" s="551" t="s">
        <v>2687</v>
      </c>
      <c r="F207" s="418" t="s">
        <v>304</v>
      </c>
      <c r="G207" s="551" t="str">
        <f>VLOOKUP(WWWW[[#This Row],[Village  Name]],SiteDB6[[Site Name]:[Location Type]],8,FALSE)</f>
        <v>Village</v>
      </c>
      <c r="H207" s="418" t="s">
        <v>338</v>
      </c>
      <c r="I207" s="420">
        <v>144</v>
      </c>
      <c r="J207" s="420">
        <v>792</v>
      </c>
      <c r="K207" s="426">
        <v>42887</v>
      </c>
      <c r="L207" s="427">
        <v>43616</v>
      </c>
      <c r="M207" s="420"/>
      <c r="N207" s="420"/>
      <c r="O207" s="420"/>
      <c r="P207" s="420"/>
      <c r="Q207" s="420"/>
      <c r="R207" s="420"/>
      <c r="S207" s="420"/>
      <c r="T207" s="642"/>
      <c r="U207" s="420"/>
      <c r="V207" s="420"/>
      <c r="W207" s="420"/>
      <c r="X207" s="420"/>
      <c r="Y207" s="420"/>
      <c r="Z207" s="420"/>
      <c r="AA207" s="420"/>
      <c r="AB207" s="642"/>
      <c r="AC207" s="420"/>
      <c r="AD207" s="420"/>
      <c r="AE207" s="420"/>
      <c r="AF207" s="420"/>
      <c r="AG207" s="420"/>
      <c r="AH207" s="420"/>
      <c r="AI207" s="420"/>
      <c r="AJ207" s="420"/>
      <c r="AK207" s="420"/>
      <c r="AL207" s="420"/>
      <c r="AM207" s="642"/>
      <c r="AN207" s="420"/>
      <c r="AO207" s="420"/>
      <c r="AP20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7" s="419">
        <f>WWWW[[#This Row],[%Equitable and continuous access to sufficient quantity of safe drinking water]]*WWWW[[#This Row],[Total PoP ]]</f>
        <v>0</v>
      </c>
      <c r="AR20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7" s="419">
        <f>WWWW[[#This Row],[% Access to unimproved water points]]*WWWW[[#This Row],[Total PoP ]]</f>
        <v>0</v>
      </c>
      <c r="AT20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7" s="419">
        <f>WWWW[[#This Row],[HRP1]]/250</f>
        <v>0</v>
      </c>
      <c r="AW207" s="424">
        <f>1-WWWW[[#This Row],[% Equitable and continuous access to sufficient quantity of domestic water]]</f>
        <v>1</v>
      </c>
      <c r="AX207" s="419">
        <f>WWWW[[#This Row],[%equitable and continuous access to sufficient quantity of safe drinking and domestic water''s GAP]]*WWWW[[#This Row],[Total PoP ]]</f>
        <v>792</v>
      </c>
      <c r="AY207" s="421">
        <f>IF(WWWW[[#This Row],[Total required water points]]-WWWW[[#This Row],['#Water points coverage]]&lt;0,0,WWWW[[#This Row],[Total required water points]]-WWWW[[#This Row],['#Water points coverage]])</f>
        <v>3</v>
      </c>
      <c r="AZ207" s="421">
        <f>ROUND(IF(WWWW[[#This Row],[Total PoP ]]&lt;250,1,WWWW[[#This Row],[Total PoP ]]/250),0)</f>
        <v>3</v>
      </c>
      <c r="BA20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7" s="419">
        <f>WWWW[[#This Row],[% people access to functioning Latrine]]*WWWW[[#This Row],[Total PoP ]]</f>
        <v>0</v>
      </c>
      <c r="BC207" s="421">
        <f>WWWW[[#This Row],['#_of_Functioning_latrines_in_school]]*50</f>
        <v>0</v>
      </c>
      <c r="BD207" s="421">
        <f>ROUND((WWWW[[#This Row],[Total PoP ]]/6),0)</f>
        <v>132</v>
      </c>
      <c r="BE207" s="421">
        <f>IF(WWWW[[#This Row],[Total required Latrines]]-(WWWW[[#This Row],['#_of_sanitary_fly-proof_HH_latrines]])&lt;0,0,WWWW[[#This Row],[Total required Latrines]]-(WWWW[[#This Row],['#_of_sanitary_fly-proof_HH_latrines]]))</f>
        <v>132</v>
      </c>
      <c r="BF207" s="563">
        <f>1-WWWW[[#This Row],[% people access to functioning Latrine]]</f>
        <v>1</v>
      </c>
      <c r="BG20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7" s="419">
        <f>IF(WWWW[[#This Row],['#_of_functional_handwashing_facilities_at_HH_level]]*6&gt;WWWW[[#This Row],[Total PoP ]],WWWW[[#This Row],[Total PoP ]],WWWW[[#This Row],['#_of_functional_handwashing_facilities_at_HH_level]]*6)</f>
        <v>0</v>
      </c>
      <c r="BI207" s="421">
        <f>IF(WWWW[[#This Row],['# people reached by regular dedicated hygiene promotion]]&gt;WWWW[[#This Row],['# People received regular supply of hygiene items]],WWWW[[#This Row],['# people reached by regular dedicated hygiene promotion]],WWWW[[#This Row],['# People received regular supply of hygiene items]])</f>
        <v>0</v>
      </c>
      <c r="BJ207" s="424">
        <f>IF(WWWW[[#This Row],[HRP3]]/WWWW[[#This Row],[Total PoP ]]&gt;100%,100%,WWWW[[#This Row],[HRP3]]/WWWW[[#This Row],[Total PoP ]])</f>
        <v>0</v>
      </c>
      <c r="BK207" s="423">
        <f>1-WWWW[[#This Row],[Hygiene Coverage%]]</f>
        <v>1</v>
      </c>
      <c r="BL207" s="422">
        <f>WWWW[[#This Row],['# people reached by regular dedicated hygiene promotion]]/WWWW[[#This Row],[Total PoP ]]</f>
        <v>0</v>
      </c>
      <c r="BM20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7" s="421">
        <f>WWWW[[#This Row],['#_of_affected_women_and_girls_receiving_a_sufficient_quantity_of_sanitary_pads]]</f>
        <v>0</v>
      </c>
      <c r="BO207" s="420">
        <f>IF(WWWW[[#This Row],['# People with access to soap]]&gt;WWWW[[#This Row],['# People with access to Sanity Pads]],WWWW[[#This Row],['# People with access to soap]],WWWW[[#This Row],['# People with access to Sanity Pads]])</f>
        <v>0</v>
      </c>
      <c r="BP207" s="419" t="str">
        <f>IF(OR(WWWW[[#This Row],['#of students in school]]="",WWWW[[#This Row],['#of students in school]]=0),"No","Yes")</f>
        <v>No</v>
      </c>
      <c r="BQ207" s="417" t="str">
        <f>VLOOKUP(WWWW[[#This Row],[Village  Name]],SiteDB6[[Site Name]:[Location Type 1]],9,FALSE)</f>
        <v>Village</v>
      </c>
      <c r="BR207" s="417" t="str">
        <f>VLOOKUP(WWWW[[#This Row],[Village  Name]],SiteDB6[[Site Name]:[Type of Accommodation]],10,FALSE)</f>
        <v>Village</v>
      </c>
      <c r="BS207" s="417" t="str">
        <f>VLOOKUP(WWWW[[#This Row],[Village  Name]],SiteDB6[[Site Name]:[Ethnic or GCA/NGCA]],11,FALSE)</f>
        <v>Dinet</v>
      </c>
      <c r="BT207" s="417">
        <f>VLOOKUP(WWWW[[#This Row],[Village  Name]],SiteDB6[[Site Name]:[Lat]],12,FALSE)</f>
        <v>0</v>
      </c>
      <c r="BU207" s="417">
        <f>VLOOKUP(WWWW[[#This Row],[Village  Name]],SiteDB6[[Site Name]:[Long]],13,FALSE)</f>
        <v>0</v>
      </c>
      <c r="BV207" s="417">
        <f>VLOOKUP(WWWW[[#This Row],[Village  Name]],SiteDB6[[Site Name]:[Pcode]],3,FALSE)</f>
        <v>196815</v>
      </c>
      <c r="BW207" s="425" t="str">
        <f t="shared" ref="BW207:BW222" si="8">IF(C207="none","Notcovered","Covered")</f>
        <v>Covered</v>
      </c>
      <c r="BX207" s="425"/>
      <c r="BY207" s="552"/>
      <c r="BZ207" s="552"/>
      <c r="CA207" s="575"/>
      <c r="CB207" s="552"/>
      <c r="CC207" s="553"/>
      <c r="CD207" s="553"/>
      <c r="CE207" s="554"/>
      <c r="CF207" s="554"/>
      <c r="CG207" s="554"/>
      <c r="CH207" s="554"/>
      <c r="CI207" s="554"/>
      <c r="CJ207" s="554"/>
      <c r="CK207" s="554"/>
      <c r="CL207" s="554"/>
      <c r="CM207" s="554"/>
    </row>
    <row r="208" spans="1:92" s="550" customFormat="1" hidden="1">
      <c r="A208" s="412" t="s">
        <v>2380</v>
      </c>
      <c r="B208" s="412" t="s">
        <v>320</v>
      </c>
      <c r="C208" s="418" t="s">
        <v>320</v>
      </c>
      <c r="D208" s="418" t="s">
        <v>336</v>
      </c>
      <c r="E208" s="551" t="s">
        <v>2687</v>
      </c>
      <c r="F208" s="418" t="s">
        <v>304</v>
      </c>
      <c r="G208" s="551" t="str">
        <f>VLOOKUP(WWWW[[#This Row],[Village  Name]],SiteDB6[[Site Name]:[Location Type]],8,FALSE)</f>
        <v>Village</v>
      </c>
      <c r="H208" s="418" t="s">
        <v>656</v>
      </c>
      <c r="I208" s="420">
        <v>50</v>
      </c>
      <c r="J208" s="420">
        <v>207</v>
      </c>
      <c r="K208" s="426">
        <v>42887</v>
      </c>
      <c r="L208" s="427">
        <v>43616</v>
      </c>
      <c r="M208" s="420"/>
      <c r="N208" s="420"/>
      <c r="O208" s="420"/>
      <c r="P208" s="420"/>
      <c r="Q208" s="420"/>
      <c r="R208" s="420"/>
      <c r="S208" s="420"/>
      <c r="T208" s="642"/>
      <c r="U208" s="420"/>
      <c r="V208" s="420"/>
      <c r="W208" s="420"/>
      <c r="X208" s="420"/>
      <c r="Y208" s="420"/>
      <c r="Z208" s="420"/>
      <c r="AA208" s="420"/>
      <c r="AB208" s="642"/>
      <c r="AC208" s="420"/>
      <c r="AD208" s="420"/>
      <c r="AE208" s="420"/>
      <c r="AF208" s="420"/>
      <c r="AG208" s="420"/>
      <c r="AH208" s="420"/>
      <c r="AI208" s="420"/>
      <c r="AJ208" s="420"/>
      <c r="AK208" s="420"/>
      <c r="AL208" s="420"/>
      <c r="AM208" s="642"/>
      <c r="AN208" s="420"/>
      <c r="AO208" s="420"/>
      <c r="AP20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8" s="419">
        <f>WWWW[[#This Row],[%Equitable and continuous access to sufficient quantity of safe drinking water]]*WWWW[[#This Row],[Total PoP ]]</f>
        <v>0</v>
      </c>
      <c r="AR20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8" s="419">
        <f>WWWW[[#This Row],[% Access to unimproved water points]]*WWWW[[#This Row],[Total PoP ]]</f>
        <v>0</v>
      </c>
      <c r="AT20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8" s="419">
        <f>WWWW[[#This Row],[HRP1]]/250</f>
        <v>0</v>
      </c>
      <c r="AW208" s="424">
        <f>1-WWWW[[#This Row],[% Equitable and continuous access to sufficient quantity of domestic water]]</f>
        <v>1</v>
      </c>
      <c r="AX208" s="419">
        <f>WWWW[[#This Row],[%equitable and continuous access to sufficient quantity of safe drinking and domestic water''s GAP]]*WWWW[[#This Row],[Total PoP ]]</f>
        <v>207</v>
      </c>
      <c r="AY208" s="421">
        <f>IF(WWWW[[#This Row],[Total required water points]]-WWWW[[#This Row],['#Water points coverage]]&lt;0,0,WWWW[[#This Row],[Total required water points]]-WWWW[[#This Row],['#Water points coverage]])</f>
        <v>1</v>
      </c>
      <c r="AZ208" s="421">
        <f>ROUND(IF(WWWW[[#This Row],[Total PoP ]]&lt;250,1,WWWW[[#This Row],[Total PoP ]]/250),0)</f>
        <v>1</v>
      </c>
      <c r="BA20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8" s="419">
        <f>WWWW[[#This Row],[% people access to functioning Latrine]]*WWWW[[#This Row],[Total PoP ]]</f>
        <v>0</v>
      </c>
      <c r="BC208" s="421">
        <f>WWWW[[#This Row],['#_of_Functioning_latrines_in_school]]*50</f>
        <v>0</v>
      </c>
      <c r="BD208" s="421">
        <f>ROUND((WWWW[[#This Row],[Total PoP ]]/6),0)</f>
        <v>35</v>
      </c>
      <c r="BE208" s="421">
        <f>IF(WWWW[[#This Row],[Total required Latrines]]-(WWWW[[#This Row],['#_of_sanitary_fly-proof_HH_latrines]])&lt;0,0,WWWW[[#This Row],[Total required Latrines]]-(WWWW[[#This Row],['#_of_sanitary_fly-proof_HH_latrines]]))</f>
        <v>35</v>
      </c>
      <c r="BF208" s="563">
        <f>1-WWWW[[#This Row],[% people access to functioning Latrine]]</f>
        <v>1</v>
      </c>
      <c r="BG20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8" s="419">
        <f>IF(WWWW[[#This Row],['#_of_functional_handwashing_facilities_at_HH_level]]*6&gt;WWWW[[#This Row],[Total PoP ]],WWWW[[#This Row],[Total PoP ]],WWWW[[#This Row],['#_of_functional_handwashing_facilities_at_HH_level]]*6)</f>
        <v>0</v>
      </c>
      <c r="BI208" s="421">
        <f>IF(WWWW[[#This Row],['# people reached by regular dedicated hygiene promotion]]&gt;WWWW[[#This Row],['# People received regular supply of hygiene items]],WWWW[[#This Row],['# people reached by regular dedicated hygiene promotion]],WWWW[[#This Row],['# People received regular supply of hygiene items]])</f>
        <v>0</v>
      </c>
      <c r="BJ208" s="424">
        <f>IF(WWWW[[#This Row],[HRP3]]/WWWW[[#This Row],[Total PoP ]]&gt;100%,100%,WWWW[[#This Row],[HRP3]]/WWWW[[#This Row],[Total PoP ]])</f>
        <v>0</v>
      </c>
      <c r="BK208" s="423">
        <f>1-WWWW[[#This Row],[Hygiene Coverage%]]</f>
        <v>1</v>
      </c>
      <c r="BL208" s="422">
        <f>WWWW[[#This Row],['# people reached by regular dedicated hygiene promotion]]/WWWW[[#This Row],[Total PoP ]]</f>
        <v>0</v>
      </c>
      <c r="BM20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8" s="421">
        <f>WWWW[[#This Row],['#_of_affected_women_and_girls_receiving_a_sufficient_quantity_of_sanitary_pads]]</f>
        <v>0</v>
      </c>
      <c r="BO208" s="420">
        <f>IF(WWWW[[#This Row],['# People with access to soap]]&gt;WWWW[[#This Row],['# People with access to Sanity Pads]],WWWW[[#This Row],['# People with access to soap]],WWWW[[#This Row],['# People with access to Sanity Pads]])</f>
        <v>0</v>
      </c>
      <c r="BP208" s="419" t="str">
        <f>IF(OR(WWWW[[#This Row],['#of students in school]]="",WWWW[[#This Row],['#of students in school]]=0),"No","Yes")</f>
        <v>No</v>
      </c>
      <c r="BQ208" s="417" t="str">
        <f>VLOOKUP(WWWW[[#This Row],[Village  Name]],SiteDB6[[Site Name]:[Location Type 1]],9,FALSE)</f>
        <v>Village</v>
      </c>
      <c r="BR208" s="417" t="str">
        <f>VLOOKUP(WWWW[[#This Row],[Village  Name]],SiteDB6[[Site Name]:[Type of Accommodation]],10,FALSE)</f>
        <v>Village</v>
      </c>
      <c r="BS208" s="417" t="str">
        <f>VLOOKUP(WWWW[[#This Row],[Village  Name]],SiteDB6[[Site Name]:[Ethnic or GCA/NGCA]],11,FALSE)</f>
        <v>Mro</v>
      </c>
      <c r="BT208" s="417">
        <f>VLOOKUP(WWWW[[#This Row],[Village  Name]],SiteDB6[[Site Name]:[Lat]],12,FALSE)</f>
        <v>20.895059589999999</v>
      </c>
      <c r="BU208" s="417">
        <f>VLOOKUP(WWWW[[#This Row],[Village  Name]],SiteDB6[[Site Name]:[Long]],13,FALSE)</f>
        <v>92.90735626</v>
      </c>
      <c r="BV208" s="417">
        <f>VLOOKUP(WWWW[[#This Row],[Village  Name]],SiteDB6[[Site Name]:[Pcode]],3,FALSE)</f>
        <v>196807</v>
      </c>
      <c r="BW208" s="425" t="str">
        <f t="shared" si="8"/>
        <v>Covered</v>
      </c>
      <c r="BX208" s="425"/>
      <c r="BY208" s="552"/>
      <c r="BZ208" s="552"/>
      <c r="CA208" s="575"/>
      <c r="CB208" s="552"/>
      <c r="CC208" s="553"/>
      <c r="CD208" s="553"/>
      <c r="CE208" s="554"/>
      <c r="CF208" s="554"/>
      <c r="CG208" s="554"/>
      <c r="CH208" s="554"/>
      <c r="CI208" s="554"/>
      <c r="CJ208" s="554"/>
      <c r="CK208" s="554"/>
      <c r="CL208" s="554"/>
      <c r="CM208" s="554"/>
    </row>
    <row r="209" spans="1:91" s="550" customFormat="1" hidden="1">
      <c r="A209" s="412" t="s">
        <v>2380</v>
      </c>
      <c r="B209" s="412" t="s">
        <v>320</v>
      </c>
      <c r="C209" s="418" t="s">
        <v>320</v>
      </c>
      <c r="D209" s="418" t="s">
        <v>336</v>
      </c>
      <c r="E209" s="551" t="s">
        <v>2687</v>
      </c>
      <c r="F209" s="418" t="s">
        <v>304</v>
      </c>
      <c r="G209" s="551" t="str">
        <f>VLOOKUP(WWWW[[#This Row],[Village  Name]],SiteDB6[[Site Name]:[Location Type]],8,FALSE)</f>
        <v>Village</v>
      </c>
      <c r="H209" s="418" t="s">
        <v>694</v>
      </c>
      <c r="I209" s="420">
        <v>90</v>
      </c>
      <c r="J209" s="420">
        <v>375</v>
      </c>
      <c r="K209" s="426">
        <v>42887</v>
      </c>
      <c r="L209" s="427">
        <v>43616</v>
      </c>
      <c r="M209" s="420"/>
      <c r="N209" s="420"/>
      <c r="O209" s="420"/>
      <c r="P209" s="420"/>
      <c r="Q209" s="420"/>
      <c r="R209" s="420"/>
      <c r="S209" s="420"/>
      <c r="T209" s="642"/>
      <c r="U209" s="420"/>
      <c r="V209" s="420"/>
      <c r="W209" s="420"/>
      <c r="X209" s="420"/>
      <c r="Y209" s="420"/>
      <c r="Z209" s="420"/>
      <c r="AA209" s="420"/>
      <c r="AB209" s="642"/>
      <c r="AC209" s="420"/>
      <c r="AD209" s="420"/>
      <c r="AE209" s="420"/>
      <c r="AF209" s="420"/>
      <c r="AG209" s="420"/>
      <c r="AH209" s="420"/>
      <c r="AI209" s="420"/>
      <c r="AJ209" s="420"/>
      <c r="AK209" s="420"/>
      <c r="AL209" s="420"/>
      <c r="AM209" s="642"/>
      <c r="AN209" s="420"/>
      <c r="AO209" s="420"/>
      <c r="AP20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09" s="419">
        <f>WWWW[[#This Row],[%Equitable and continuous access to sufficient quantity of safe drinking water]]*WWWW[[#This Row],[Total PoP ]]</f>
        <v>0</v>
      </c>
      <c r="AR20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09" s="419">
        <f>WWWW[[#This Row],[% Access to unimproved water points]]*WWWW[[#This Row],[Total PoP ]]</f>
        <v>0</v>
      </c>
      <c r="AT20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0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09" s="419">
        <f>WWWW[[#This Row],[HRP1]]/250</f>
        <v>0</v>
      </c>
      <c r="AW209" s="424">
        <f>1-WWWW[[#This Row],[% Equitable and continuous access to sufficient quantity of domestic water]]</f>
        <v>1</v>
      </c>
      <c r="AX209" s="419">
        <f>WWWW[[#This Row],[%equitable and continuous access to sufficient quantity of safe drinking and domestic water''s GAP]]*WWWW[[#This Row],[Total PoP ]]</f>
        <v>375</v>
      </c>
      <c r="AY209" s="421">
        <f>IF(WWWW[[#This Row],[Total required water points]]-WWWW[[#This Row],['#Water points coverage]]&lt;0,0,WWWW[[#This Row],[Total required water points]]-WWWW[[#This Row],['#Water points coverage]])</f>
        <v>2</v>
      </c>
      <c r="AZ209" s="421">
        <f>ROUND(IF(WWWW[[#This Row],[Total PoP ]]&lt;250,1,WWWW[[#This Row],[Total PoP ]]/250),0)</f>
        <v>2</v>
      </c>
      <c r="BA20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09" s="419">
        <f>WWWW[[#This Row],[% people access to functioning Latrine]]*WWWW[[#This Row],[Total PoP ]]</f>
        <v>0</v>
      </c>
      <c r="BC209" s="421">
        <f>WWWW[[#This Row],['#_of_Functioning_latrines_in_school]]*50</f>
        <v>0</v>
      </c>
      <c r="BD209" s="421">
        <f>ROUND((WWWW[[#This Row],[Total PoP ]]/6),0)</f>
        <v>63</v>
      </c>
      <c r="BE209" s="421">
        <f>IF(WWWW[[#This Row],[Total required Latrines]]-(WWWW[[#This Row],['#_of_sanitary_fly-proof_HH_latrines]])&lt;0,0,WWWW[[#This Row],[Total required Latrines]]-(WWWW[[#This Row],['#_of_sanitary_fly-proof_HH_latrines]]))</f>
        <v>63</v>
      </c>
      <c r="BF209" s="563">
        <f>1-WWWW[[#This Row],[% people access to functioning Latrine]]</f>
        <v>1</v>
      </c>
      <c r="BG20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09" s="419">
        <f>IF(WWWW[[#This Row],['#_of_functional_handwashing_facilities_at_HH_level]]*6&gt;WWWW[[#This Row],[Total PoP ]],WWWW[[#This Row],[Total PoP ]],WWWW[[#This Row],['#_of_functional_handwashing_facilities_at_HH_level]]*6)</f>
        <v>0</v>
      </c>
      <c r="BI209" s="421">
        <f>IF(WWWW[[#This Row],['# people reached by regular dedicated hygiene promotion]]&gt;WWWW[[#This Row],['# People received regular supply of hygiene items]],WWWW[[#This Row],['# people reached by regular dedicated hygiene promotion]],WWWW[[#This Row],['# People received regular supply of hygiene items]])</f>
        <v>0</v>
      </c>
      <c r="BJ209" s="424">
        <f>IF(WWWW[[#This Row],[HRP3]]/WWWW[[#This Row],[Total PoP ]]&gt;100%,100%,WWWW[[#This Row],[HRP3]]/WWWW[[#This Row],[Total PoP ]])</f>
        <v>0</v>
      </c>
      <c r="BK209" s="423">
        <f>1-WWWW[[#This Row],[Hygiene Coverage%]]</f>
        <v>1</v>
      </c>
      <c r="BL209" s="422">
        <f>WWWW[[#This Row],['# people reached by regular dedicated hygiene promotion]]/WWWW[[#This Row],[Total PoP ]]</f>
        <v>0</v>
      </c>
      <c r="BM20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09" s="421">
        <f>WWWW[[#This Row],['#_of_affected_women_and_girls_receiving_a_sufficient_quantity_of_sanitary_pads]]</f>
        <v>0</v>
      </c>
      <c r="BO209" s="420">
        <f>IF(WWWW[[#This Row],['# People with access to soap]]&gt;WWWW[[#This Row],['# People with access to Sanity Pads]],WWWW[[#This Row],['# People with access to soap]],WWWW[[#This Row],['# People with access to Sanity Pads]])</f>
        <v>0</v>
      </c>
      <c r="BP209" s="419" t="str">
        <f>IF(OR(WWWW[[#This Row],['#of students in school]]="",WWWW[[#This Row],['#of students in school]]=0),"No","Yes")</f>
        <v>No</v>
      </c>
      <c r="BQ209" s="417" t="str">
        <f>VLOOKUP(WWWW[[#This Row],[Village  Name]],SiteDB6[[Site Name]:[Location Type 1]],9,FALSE)</f>
        <v>Village</v>
      </c>
      <c r="BR209" s="417" t="str">
        <f>VLOOKUP(WWWW[[#This Row],[Village  Name]],SiteDB6[[Site Name]:[Type of Accommodation]],10,FALSE)</f>
        <v>Village</v>
      </c>
      <c r="BS209" s="417" t="str">
        <f>VLOOKUP(WWWW[[#This Row],[Village  Name]],SiteDB6[[Site Name]:[Ethnic or GCA/NGCA]],11,FALSE)</f>
        <v>Rakhine</v>
      </c>
      <c r="BT209" s="417">
        <f>VLOOKUP(WWWW[[#This Row],[Village  Name]],SiteDB6[[Site Name]:[Lat]],12,FALSE)</f>
        <v>20.803710939999998</v>
      </c>
      <c r="BU209" s="417">
        <f>VLOOKUP(WWWW[[#This Row],[Village  Name]],SiteDB6[[Site Name]:[Long]],13,FALSE)</f>
        <v>92.946136469999999</v>
      </c>
      <c r="BV209" s="417">
        <f>VLOOKUP(WWWW[[#This Row],[Village  Name]],SiteDB6[[Site Name]:[Pcode]],3,FALSE)</f>
        <v>196886</v>
      </c>
      <c r="BW209" s="425" t="str">
        <f t="shared" si="8"/>
        <v>Covered</v>
      </c>
      <c r="BX209" s="425"/>
      <c r="BY209" s="552"/>
      <c r="BZ209" s="552"/>
      <c r="CA209" s="575"/>
      <c r="CB209" s="552"/>
      <c r="CC209" s="553"/>
      <c r="CD209" s="553"/>
      <c r="CE209" s="554"/>
      <c r="CF209" s="554"/>
      <c r="CG209" s="554"/>
      <c r="CH209" s="554"/>
      <c r="CI209" s="554"/>
      <c r="CJ209" s="554"/>
      <c r="CK209" s="554"/>
      <c r="CL209" s="554"/>
      <c r="CM209" s="554"/>
    </row>
    <row r="210" spans="1:91" s="550" customFormat="1" hidden="1">
      <c r="A210" s="412" t="s">
        <v>2380</v>
      </c>
      <c r="B210" s="412" t="s">
        <v>320</v>
      </c>
      <c r="C210" s="418" t="s">
        <v>320</v>
      </c>
      <c r="D210" s="418" t="s">
        <v>336</v>
      </c>
      <c r="E210" s="551" t="s">
        <v>2687</v>
      </c>
      <c r="F210" s="418" t="s">
        <v>304</v>
      </c>
      <c r="G210" s="551" t="str">
        <f>VLOOKUP(WWWW[[#This Row],[Village  Name]],SiteDB6[[Site Name]:[Location Type]],8,FALSE)</f>
        <v>Village</v>
      </c>
      <c r="H210" s="418" t="s">
        <v>937</v>
      </c>
      <c r="I210" s="420">
        <v>173</v>
      </c>
      <c r="J210" s="420">
        <v>867</v>
      </c>
      <c r="K210" s="426">
        <v>42887</v>
      </c>
      <c r="L210" s="427">
        <v>43616</v>
      </c>
      <c r="M210" s="420"/>
      <c r="N210" s="420"/>
      <c r="O210" s="420"/>
      <c r="P210" s="420"/>
      <c r="Q210" s="420"/>
      <c r="R210" s="420"/>
      <c r="S210" s="420"/>
      <c r="T210" s="642"/>
      <c r="U210" s="420"/>
      <c r="V210" s="420"/>
      <c r="W210" s="420"/>
      <c r="X210" s="420"/>
      <c r="Y210" s="420"/>
      <c r="Z210" s="420"/>
      <c r="AA210" s="420"/>
      <c r="AB210" s="642"/>
      <c r="AC210" s="420"/>
      <c r="AD210" s="420"/>
      <c r="AE210" s="420"/>
      <c r="AF210" s="420"/>
      <c r="AG210" s="420"/>
      <c r="AH210" s="420"/>
      <c r="AI210" s="420"/>
      <c r="AJ210" s="420"/>
      <c r="AK210" s="420"/>
      <c r="AL210" s="420"/>
      <c r="AM210" s="642"/>
      <c r="AN210" s="420"/>
      <c r="AO210" s="420"/>
      <c r="AP21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0" s="419">
        <f>WWWW[[#This Row],[%Equitable and continuous access to sufficient quantity of safe drinking water]]*WWWW[[#This Row],[Total PoP ]]</f>
        <v>0</v>
      </c>
      <c r="AR21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0" s="419">
        <f>WWWW[[#This Row],[% Access to unimproved water points]]*WWWW[[#This Row],[Total PoP ]]</f>
        <v>0</v>
      </c>
      <c r="AT21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0" s="419">
        <f>WWWW[[#This Row],[HRP1]]/250</f>
        <v>0</v>
      </c>
      <c r="AW210" s="424">
        <f>1-WWWW[[#This Row],[% Equitable and continuous access to sufficient quantity of domestic water]]</f>
        <v>1</v>
      </c>
      <c r="AX210" s="419">
        <f>WWWW[[#This Row],[%equitable and continuous access to sufficient quantity of safe drinking and domestic water''s GAP]]*WWWW[[#This Row],[Total PoP ]]</f>
        <v>867</v>
      </c>
      <c r="AY210" s="421">
        <f>IF(WWWW[[#This Row],[Total required water points]]-WWWW[[#This Row],['#Water points coverage]]&lt;0,0,WWWW[[#This Row],[Total required water points]]-WWWW[[#This Row],['#Water points coverage]])</f>
        <v>3</v>
      </c>
      <c r="AZ210" s="421">
        <f>ROUND(IF(WWWW[[#This Row],[Total PoP ]]&lt;250,1,WWWW[[#This Row],[Total PoP ]]/250),0)</f>
        <v>3</v>
      </c>
      <c r="BA21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0" s="419">
        <f>WWWW[[#This Row],[% people access to functioning Latrine]]*WWWW[[#This Row],[Total PoP ]]</f>
        <v>0</v>
      </c>
      <c r="BC210" s="421">
        <f>WWWW[[#This Row],['#_of_Functioning_latrines_in_school]]*50</f>
        <v>0</v>
      </c>
      <c r="BD210" s="421">
        <f>ROUND((WWWW[[#This Row],[Total PoP ]]/6),0)</f>
        <v>145</v>
      </c>
      <c r="BE210" s="421">
        <f>IF(WWWW[[#This Row],[Total required Latrines]]-(WWWW[[#This Row],['#_of_sanitary_fly-proof_HH_latrines]])&lt;0,0,WWWW[[#This Row],[Total required Latrines]]-(WWWW[[#This Row],['#_of_sanitary_fly-proof_HH_latrines]]))</f>
        <v>145</v>
      </c>
      <c r="BF210" s="563">
        <f>1-WWWW[[#This Row],[% people access to functioning Latrine]]</f>
        <v>1</v>
      </c>
      <c r="BG21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0" s="419">
        <f>IF(WWWW[[#This Row],['#_of_functional_handwashing_facilities_at_HH_level]]*6&gt;WWWW[[#This Row],[Total PoP ]],WWWW[[#This Row],[Total PoP ]],WWWW[[#This Row],['#_of_functional_handwashing_facilities_at_HH_level]]*6)</f>
        <v>0</v>
      </c>
      <c r="BI210" s="421">
        <f>IF(WWWW[[#This Row],['# people reached by regular dedicated hygiene promotion]]&gt;WWWW[[#This Row],['# People received regular supply of hygiene items]],WWWW[[#This Row],['# people reached by regular dedicated hygiene promotion]],WWWW[[#This Row],['# People received regular supply of hygiene items]])</f>
        <v>0</v>
      </c>
      <c r="BJ210" s="424">
        <f>IF(WWWW[[#This Row],[HRP3]]/WWWW[[#This Row],[Total PoP ]]&gt;100%,100%,WWWW[[#This Row],[HRP3]]/WWWW[[#This Row],[Total PoP ]])</f>
        <v>0</v>
      </c>
      <c r="BK210" s="423">
        <f>1-WWWW[[#This Row],[Hygiene Coverage%]]</f>
        <v>1</v>
      </c>
      <c r="BL210" s="422">
        <f>WWWW[[#This Row],['# people reached by regular dedicated hygiene promotion]]/WWWW[[#This Row],[Total PoP ]]</f>
        <v>0</v>
      </c>
      <c r="BM21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0" s="421">
        <f>WWWW[[#This Row],['#_of_affected_women_and_girls_receiving_a_sufficient_quantity_of_sanitary_pads]]</f>
        <v>0</v>
      </c>
      <c r="BO210" s="420">
        <f>IF(WWWW[[#This Row],['# People with access to soap]]&gt;WWWW[[#This Row],['# People with access to Sanity Pads]],WWWW[[#This Row],['# People with access to soap]],WWWW[[#This Row],['# People with access to Sanity Pads]])</f>
        <v>0</v>
      </c>
      <c r="BP210" s="419" t="str">
        <f>IF(OR(WWWW[[#This Row],['#of students in school]]="",WWWW[[#This Row],['#of students in school]]=0),"No","Yes")</f>
        <v>No</v>
      </c>
      <c r="BQ210" s="417" t="str">
        <f>VLOOKUP(WWWW[[#This Row],[Village  Name]],SiteDB6[[Site Name]:[Location Type 1]],9,FALSE)</f>
        <v>Village</v>
      </c>
      <c r="BR210" s="417" t="str">
        <f>VLOOKUP(WWWW[[#This Row],[Village  Name]],SiteDB6[[Site Name]:[Type of Accommodation]],10,FALSE)</f>
        <v>Village</v>
      </c>
      <c r="BS210" s="417">
        <f>VLOOKUP(WWWW[[#This Row],[Village  Name]],SiteDB6[[Site Name]:[Ethnic or GCA/NGCA]],11,FALSE)</f>
        <v>0</v>
      </c>
      <c r="BT210" s="417">
        <f>VLOOKUP(WWWW[[#This Row],[Village  Name]],SiteDB6[[Site Name]:[Lat]],12,FALSE)</f>
        <v>20.80635071</v>
      </c>
      <c r="BU210" s="417">
        <f>VLOOKUP(WWWW[[#This Row],[Village  Name]],SiteDB6[[Site Name]:[Long]],13,FALSE)</f>
        <v>92.948310849999999</v>
      </c>
      <c r="BV210" s="417">
        <f>VLOOKUP(WWWW[[#This Row],[Village  Name]],SiteDB6[[Site Name]:[Pcode]],3,FALSE)</f>
        <v>196885</v>
      </c>
      <c r="BW210" s="425" t="str">
        <f t="shared" si="8"/>
        <v>Covered</v>
      </c>
      <c r="BX210" s="425"/>
      <c r="BY210" s="552"/>
      <c r="BZ210" s="552"/>
      <c r="CA210" s="575"/>
      <c r="CB210" s="552"/>
      <c r="CC210" s="553"/>
      <c r="CD210" s="553"/>
      <c r="CE210" s="554"/>
      <c r="CF210" s="554"/>
      <c r="CG210" s="554"/>
      <c r="CH210" s="554"/>
      <c r="CI210" s="554"/>
      <c r="CJ210" s="554"/>
      <c r="CK210" s="554"/>
      <c r="CL210" s="554"/>
      <c r="CM210" s="554"/>
    </row>
    <row r="211" spans="1:91" s="550" customFormat="1" hidden="1">
      <c r="A211" s="412" t="s">
        <v>2380</v>
      </c>
      <c r="B211" s="412" t="s">
        <v>320</v>
      </c>
      <c r="C211" s="418" t="s">
        <v>320</v>
      </c>
      <c r="D211" s="418" t="s">
        <v>336</v>
      </c>
      <c r="E211" s="551" t="s">
        <v>2687</v>
      </c>
      <c r="F211" s="418" t="s">
        <v>304</v>
      </c>
      <c r="G211" s="551" t="str">
        <f>VLOOKUP(WWWW[[#This Row],[Village  Name]],SiteDB6[[Site Name]:[Location Type]],8,FALSE)</f>
        <v>Village</v>
      </c>
      <c r="H211" s="418" t="s">
        <v>632</v>
      </c>
      <c r="I211" s="420">
        <v>98</v>
      </c>
      <c r="J211" s="420">
        <v>418</v>
      </c>
      <c r="K211" s="426">
        <v>42887</v>
      </c>
      <c r="L211" s="427">
        <v>43616</v>
      </c>
      <c r="M211" s="420"/>
      <c r="N211" s="420"/>
      <c r="O211" s="420"/>
      <c r="P211" s="420"/>
      <c r="Q211" s="420"/>
      <c r="R211" s="420"/>
      <c r="S211" s="420"/>
      <c r="T211" s="642"/>
      <c r="U211" s="420"/>
      <c r="V211" s="420"/>
      <c r="W211" s="420"/>
      <c r="X211" s="420"/>
      <c r="Y211" s="420"/>
      <c r="Z211" s="420"/>
      <c r="AA211" s="420"/>
      <c r="AB211" s="642"/>
      <c r="AC211" s="420"/>
      <c r="AD211" s="420"/>
      <c r="AE211" s="420"/>
      <c r="AF211" s="420"/>
      <c r="AG211" s="420"/>
      <c r="AH211" s="420"/>
      <c r="AI211" s="420"/>
      <c r="AJ211" s="420"/>
      <c r="AK211" s="420"/>
      <c r="AL211" s="420"/>
      <c r="AM211" s="642"/>
      <c r="AN211" s="420"/>
      <c r="AO211" s="420"/>
      <c r="AP21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1" s="419">
        <f>WWWW[[#This Row],[%Equitable and continuous access to sufficient quantity of safe drinking water]]*WWWW[[#This Row],[Total PoP ]]</f>
        <v>0</v>
      </c>
      <c r="AR21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1" s="419">
        <f>WWWW[[#This Row],[% Access to unimproved water points]]*WWWW[[#This Row],[Total PoP ]]</f>
        <v>0</v>
      </c>
      <c r="AT21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1" s="419">
        <f>WWWW[[#This Row],[HRP1]]/250</f>
        <v>0</v>
      </c>
      <c r="AW211" s="424">
        <f>1-WWWW[[#This Row],[% Equitable and continuous access to sufficient quantity of domestic water]]</f>
        <v>1</v>
      </c>
      <c r="AX211" s="419">
        <f>WWWW[[#This Row],[%equitable and continuous access to sufficient quantity of safe drinking and domestic water''s GAP]]*WWWW[[#This Row],[Total PoP ]]</f>
        <v>418</v>
      </c>
      <c r="AY211" s="421">
        <f>IF(WWWW[[#This Row],[Total required water points]]-WWWW[[#This Row],['#Water points coverage]]&lt;0,0,WWWW[[#This Row],[Total required water points]]-WWWW[[#This Row],['#Water points coverage]])</f>
        <v>2</v>
      </c>
      <c r="AZ211" s="421">
        <f>ROUND(IF(WWWW[[#This Row],[Total PoP ]]&lt;250,1,WWWW[[#This Row],[Total PoP ]]/250),0)</f>
        <v>2</v>
      </c>
      <c r="BA21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1" s="419">
        <f>WWWW[[#This Row],[% people access to functioning Latrine]]*WWWW[[#This Row],[Total PoP ]]</f>
        <v>0</v>
      </c>
      <c r="BC211" s="421">
        <f>WWWW[[#This Row],['#_of_Functioning_latrines_in_school]]*50</f>
        <v>0</v>
      </c>
      <c r="BD211" s="421">
        <f>ROUND((WWWW[[#This Row],[Total PoP ]]/6),0)</f>
        <v>70</v>
      </c>
      <c r="BE211" s="421">
        <f>IF(WWWW[[#This Row],[Total required Latrines]]-(WWWW[[#This Row],['#_of_sanitary_fly-proof_HH_latrines]])&lt;0,0,WWWW[[#This Row],[Total required Latrines]]-(WWWW[[#This Row],['#_of_sanitary_fly-proof_HH_latrines]]))</f>
        <v>70</v>
      </c>
      <c r="BF211" s="563">
        <f>1-WWWW[[#This Row],[% people access to functioning Latrine]]</f>
        <v>1</v>
      </c>
      <c r="BG21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1" s="419">
        <f>IF(WWWW[[#This Row],['#_of_functional_handwashing_facilities_at_HH_level]]*6&gt;WWWW[[#This Row],[Total PoP ]],WWWW[[#This Row],[Total PoP ]],WWWW[[#This Row],['#_of_functional_handwashing_facilities_at_HH_level]]*6)</f>
        <v>0</v>
      </c>
      <c r="BI211" s="421">
        <f>IF(WWWW[[#This Row],['# people reached by regular dedicated hygiene promotion]]&gt;WWWW[[#This Row],['# People received regular supply of hygiene items]],WWWW[[#This Row],['# people reached by regular dedicated hygiene promotion]],WWWW[[#This Row],['# People received regular supply of hygiene items]])</f>
        <v>0</v>
      </c>
      <c r="BJ211" s="424">
        <f>IF(WWWW[[#This Row],[HRP3]]/WWWW[[#This Row],[Total PoP ]]&gt;100%,100%,WWWW[[#This Row],[HRP3]]/WWWW[[#This Row],[Total PoP ]])</f>
        <v>0</v>
      </c>
      <c r="BK211" s="423">
        <f>1-WWWW[[#This Row],[Hygiene Coverage%]]</f>
        <v>1</v>
      </c>
      <c r="BL211" s="422">
        <f>WWWW[[#This Row],['# people reached by regular dedicated hygiene promotion]]/WWWW[[#This Row],[Total PoP ]]</f>
        <v>0</v>
      </c>
      <c r="BM21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1" s="421">
        <f>WWWW[[#This Row],['#_of_affected_women_and_girls_receiving_a_sufficient_quantity_of_sanitary_pads]]</f>
        <v>0</v>
      </c>
      <c r="BO211" s="420">
        <f>IF(WWWW[[#This Row],['# People with access to soap]]&gt;WWWW[[#This Row],['# People with access to Sanity Pads]],WWWW[[#This Row],['# People with access to soap]],WWWW[[#This Row],['# People with access to Sanity Pads]])</f>
        <v>0</v>
      </c>
      <c r="BP211" s="419" t="str">
        <f>IF(OR(WWWW[[#This Row],['#of students in school]]="",WWWW[[#This Row],['#of students in school]]=0),"No","Yes")</f>
        <v>No</v>
      </c>
      <c r="BQ211" s="417" t="str">
        <f>VLOOKUP(WWWW[[#This Row],[Village  Name]],SiteDB6[[Site Name]:[Location Type 1]],9,FALSE)</f>
        <v>Village</v>
      </c>
      <c r="BR211" s="417" t="str">
        <f>VLOOKUP(WWWW[[#This Row],[Village  Name]],SiteDB6[[Site Name]:[Type of Accommodation]],10,FALSE)</f>
        <v>Village</v>
      </c>
      <c r="BS211" s="417" t="str">
        <f>VLOOKUP(WWWW[[#This Row],[Village  Name]],SiteDB6[[Site Name]:[Ethnic or GCA/NGCA]],11,FALSE)</f>
        <v>Mro</v>
      </c>
      <c r="BT211" s="417">
        <f>VLOOKUP(WWWW[[#This Row],[Village  Name]],SiteDB6[[Site Name]:[Lat]],12,FALSE)</f>
        <v>20.831729889999998</v>
      </c>
      <c r="BU211" s="417">
        <f>VLOOKUP(WWWW[[#This Row],[Village  Name]],SiteDB6[[Site Name]:[Long]],13,FALSE)</f>
        <v>92.919639590000003</v>
      </c>
      <c r="BV211" s="417">
        <f>VLOOKUP(WWWW[[#This Row],[Village  Name]],SiteDB6[[Site Name]:[Pcode]],3,FALSE)</f>
        <v>196880</v>
      </c>
      <c r="BW211" s="425" t="str">
        <f t="shared" si="8"/>
        <v>Covered</v>
      </c>
      <c r="BX211" s="425"/>
      <c r="BY211" s="552"/>
      <c r="BZ211" s="552"/>
      <c r="CA211" s="575"/>
      <c r="CB211" s="552"/>
      <c r="CC211" s="553"/>
      <c r="CD211" s="553"/>
      <c r="CE211" s="554"/>
      <c r="CF211" s="554"/>
      <c r="CG211" s="554"/>
      <c r="CH211" s="554"/>
      <c r="CI211" s="554"/>
      <c r="CJ211" s="554"/>
      <c r="CK211" s="554"/>
      <c r="CL211" s="554"/>
      <c r="CM211" s="554"/>
    </row>
    <row r="212" spans="1:91" s="550" customFormat="1" hidden="1">
      <c r="A212" s="412" t="s">
        <v>2380</v>
      </c>
      <c r="B212" s="412" t="s">
        <v>320</v>
      </c>
      <c r="C212" s="418" t="s">
        <v>320</v>
      </c>
      <c r="D212" s="418" t="s">
        <v>336</v>
      </c>
      <c r="E212" s="551" t="s">
        <v>2687</v>
      </c>
      <c r="F212" s="418" t="s">
        <v>304</v>
      </c>
      <c r="G212" s="551" t="str">
        <f>VLOOKUP(WWWW[[#This Row],[Village  Name]],SiteDB6[[Site Name]:[Location Type]],8,FALSE)</f>
        <v>Village</v>
      </c>
      <c r="H212" s="418" t="s">
        <v>335</v>
      </c>
      <c r="I212" s="420">
        <v>47</v>
      </c>
      <c r="J212" s="420">
        <v>203</v>
      </c>
      <c r="K212" s="426">
        <v>42887</v>
      </c>
      <c r="L212" s="427">
        <v>43616</v>
      </c>
      <c r="M212" s="420"/>
      <c r="N212" s="420"/>
      <c r="O212" s="420"/>
      <c r="P212" s="420"/>
      <c r="Q212" s="420"/>
      <c r="R212" s="420"/>
      <c r="S212" s="420"/>
      <c r="T212" s="642"/>
      <c r="U212" s="420"/>
      <c r="V212" s="420"/>
      <c r="W212" s="420"/>
      <c r="X212" s="420"/>
      <c r="Y212" s="420"/>
      <c r="Z212" s="420"/>
      <c r="AA212" s="420"/>
      <c r="AB212" s="642"/>
      <c r="AC212" s="420"/>
      <c r="AD212" s="420"/>
      <c r="AE212" s="420"/>
      <c r="AF212" s="420"/>
      <c r="AG212" s="420"/>
      <c r="AH212" s="420"/>
      <c r="AI212" s="420"/>
      <c r="AJ212" s="420"/>
      <c r="AK212" s="420"/>
      <c r="AL212" s="420"/>
      <c r="AM212" s="642"/>
      <c r="AN212" s="420"/>
      <c r="AO212" s="420"/>
      <c r="AP21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2" s="419">
        <f>WWWW[[#This Row],[%Equitable and continuous access to sufficient quantity of safe drinking water]]*WWWW[[#This Row],[Total PoP ]]</f>
        <v>0</v>
      </c>
      <c r="AR21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2" s="419">
        <f>WWWW[[#This Row],[% Access to unimproved water points]]*WWWW[[#This Row],[Total PoP ]]</f>
        <v>0</v>
      </c>
      <c r="AT21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2" s="419">
        <f>WWWW[[#This Row],[HRP1]]/250</f>
        <v>0</v>
      </c>
      <c r="AW212" s="424">
        <f>1-WWWW[[#This Row],[% Equitable and continuous access to sufficient quantity of domestic water]]</f>
        <v>1</v>
      </c>
      <c r="AX212" s="419">
        <f>WWWW[[#This Row],[%equitable and continuous access to sufficient quantity of safe drinking and domestic water''s GAP]]*WWWW[[#This Row],[Total PoP ]]</f>
        <v>203</v>
      </c>
      <c r="AY212" s="421">
        <f>IF(WWWW[[#This Row],[Total required water points]]-WWWW[[#This Row],['#Water points coverage]]&lt;0,0,WWWW[[#This Row],[Total required water points]]-WWWW[[#This Row],['#Water points coverage]])</f>
        <v>1</v>
      </c>
      <c r="AZ212" s="421">
        <f>ROUND(IF(WWWW[[#This Row],[Total PoP ]]&lt;250,1,WWWW[[#This Row],[Total PoP ]]/250),0)</f>
        <v>1</v>
      </c>
      <c r="BA21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2" s="419">
        <f>WWWW[[#This Row],[% people access to functioning Latrine]]*WWWW[[#This Row],[Total PoP ]]</f>
        <v>0</v>
      </c>
      <c r="BC212" s="421">
        <f>WWWW[[#This Row],['#_of_Functioning_latrines_in_school]]*50</f>
        <v>0</v>
      </c>
      <c r="BD212" s="421">
        <f>ROUND((WWWW[[#This Row],[Total PoP ]]/6),0)</f>
        <v>34</v>
      </c>
      <c r="BE212" s="421">
        <f>IF(WWWW[[#This Row],[Total required Latrines]]-(WWWW[[#This Row],['#_of_sanitary_fly-proof_HH_latrines]])&lt;0,0,WWWW[[#This Row],[Total required Latrines]]-(WWWW[[#This Row],['#_of_sanitary_fly-proof_HH_latrines]]))</f>
        <v>34</v>
      </c>
      <c r="BF212" s="563">
        <f>1-WWWW[[#This Row],[% people access to functioning Latrine]]</f>
        <v>1</v>
      </c>
      <c r="BG21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2" s="419">
        <f>IF(WWWW[[#This Row],['#_of_functional_handwashing_facilities_at_HH_level]]*6&gt;WWWW[[#This Row],[Total PoP ]],WWWW[[#This Row],[Total PoP ]],WWWW[[#This Row],['#_of_functional_handwashing_facilities_at_HH_level]]*6)</f>
        <v>0</v>
      </c>
      <c r="BI212" s="421">
        <f>IF(WWWW[[#This Row],['# people reached by regular dedicated hygiene promotion]]&gt;WWWW[[#This Row],['# People received regular supply of hygiene items]],WWWW[[#This Row],['# people reached by regular dedicated hygiene promotion]],WWWW[[#This Row],['# People received regular supply of hygiene items]])</f>
        <v>0</v>
      </c>
      <c r="BJ212" s="424">
        <f>IF(WWWW[[#This Row],[HRP3]]/WWWW[[#This Row],[Total PoP ]]&gt;100%,100%,WWWW[[#This Row],[HRP3]]/WWWW[[#This Row],[Total PoP ]])</f>
        <v>0</v>
      </c>
      <c r="BK212" s="423">
        <f>1-WWWW[[#This Row],[Hygiene Coverage%]]</f>
        <v>1</v>
      </c>
      <c r="BL212" s="422">
        <f>WWWW[[#This Row],['# people reached by regular dedicated hygiene promotion]]/WWWW[[#This Row],[Total PoP ]]</f>
        <v>0</v>
      </c>
      <c r="BM21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2" s="421">
        <f>WWWW[[#This Row],['#_of_affected_women_and_girls_receiving_a_sufficient_quantity_of_sanitary_pads]]</f>
        <v>0</v>
      </c>
      <c r="BO212" s="420">
        <f>IF(WWWW[[#This Row],['# People with access to soap]]&gt;WWWW[[#This Row],['# People with access to Sanity Pads]],WWWW[[#This Row],['# People with access to soap]],WWWW[[#This Row],['# People with access to Sanity Pads]])</f>
        <v>0</v>
      </c>
      <c r="BP212" s="419" t="str">
        <f>IF(OR(WWWW[[#This Row],['#of students in school]]="",WWWW[[#This Row],['#of students in school]]=0),"No","Yes")</f>
        <v>No</v>
      </c>
      <c r="BQ212" s="417" t="str">
        <f>VLOOKUP(WWWW[[#This Row],[Village  Name]],SiteDB6[[Site Name]:[Location Type 1]],9,FALSE)</f>
        <v>Village</v>
      </c>
      <c r="BR212" s="417" t="str">
        <f>VLOOKUP(WWWW[[#This Row],[Village  Name]],SiteDB6[[Site Name]:[Type of Accommodation]],10,FALSE)</f>
        <v>Village</v>
      </c>
      <c r="BS212" s="417" t="str">
        <f>VLOOKUP(WWWW[[#This Row],[Village  Name]],SiteDB6[[Site Name]:[Ethnic or GCA/NGCA]],11,FALSE)</f>
        <v>Mro</v>
      </c>
      <c r="BT212" s="417">
        <f>VLOOKUP(WWWW[[#This Row],[Village  Name]],SiteDB6[[Site Name]:[Lat]],12,FALSE)</f>
        <v>0</v>
      </c>
      <c r="BU212" s="417">
        <f>VLOOKUP(WWWW[[#This Row],[Village  Name]],SiteDB6[[Site Name]:[Long]],13,FALSE)</f>
        <v>0</v>
      </c>
      <c r="BV212" s="417">
        <f>VLOOKUP(WWWW[[#This Row],[Village  Name]],SiteDB6[[Site Name]:[Pcode]],3,FALSE)</f>
        <v>0</v>
      </c>
      <c r="BW212" s="425" t="str">
        <f t="shared" si="8"/>
        <v>Covered</v>
      </c>
      <c r="BX212" s="425"/>
      <c r="BY212" s="552"/>
      <c r="BZ212" s="552"/>
      <c r="CA212" s="575"/>
      <c r="CB212" s="552"/>
      <c r="CC212" s="553"/>
      <c r="CD212" s="553"/>
      <c r="CE212" s="554"/>
      <c r="CF212" s="554"/>
      <c r="CG212" s="554"/>
      <c r="CH212" s="554"/>
      <c r="CI212" s="554"/>
      <c r="CJ212" s="554"/>
      <c r="CK212" s="554"/>
      <c r="CL212" s="554"/>
      <c r="CM212" s="554"/>
    </row>
    <row r="213" spans="1:91" s="550" customFormat="1" hidden="1">
      <c r="A213" s="412" t="s">
        <v>2380</v>
      </c>
      <c r="B213" s="412" t="s">
        <v>320</v>
      </c>
      <c r="C213" s="418" t="s">
        <v>320</v>
      </c>
      <c r="D213" s="418" t="s">
        <v>336</v>
      </c>
      <c r="E213" s="551" t="s">
        <v>2687</v>
      </c>
      <c r="F213" s="418" t="s">
        <v>304</v>
      </c>
      <c r="G213" s="551" t="str">
        <f>VLOOKUP(WWWW[[#This Row],[Village  Name]],SiteDB6[[Site Name]:[Location Type]],8,FALSE)</f>
        <v>Village</v>
      </c>
      <c r="H213" s="418" t="s">
        <v>618</v>
      </c>
      <c r="I213" s="420">
        <v>131</v>
      </c>
      <c r="J213" s="420">
        <v>631</v>
      </c>
      <c r="K213" s="426">
        <v>42887</v>
      </c>
      <c r="L213" s="427">
        <v>43616</v>
      </c>
      <c r="M213" s="420"/>
      <c r="N213" s="420"/>
      <c r="O213" s="420"/>
      <c r="P213" s="420"/>
      <c r="Q213" s="420"/>
      <c r="R213" s="420"/>
      <c r="S213" s="420"/>
      <c r="T213" s="642"/>
      <c r="U213" s="420"/>
      <c r="V213" s="420"/>
      <c r="W213" s="420"/>
      <c r="X213" s="420"/>
      <c r="Y213" s="420"/>
      <c r="Z213" s="420"/>
      <c r="AA213" s="420"/>
      <c r="AB213" s="642"/>
      <c r="AC213" s="420"/>
      <c r="AD213" s="420"/>
      <c r="AE213" s="420"/>
      <c r="AF213" s="420"/>
      <c r="AG213" s="420"/>
      <c r="AH213" s="420"/>
      <c r="AI213" s="420"/>
      <c r="AJ213" s="420"/>
      <c r="AK213" s="420"/>
      <c r="AL213" s="420"/>
      <c r="AM213" s="642"/>
      <c r="AN213" s="420"/>
      <c r="AO213" s="420"/>
      <c r="AP213"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3" s="419">
        <f>WWWW[[#This Row],[%Equitable and continuous access to sufficient quantity of safe drinking water]]*WWWW[[#This Row],[Total PoP ]]</f>
        <v>0</v>
      </c>
      <c r="AR213"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3" s="419">
        <f>WWWW[[#This Row],[% Access to unimproved water points]]*WWWW[[#This Row],[Total PoP ]]</f>
        <v>0</v>
      </c>
      <c r="AT213"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3"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3" s="419">
        <f>WWWW[[#This Row],[HRP1]]/250</f>
        <v>0</v>
      </c>
      <c r="AW213" s="424">
        <f>1-WWWW[[#This Row],[% Equitable and continuous access to sufficient quantity of domestic water]]</f>
        <v>1</v>
      </c>
      <c r="AX213" s="419">
        <f>WWWW[[#This Row],[%equitable and continuous access to sufficient quantity of safe drinking and domestic water''s GAP]]*WWWW[[#This Row],[Total PoP ]]</f>
        <v>631</v>
      </c>
      <c r="AY213" s="421">
        <f>IF(WWWW[[#This Row],[Total required water points]]-WWWW[[#This Row],['#Water points coverage]]&lt;0,0,WWWW[[#This Row],[Total required water points]]-WWWW[[#This Row],['#Water points coverage]])</f>
        <v>3</v>
      </c>
      <c r="AZ213" s="421">
        <f>ROUND(IF(WWWW[[#This Row],[Total PoP ]]&lt;250,1,WWWW[[#This Row],[Total PoP ]]/250),0)</f>
        <v>3</v>
      </c>
      <c r="BA213"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3" s="419">
        <f>WWWW[[#This Row],[% people access to functioning Latrine]]*WWWW[[#This Row],[Total PoP ]]</f>
        <v>0</v>
      </c>
      <c r="BC213" s="421">
        <f>WWWW[[#This Row],['#_of_Functioning_latrines_in_school]]*50</f>
        <v>0</v>
      </c>
      <c r="BD213" s="421">
        <f>ROUND((WWWW[[#This Row],[Total PoP ]]/6),0)</f>
        <v>105</v>
      </c>
      <c r="BE213" s="421">
        <f>IF(WWWW[[#This Row],[Total required Latrines]]-(WWWW[[#This Row],['#_of_sanitary_fly-proof_HH_latrines]])&lt;0,0,WWWW[[#This Row],[Total required Latrines]]-(WWWW[[#This Row],['#_of_sanitary_fly-proof_HH_latrines]]))</f>
        <v>105</v>
      </c>
      <c r="BF213" s="563">
        <f>1-WWWW[[#This Row],[% people access to functioning Latrine]]</f>
        <v>1</v>
      </c>
      <c r="BG213"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3" s="419">
        <f>IF(WWWW[[#This Row],['#_of_functional_handwashing_facilities_at_HH_level]]*6&gt;WWWW[[#This Row],[Total PoP ]],WWWW[[#This Row],[Total PoP ]],WWWW[[#This Row],['#_of_functional_handwashing_facilities_at_HH_level]]*6)</f>
        <v>0</v>
      </c>
      <c r="BI213" s="421">
        <f>IF(WWWW[[#This Row],['# people reached by regular dedicated hygiene promotion]]&gt;WWWW[[#This Row],['# People received regular supply of hygiene items]],WWWW[[#This Row],['# people reached by regular dedicated hygiene promotion]],WWWW[[#This Row],['# People received regular supply of hygiene items]])</f>
        <v>0</v>
      </c>
      <c r="BJ213" s="424">
        <f>IF(WWWW[[#This Row],[HRP3]]/WWWW[[#This Row],[Total PoP ]]&gt;100%,100%,WWWW[[#This Row],[HRP3]]/WWWW[[#This Row],[Total PoP ]])</f>
        <v>0</v>
      </c>
      <c r="BK213" s="423">
        <f>1-WWWW[[#This Row],[Hygiene Coverage%]]</f>
        <v>1</v>
      </c>
      <c r="BL213" s="422">
        <f>WWWW[[#This Row],['# people reached by regular dedicated hygiene promotion]]/WWWW[[#This Row],[Total PoP ]]</f>
        <v>0</v>
      </c>
      <c r="BM213"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3" s="421">
        <f>WWWW[[#This Row],['#_of_affected_women_and_girls_receiving_a_sufficient_quantity_of_sanitary_pads]]</f>
        <v>0</v>
      </c>
      <c r="BO213" s="420">
        <f>IF(WWWW[[#This Row],['# People with access to soap]]&gt;WWWW[[#This Row],['# People with access to Sanity Pads]],WWWW[[#This Row],['# People with access to soap]],WWWW[[#This Row],['# People with access to Sanity Pads]])</f>
        <v>0</v>
      </c>
      <c r="BP213" s="419" t="str">
        <f>IF(OR(WWWW[[#This Row],['#of students in school]]="",WWWW[[#This Row],['#of students in school]]=0),"No","Yes")</f>
        <v>No</v>
      </c>
      <c r="BQ213" s="417" t="str">
        <f>VLOOKUP(WWWW[[#This Row],[Village  Name]],SiteDB6[[Site Name]:[Location Type 1]],9,FALSE)</f>
        <v>Village</v>
      </c>
      <c r="BR213" s="417" t="str">
        <f>VLOOKUP(WWWW[[#This Row],[Village  Name]],SiteDB6[[Site Name]:[Type of Accommodation]],10,FALSE)</f>
        <v>Village</v>
      </c>
      <c r="BS213" s="417" t="str">
        <f>VLOOKUP(WWWW[[#This Row],[Village  Name]],SiteDB6[[Site Name]:[Ethnic or GCA/NGCA]],11,FALSE)</f>
        <v>Mro</v>
      </c>
      <c r="BT213" s="417">
        <f>VLOOKUP(WWWW[[#This Row],[Village  Name]],SiteDB6[[Site Name]:[Lat]],12,FALSE)</f>
        <v>20.809240339999999</v>
      </c>
      <c r="BU213" s="417">
        <f>VLOOKUP(WWWW[[#This Row],[Village  Name]],SiteDB6[[Site Name]:[Long]],13,FALSE)</f>
        <v>92.923919679999997</v>
      </c>
      <c r="BV213" s="417">
        <f>VLOOKUP(WWWW[[#This Row],[Village  Name]],SiteDB6[[Site Name]:[Pcode]],3,FALSE)</f>
        <v>196881</v>
      </c>
      <c r="BW213" s="425" t="str">
        <f t="shared" si="8"/>
        <v>Covered</v>
      </c>
      <c r="BX213" s="425"/>
      <c r="BY213" s="552"/>
      <c r="BZ213" s="552"/>
      <c r="CA213" s="575"/>
      <c r="CB213" s="552"/>
      <c r="CC213" s="553"/>
      <c r="CD213" s="553"/>
      <c r="CE213" s="554"/>
      <c r="CF213" s="554"/>
      <c r="CG213" s="554"/>
      <c r="CH213" s="554"/>
      <c r="CI213" s="554"/>
      <c r="CJ213" s="554"/>
      <c r="CK213" s="554"/>
      <c r="CL213" s="554"/>
      <c r="CM213" s="554"/>
    </row>
    <row r="214" spans="1:91" s="550" customFormat="1" hidden="1">
      <c r="A214" s="412" t="s">
        <v>2380</v>
      </c>
      <c r="B214" s="412" t="s">
        <v>320</v>
      </c>
      <c r="C214" s="418" t="s">
        <v>320</v>
      </c>
      <c r="D214" s="418" t="s">
        <v>336</v>
      </c>
      <c r="E214" s="551" t="s">
        <v>2687</v>
      </c>
      <c r="F214" s="418" t="s">
        <v>304</v>
      </c>
      <c r="G214" s="551" t="str">
        <f>VLOOKUP(WWWW[[#This Row],[Village  Name]],SiteDB6[[Site Name]:[Location Type]],8,FALSE)</f>
        <v>Village</v>
      </c>
      <c r="H214" s="418" t="s">
        <v>617</v>
      </c>
      <c r="I214" s="420">
        <v>42</v>
      </c>
      <c r="J214" s="420">
        <v>184</v>
      </c>
      <c r="K214" s="426">
        <v>42887</v>
      </c>
      <c r="L214" s="427">
        <v>43616</v>
      </c>
      <c r="M214" s="420"/>
      <c r="N214" s="420"/>
      <c r="O214" s="420"/>
      <c r="P214" s="420"/>
      <c r="Q214" s="420"/>
      <c r="R214" s="420"/>
      <c r="S214" s="420"/>
      <c r="T214" s="642"/>
      <c r="U214" s="420"/>
      <c r="V214" s="420"/>
      <c r="W214" s="420"/>
      <c r="X214" s="420"/>
      <c r="Y214" s="420"/>
      <c r="Z214" s="420"/>
      <c r="AA214" s="420"/>
      <c r="AB214" s="642"/>
      <c r="AC214" s="420"/>
      <c r="AD214" s="420"/>
      <c r="AE214" s="420"/>
      <c r="AF214" s="420"/>
      <c r="AG214" s="420"/>
      <c r="AH214" s="420"/>
      <c r="AI214" s="420"/>
      <c r="AJ214" s="420"/>
      <c r="AK214" s="420"/>
      <c r="AL214" s="420"/>
      <c r="AM214" s="642"/>
      <c r="AN214" s="420"/>
      <c r="AO214" s="420"/>
      <c r="AP214"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4" s="419">
        <f>WWWW[[#This Row],[%Equitable and continuous access to sufficient quantity of safe drinking water]]*WWWW[[#This Row],[Total PoP ]]</f>
        <v>0</v>
      </c>
      <c r="AR214"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4" s="419">
        <f>WWWW[[#This Row],[% Access to unimproved water points]]*WWWW[[#This Row],[Total PoP ]]</f>
        <v>0</v>
      </c>
      <c r="AT214"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4"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4" s="419">
        <f>WWWW[[#This Row],[HRP1]]/250</f>
        <v>0</v>
      </c>
      <c r="AW214" s="424">
        <f>1-WWWW[[#This Row],[% Equitable and continuous access to sufficient quantity of domestic water]]</f>
        <v>1</v>
      </c>
      <c r="AX214" s="419">
        <f>WWWW[[#This Row],[%equitable and continuous access to sufficient quantity of safe drinking and domestic water''s GAP]]*WWWW[[#This Row],[Total PoP ]]</f>
        <v>184</v>
      </c>
      <c r="AY214" s="421">
        <f>IF(WWWW[[#This Row],[Total required water points]]-WWWW[[#This Row],['#Water points coverage]]&lt;0,0,WWWW[[#This Row],[Total required water points]]-WWWW[[#This Row],['#Water points coverage]])</f>
        <v>1</v>
      </c>
      <c r="AZ214" s="421">
        <f>ROUND(IF(WWWW[[#This Row],[Total PoP ]]&lt;250,1,WWWW[[#This Row],[Total PoP ]]/250),0)</f>
        <v>1</v>
      </c>
      <c r="BA214"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4" s="419">
        <f>WWWW[[#This Row],[% people access to functioning Latrine]]*WWWW[[#This Row],[Total PoP ]]</f>
        <v>0</v>
      </c>
      <c r="BC214" s="421">
        <f>WWWW[[#This Row],['#_of_Functioning_latrines_in_school]]*50</f>
        <v>0</v>
      </c>
      <c r="BD214" s="421">
        <f>ROUND((WWWW[[#This Row],[Total PoP ]]/6),0)</f>
        <v>31</v>
      </c>
      <c r="BE214" s="421">
        <f>IF(WWWW[[#This Row],[Total required Latrines]]-(WWWW[[#This Row],['#_of_sanitary_fly-proof_HH_latrines]])&lt;0,0,WWWW[[#This Row],[Total required Latrines]]-(WWWW[[#This Row],['#_of_sanitary_fly-proof_HH_latrines]]))</f>
        <v>31</v>
      </c>
      <c r="BF214" s="563">
        <f>1-WWWW[[#This Row],[% people access to functioning Latrine]]</f>
        <v>1</v>
      </c>
      <c r="BG214"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4" s="419">
        <f>IF(WWWW[[#This Row],['#_of_functional_handwashing_facilities_at_HH_level]]*6&gt;WWWW[[#This Row],[Total PoP ]],WWWW[[#This Row],[Total PoP ]],WWWW[[#This Row],['#_of_functional_handwashing_facilities_at_HH_level]]*6)</f>
        <v>0</v>
      </c>
      <c r="BI214" s="421">
        <f>IF(WWWW[[#This Row],['# people reached by regular dedicated hygiene promotion]]&gt;WWWW[[#This Row],['# People received regular supply of hygiene items]],WWWW[[#This Row],['# people reached by regular dedicated hygiene promotion]],WWWW[[#This Row],['# People received regular supply of hygiene items]])</f>
        <v>0</v>
      </c>
      <c r="BJ214" s="424">
        <f>IF(WWWW[[#This Row],[HRP3]]/WWWW[[#This Row],[Total PoP ]]&gt;100%,100%,WWWW[[#This Row],[HRP3]]/WWWW[[#This Row],[Total PoP ]])</f>
        <v>0</v>
      </c>
      <c r="BK214" s="423">
        <f>1-WWWW[[#This Row],[Hygiene Coverage%]]</f>
        <v>1</v>
      </c>
      <c r="BL214" s="422">
        <f>WWWW[[#This Row],['# people reached by regular dedicated hygiene promotion]]/WWWW[[#This Row],[Total PoP ]]</f>
        <v>0</v>
      </c>
      <c r="BM214"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4" s="421">
        <f>WWWW[[#This Row],['#_of_affected_women_and_girls_receiving_a_sufficient_quantity_of_sanitary_pads]]</f>
        <v>0</v>
      </c>
      <c r="BO214" s="420">
        <f>IF(WWWW[[#This Row],['# People with access to soap]]&gt;WWWW[[#This Row],['# People with access to Sanity Pads]],WWWW[[#This Row],['# People with access to soap]],WWWW[[#This Row],['# People with access to Sanity Pads]])</f>
        <v>0</v>
      </c>
      <c r="BP214" s="419" t="str">
        <f>IF(OR(WWWW[[#This Row],['#of students in school]]="",WWWW[[#This Row],['#of students in school]]=0),"No","Yes")</f>
        <v>No</v>
      </c>
      <c r="BQ214" s="417" t="str">
        <f>VLOOKUP(WWWW[[#This Row],[Village  Name]],SiteDB6[[Site Name]:[Location Type 1]],9,FALSE)</f>
        <v>Village</v>
      </c>
      <c r="BR214" s="417" t="str">
        <f>VLOOKUP(WWWW[[#This Row],[Village  Name]],SiteDB6[[Site Name]:[Type of Accommodation]],10,FALSE)</f>
        <v>Village</v>
      </c>
      <c r="BS214" s="417" t="str">
        <f>VLOOKUP(WWWW[[#This Row],[Village  Name]],SiteDB6[[Site Name]:[Ethnic or GCA/NGCA]],11,FALSE)</f>
        <v>Mro</v>
      </c>
      <c r="BT214" s="417">
        <f>VLOOKUP(WWWW[[#This Row],[Village  Name]],SiteDB6[[Site Name]:[Lat]],12,FALSE)</f>
        <v>20.807970050000002</v>
      </c>
      <c r="BU214" s="417">
        <f>VLOOKUP(WWWW[[#This Row],[Village  Name]],SiteDB6[[Site Name]:[Long]],13,FALSE)</f>
        <v>92.929046630000002</v>
      </c>
      <c r="BV214" s="417">
        <f>VLOOKUP(WWWW[[#This Row],[Village  Name]],SiteDB6[[Site Name]:[Pcode]],3,FALSE)</f>
        <v>196882</v>
      </c>
      <c r="BW214" s="425" t="str">
        <f t="shared" si="8"/>
        <v>Covered</v>
      </c>
      <c r="BX214" s="425"/>
      <c r="BY214" s="552"/>
      <c r="BZ214" s="552"/>
      <c r="CA214" s="575"/>
      <c r="CB214" s="552"/>
      <c r="CC214" s="553"/>
      <c r="CD214" s="553"/>
      <c r="CE214" s="554"/>
      <c r="CF214" s="554"/>
      <c r="CG214" s="554"/>
      <c r="CH214" s="554"/>
      <c r="CI214" s="554"/>
      <c r="CJ214" s="554"/>
      <c r="CK214" s="554"/>
      <c r="CL214" s="554"/>
      <c r="CM214" s="554"/>
    </row>
    <row r="215" spans="1:91" s="550" customFormat="1" hidden="1">
      <c r="A215" s="412" t="s">
        <v>2380</v>
      </c>
      <c r="B215" s="412" t="s">
        <v>320</v>
      </c>
      <c r="C215" s="418" t="s">
        <v>320</v>
      </c>
      <c r="D215" s="418" t="s">
        <v>336</v>
      </c>
      <c r="E215" s="551" t="s">
        <v>2687</v>
      </c>
      <c r="F215" s="418" t="s">
        <v>304</v>
      </c>
      <c r="G215" s="551" t="str">
        <f>VLOOKUP(WWWW[[#This Row],[Village  Name]],SiteDB6[[Site Name]:[Location Type]],8,FALSE)</f>
        <v>Village</v>
      </c>
      <c r="H215" s="418" t="s">
        <v>609</v>
      </c>
      <c r="I215" s="420">
        <v>73</v>
      </c>
      <c r="J215" s="420">
        <v>343</v>
      </c>
      <c r="K215" s="426">
        <v>42887</v>
      </c>
      <c r="L215" s="427">
        <v>43616</v>
      </c>
      <c r="M215" s="420"/>
      <c r="N215" s="420"/>
      <c r="O215" s="420"/>
      <c r="P215" s="420"/>
      <c r="Q215" s="420"/>
      <c r="R215" s="420"/>
      <c r="S215" s="420"/>
      <c r="T215" s="642"/>
      <c r="U215" s="420"/>
      <c r="V215" s="420"/>
      <c r="W215" s="420"/>
      <c r="X215" s="420"/>
      <c r="Y215" s="420"/>
      <c r="Z215" s="420"/>
      <c r="AA215" s="420"/>
      <c r="AB215" s="642"/>
      <c r="AC215" s="420"/>
      <c r="AD215" s="420"/>
      <c r="AE215" s="420"/>
      <c r="AF215" s="420"/>
      <c r="AG215" s="420"/>
      <c r="AH215" s="420"/>
      <c r="AI215" s="420"/>
      <c r="AJ215" s="420"/>
      <c r="AK215" s="420"/>
      <c r="AL215" s="420"/>
      <c r="AM215" s="642"/>
      <c r="AN215" s="420"/>
      <c r="AO215" s="420"/>
      <c r="AP215"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5" s="419">
        <f>WWWW[[#This Row],[%Equitable and continuous access to sufficient quantity of safe drinking water]]*WWWW[[#This Row],[Total PoP ]]</f>
        <v>0</v>
      </c>
      <c r="AR215"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5" s="419">
        <f>WWWW[[#This Row],[% Access to unimproved water points]]*WWWW[[#This Row],[Total PoP ]]</f>
        <v>0</v>
      </c>
      <c r="AT215"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5"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5" s="419">
        <f>WWWW[[#This Row],[HRP1]]/250</f>
        <v>0</v>
      </c>
      <c r="AW215" s="424">
        <f>1-WWWW[[#This Row],[% Equitable and continuous access to sufficient quantity of domestic water]]</f>
        <v>1</v>
      </c>
      <c r="AX215" s="419">
        <f>WWWW[[#This Row],[%equitable and continuous access to sufficient quantity of safe drinking and domestic water''s GAP]]*WWWW[[#This Row],[Total PoP ]]</f>
        <v>343</v>
      </c>
      <c r="AY215" s="421">
        <f>IF(WWWW[[#This Row],[Total required water points]]-WWWW[[#This Row],['#Water points coverage]]&lt;0,0,WWWW[[#This Row],[Total required water points]]-WWWW[[#This Row],['#Water points coverage]])</f>
        <v>1</v>
      </c>
      <c r="AZ215" s="421">
        <f>ROUND(IF(WWWW[[#This Row],[Total PoP ]]&lt;250,1,WWWW[[#This Row],[Total PoP ]]/250),0)</f>
        <v>1</v>
      </c>
      <c r="BA215"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5" s="419">
        <f>WWWW[[#This Row],[% people access to functioning Latrine]]*WWWW[[#This Row],[Total PoP ]]</f>
        <v>0</v>
      </c>
      <c r="BC215" s="421">
        <f>WWWW[[#This Row],['#_of_Functioning_latrines_in_school]]*50</f>
        <v>0</v>
      </c>
      <c r="BD215" s="421">
        <f>ROUND((WWWW[[#This Row],[Total PoP ]]/6),0)</f>
        <v>57</v>
      </c>
      <c r="BE215" s="421">
        <f>IF(WWWW[[#This Row],[Total required Latrines]]-(WWWW[[#This Row],['#_of_sanitary_fly-proof_HH_latrines]])&lt;0,0,WWWW[[#This Row],[Total required Latrines]]-(WWWW[[#This Row],['#_of_sanitary_fly-proof_HH_latrines]]))</f>
        <v>57</v>
      </c>
      <c r="BF215" s="563">
        <f>1-WWWW[[#This Row],[% people access to functioning Latrine]]</f>
        <v>1</v>
      </c>
      <c r="BG215"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5" s="419">
        <f>IF(WWWW[[#This Row],['#_of_functional_handwashing_facilities_at_HH_level]]*6&gt;WWWW[[#This Row],[Total PoP ]],WWWW[[#This Row],[Total PoP ]],WWWW[[#This Row],['#_of_functional_handwashing_facilities_at_HH_level]]*6)</f>
        <v>0</v>
      </c>
      <c r="BI215" s="421">
        <f>IF(WWWW[[#This Row],['# people reached by regular dedicated hygiene promotion]]&gt;WWWW[[#This Row],['# People received regular supply of hygiene items]],WWWW[[#This Row],['# people reached by regular dedicated hygiene promotion]],WWWW[[#This Row],['# People received regular supply of hygiene items]])</f>
        <v>0</v>
      </c>
      <c r="BJ215" s="424">
        <f>IF(WWWW[[#This Row],[HRP3]]/WWWW[[#This Row],[Total PoP ]]&gt;100%,100%,WWWW[[#This Row],[HRP3]]/WWWW[[#This Row],[Total PoP ]])</f>
        <v>0</v>
      </c>
      <c r="BK215" s="423">
        <f>1-WWWW[[#This Row],[Hygiene Coverage%]]</f>
        <v>1</v>
      </c>
      <c r="BL215" s="422">
        <f>WWWW[[#This Row],['# people reached by regular dedicated hygiene promotion]]/WWWW[[#This Row],[Total PoP ]]</f>
        <v>0</v>
      </c>
      <c r="BM215"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5" s="421">
        <f>WWWW[[#This Row],['#_of_affected_women_and_girls_receiving_a_sufficient_quantity_of_sanitary_pads]]</f>
        <v>0</v>
      </c>
      <c r="BO215" s="420">
        <f>IF(WWWW[[#This Row],['# People with access to soap]]&gt;WWWW[[#This Row],['# People with access to Sanity Pads]],WWWW[[#This Row],['# People with access to soap]],WWWW[[#This Row],['# People with access to Sanity Pads]])</f>
        <v>0</v>
      </c>
      <c r="BP215" s="419" t="str">
        <f>IF(OR(WWWW[[#This Row],['#of students in school]]="",WWWW[[#This Row],['#of students in school]]=0),"No","Yes")</f>
        <v>No</v>
      </c>
      <c r="BQ215" s="417" t="str">
        <f>VLOOKUP(WWWW[[#This Row],[Village  Name]],SiteDB6[[Site Name]:[Location Type 1]],9,FALSE)</f>
        <v>Village</v>
      </c>
      <c r="BR215" s="417" t="str">
        <f>VLOOKUP(WWWW[[#This Row],[Village  Name]],SiteDB6[[Site Name]:[Type of Accommodation]],10,FALSE)</f>
        <v>Village</v>
      </c>
      <c r="BS215" s="417" t="str">
        <f>VLOOKUP(WWWW[[#This Row],[Village  Name]],SiteDB6[[Site Name]:[Ethnic or GCA/NGCA]],11,FALSE)</f>
        <v>Mro</v>
      </c>
      <c r="BT215" s="417">
        <f>VLOOKUP(WWWW[[#This Row],[Village  Name]],SiteDB6[[Site Name]:[Lat]],12,FALSE)</f>
        <v>20.803529739999998</v>
      </c>
      <c r="BU215" s="417">
        <f>VLOOKUP(WWWW[[#This Row],[Village  Name]],SiteDB6[[Site Name]:[Long]],13,FALSE)</f>
        <v>92.929466250000004</v>
      </c>
      <c r="BV215" s="417">
        <f>VLOOKUP(WWWW[[#This Row],[Village  Name]],SiteDB6[[Site Name]:[Pcode]],3,FALSE)</f>
        <v>196883</v>
      </c>
      <c r="BW215" s="425" t="str">
        <f t="shared" si="8"/>
        <v>Covered</v>
      </c>
      <c r="BX215" s="425"/>
      <c r="BY215" s="552"/>
      <c r="BZ215" s="552"/>
      <c r="CA215" s="575"/>
      <c r="CB215" s="552"/>
      <c r="CC215" s="553"/>
      <c r="CD215" s="553"/>
      <c r="CE215" s="554"/>
      <c r="CF215" s="554"/>
      <c r="CG215" s="554"/>
      <c r="CH215" s="554"/>
      <c r="CI215" s="554"/>
      <c r="CJ215" s="554"/>
      <c r="CK215" s="554"/>
      <c r="CL215" s="554"/>
      <c r="CM215" s="554"/>
    </row>
    <row r="216" spans="1:91" s="550" customFormat="1" hidden="1">
      <c r="A216" s="412" t="s">
        <v>2380</v>
      </c>
      <c r="B216" s="412" t="s">
        <v>320</v>
      </c>
      <c r="C216" s="418" t="s">
        <v>320</v>
      </c>
      <c r="D216" s="418" t="s">
        <v>336</v>
      </c>
      <c r="E216" s="551" t="s">
        <v>2687</v>
      </c>
      <c r="F216" s="418" t="s">
        <v>304</v>
      </c>
      <c r="G216" s="551" t="str">
        <f>VLOOKUP(WWWW[[#This Row],[Village  Name]],SiteDB6[[Site Name]:[Location Type]],8,FALSE)</f>
        <v>Village</v>
      </c>
      <c r="H216" s="418" t="s">
        <v>637</v>
      </c>
      <c r="I216" s="420">
        <v>73</v>
      </c>
      <c r="J216" s="420">
        <v>397</v>
      </c>
      <c r="K216" s="426">
        <v>42887</v>
      </c>
      <c r="L216" s="427">
        <v>43616</v>
      </c>
      <c r="M216" s="420"/>
      <c r="N216" s="420"/>
      <c r="O216" s="420"/>
      <c r="P216" s="420"/>
      <c r="Q216" s="420"/>
      <c r="R216" s="420"/>
      <c r="S216" s="420"/>
      <c r="T216" s="642"/>
      <c r="U216" s="420"/>
      <c r="V216" s="420"/>
      <c r="W216" s="420"/>
      <c r="X216" s="420"/>
      <c r="Y216" s="420"/>
      <c r="Z216" s="420"/>
      <c r="AA216" s="420"/>
      <c r="AB216" s="642"/>
      <c r="AC216" s="420"/>
      <c r="AD216" s="420"/>
      <c r="AE216" s="420"/>
      <c r="AF216" s="420"/>
      <c r="AG216" s="420"/>
      <c r="AH216" s="420"/>
      <c r="AI216" s="420"/>
      <c r="AJ216" s="420"/>
      <c r="AK216" s="420"/>
      <c r="AL216" s="420"/>
      <c r="AM216" s="642"/>
      <c r="AN216" s="420"/>
      <c r="AO216" s="420"/>
      <c r="AP216"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6" s="419">
        <f>WWWW[[#This Row],[%Equitable and continuous access to sufficient quantity of safe drinking water]]*WWWW[[#This Row],[Total PoP ]]</f>
        <v>0</v>
      </c>
      <c r="AR216"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6" s="419">
        <f>WWWW[[#This Row],[% Access to unimproved water points]]*WWWW[[#This Row],[Total PoP ]]</f>
        <v>0</v>
      </c>
      <c r="AT216"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6"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6" s="419">
        <f>WWWW[[#This Row],[HRP1]]/250</f>
        <v>0</v>
      </c>
      <c r="AW216" s="424">
        <f>1-WWWW[[#This Row],[% Equitable and continuous access to sufficient quantity of domestic water]]</f>
        <v>1</v>
      </c>
      <c r="AX216" s="419">
        <f>WWWW[[#This Row],[%equitable and continuous access to sufficient quantity of safe drinking and domestic water''s GAP]]*WWWW[[#This Row],[Total PoP ]]</f>
        <v>397</v>
      </c>
      <c r="AY216" s="421">
        <f>IF(WWWW[[#This Row],[Total required water points]]-WWWW[[#This Row],['#Water points coverage]]&lt;0,0,WWWW[[#This Row],[Total required water points]]-WWWW[[#This Row],['#Water points coverage]])</f>
        <v>2</v>
      </c>
      <c r="AZ216" s="421">
        <f>ROUND(IF(WWWW[[#This Row],[Total PoP ]]&lt;250,1,WWWW[[#This Row],[Total PoP ]]/250),0)</f>
        <v>2</v>
      </c>
      <c r="BA216"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6" s="419">
        <f>WWWW[[#This Row],[% people access to functioning Latrine]]*WWWW[[#This Row],[Total PoP ]]</f>
        <v>0</v>
      </c>
      <c r="BC216" s="421">
        <f>WWWW[[#This Row],['#_of_Functioning_latrines_in_school]]*50</f>
        <v>0</v>
      </c>
      <c r="BD216" s="421">
        <f>ROUND((WWWW[[#This Row],[Total PoP ]]/6),0)</f>
        <v>66</v>
      </c>
      <c r="BE216" s="421">
        <f>IF(WWWW[[#This Row],[Total required Latrines]]-(WWWW[[#This Row],['#_of_sanitary_fly-proof_HH_latrines]])&lt;0,0,WWWW[[#This Row],[Total required Latrines]]-(WWWW[[#This Row],['#_of_sanitary_fly-proof_HH_latrines]]))</f>
        <v>66</v>
      </c>
      <c r="BF216" s="563">
        <f>1-WWWW[[#This Row],[% people access to functioning Latrine]]</f>
        <v>1</v>
      </c>
      <c r="BG216"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6" s="419">
        <f>IF(WWWW[[#This Row],['#_of_functional_handwashing_facilities_at_HH_level]]*6&gt;WWWW[[#This Row],[Total PoP ]],WWWW[[#This Row],[Total PoP ]],WWWW[[#This Row],['#_of_functional_handwashing_facilities_at_HH_level]]*6)</f>
        <v>0</v>
      </c>
      <c r="BI216" s="421">
        <f>IF(WWWW[[#This Row],['# people reached by regular dedicated hygiene promotion]]&gt;WWWW[[#This Row],['# People received regular supply of hygiene items]],WWWW[[#This Row],['# people reached by regular dedicated hygiene promotion]],WWWW[[#This Row],['# People received regular supply of hygiene items]])</f>
        <v>0</v>
      </c>
      <c r="BJ216" s="424">
        <f>IF(WWWW[[#This Row],[HRP3]]/WWWW[[#This Row],[Total PoP ]]&gt;100%,100%,WWWW[[#This Row],[HRP3]]/WWWW[[#This Row],[Total PoP ]])</f>
        <v>0</v>
      </c>
      <c r="BK216" s="423">
        <f>1-WWWW[[#This Row],[Hygiene Coverage%]]</f>
        <v>1</v>
      </c>
      <c r="BL216" s="422">
        <f>WWWW[[#This Row],['# people reached by regular dedicated hygiene promotion]]/WWWW[[#This Row],[Total PoP ]]</f>
        <v>0</v>
      </c>
      <c r="BM216"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6" s="421">
        <f>WWWW[[#This Row],['#_of_affected_women_and_girls_receiving_a_sufficient_quantity_of_sanitary_pads]]</f>
        <v>0</v>
      </c>
      <c r="BO216" s="420">
        <f>IF(WWWW[[#This Row],['# People with access to soap]]&gt;WWWW[[#This Row],['# People with access to Sanity Pads]],WWWW[[#This Row],['# People with access to soap]],WWWW[[#This Row],['# People with access to Sanity Pads]])</f>
        <v>0</v>
      </c>
      <c r="BP216" s="419" t="str">
        <f>IF(OR(WWWW[[#This Row],['#of students in school]]="",WWWW[[#This Row],['#of students in school]]=0),"No","Yes")</f>
        <v>No</v>
      </c>
      <c r="BQ216" s="417" t="str">
        <f>VLOOKUP(WWWW[[#This Row],[Village  Name]],SiteDB6[[Site Name]:[Location Type 1]],9,FALSE)</f>
        <v>Village</v>
      </c>
      <c r="BR216" s="417" t="str">
        <f>VLOOKUP(WWWW[[#This Row],[Village  Name]],SiteDB6[[Site Name]:[Type of Accommodation]],10,FALSE)</f>
        <v>Village</v>
      </c>
      <c r="BS216" s="417" t="str">
        <f>VLOOKUP(WWWW[[#This Row],[Village  Name]],SiteDB6[[Site Name]:[Ethnic or GCA/NGCA]],11,FALSE)</f>
        <v>Mro</v>
      </c>
      <c r="BT216" s="417">
        <f>VLOOKUP(WWWW[[#This Row],[Village  Name]],SiteDB6[[Site Name]:[Lat]],12,FALSE)</f>
        <v>20.851089479999999</v>
      </c>
      <c r="BU216" s="417">
        <f>VLOOKUP(WWWW[[#This Row],[Village  Name]],SiteDB6[[Site Name]:[Long]],13,FALSE)</f>
        <v>92.916893009999995</v>
      </c>
      <c r="BV216" s="417">
        <f>VLOOKUP(WWWW[[#This Row],[Village  Name]],SiteDB6[[Site Name]:[Pcode]],3,FALSE)</f>
        <v>196825</v>
      </c>
      <c r="BW216" s="425" t="str">
        <f t="shared" si="8"/>
        <v>Covered</v>
      </c>
      <c r="BX216" s="425"/>
      <c r="BY216" s="552"/>
      <c r="BZ216" s="552"/>
      <c r="CA216" s="575"/>
      <c r="CB216" s="552"/>
      <c r="CC216" s="553"/>
      <c r="CD216" s="553"/>
      <c r="CE216" s="554"/>
      <c r="CF216" s="554"/>
      <c r="CG216" s="554"/>
      <c r="CH216" s="554"/>
      <c r="CI216" s="554"/>
      <c r="CJ216" s="554"/>
      <c r="CK216" s="554"/>
      <c r="CL216" s="554"/>
      <c r="CM216" s="554"/>
    </row>
    <row r="217" spans="1:91" s="550" customFormat="1" hidden="1">
      <c r="A217" s="412" t="s">
        <v>2380</v>
      </c>
      <c r="B217" s="412" t="s">
        <v>320</v>
      </c>
      <c r="C217" s="418" t="s">
        <v>320</v>
      </c>
      <c r="D217" s="418" t="s">
        <v>336</v>
      </c>
      <c r="E217" s="551" t="s">
        <v>2687</v>
      </c>
      <c r="F217" s="418" t="s">
        <v>304</v>
      </c>
      <c r="G217" s="551" t="str">
        <f>VLOOKUP(WWWW[[#This Row],[Village  Name]],SiteDB6[[Site Name]:[Location Type]],8,FALSE)</f>
        <v>Village</v>
      </c>
      <c r="H217" s="418" t="s">
        <v>696</v>
      </c>
      <c r="I217" s="420">
        <v>138</v>
      </c>
      <c r="J217" s="420">
        <v>609</v>
      </c>
      <c r="K217" s="426">
        <v>42887</v>
      </c>
      <c r="L217" s="427">
        <v>43616</v>
      </c>
      <c r="M217" s="420"/>
      <c r="N217" s="420"/>
      <c r="O217" s="420"/>
      <c r="P217" s="420"/>
      <c r="Q217" s="420"/>
      <c r="R217" s="420"/>
      <c r="S217" s="420"/>
      <c r="T217" s="642"/>
      <c r="U217" s="420"/>
      <c r="V217" s="420"/>
      <c r="W217" s="420"/>
      <c r="X217" s="420"/>
      <c r="Y217" s="420"/>
      <c r="Z217" s="420"/>
      <c r="AA217" s="420"/>
      <c r="AB217" s="642"/>
      <c r="AC217" s="420"/>
      <c r="AD217" s="420"/>
      <c r="AE217" s="420"/>
      <c r="AF217" s="420"/>
      <c r="AG217" s="420"/>
      <c r="AH217" s="420"/>
      <c r="AI217" s="420"/>
      <c r="AJ217" s="420"/>
      <c r="AK217" s="420"/>
      <c r="AL217" s="420"/>
      <c r="AM217" s="642"/>
      <c r="AN217" s="420"/>
      <c r="AO217" s="420"/>
      <c r="AP217"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7" s="419">
        <f>WWWW[[#This Row],[%Equitable and continuous access to sufficient quantity of safe drinking water]]*WWWW[[#This Row],[Total PoP ]]</f>
        <v>0</v>
      </c>
      <c r="AR217"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7" s="419">
        <f>WWWW[[#This Row],[% Access to unimproved water points]]*WWWW[[#This Row],[Total PoP ]]</f>
        <v>0</v>
      </c>
      <c r="AT217"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7"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7" s="419">
        <f>WWWW[[#This Row],[HRP1]]/250</f>
        <v>0</v>
      </c>
      <c r="AW217" s="424">
        <f>1-WWWW[[#This Row],[% Equitable and continuous access to sufficient quantity of domestic water]]</f>
        <v>1</v>
      </c>
      <c r="AX217" s="419">
        <f>WWWW[[#This Row],[%equitable and continuous access to sufficient quantity of safe drinking and domestic water''s GAP]]*WWWW[[#This Row],[Total PoP ]]</f>
        <v>609</v>
      </c>
      <c r="AY217" s="421">
        <f>IF(WWWW[[#This Row],[Total required water points]]-WWWW[[#This Row],['#Water points coverage]]&lt;0,0,WWWW[[#This Row],[Total required water points]]-WWWW[[#This Row],['#Water points coverage]])</f>
        <v>2</v>
      </c>
      <c r="AZ217" s="421">
        <f>ROUND(IF(WWWW[[#This Row],[Total PoP ]]&lt;250,1,WWWW[[#This Row],[Total PoP ]]/250),0)</f>
        <v>2</v>
      </c>
      <c r="BA217"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7" s="419">
        <f>WWWW[[#This Row],[% people access to functioning Latrine]]*WWWW[[#This Row],[Total PoP ]]</f>
        <v>0</v>
      </c>
      <c r="BC217" s="421">
        <f>WWWW[[#This Row],['#_of_Functioning_latrines_in_school]]*50</f>
        <v>0</v>
      </c>
      <c r="BD217" s="421">
        <f>ROUND((WWWW[[#This Row],[Total PoP ]]/6),0)</f>
        <v>102</v>
      </c>
      <c r="BE217" s="421">
        <f>IF(WWWW[[#This Row],[Total required Latrines]]-(WWWW[[#This Row],['#_of_sanitary_fly-proof_HH_latrines]])&lt;0,0,WWWW[[#This Row],[Total required Latrines]]-(WWWW[[#This Row],['#_of_sanitary_fly-proof_HH_latrines]]))</f>
        <v>102</v>
      </c>
      <c r="BF217" s="563">
        <f>1-WWWW[[#This Row],[% people access to functioning Latrine]]</f>
        <v>1</v>
      </c>
      <c r="BG217"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7" s="419">
        <f>IF(WWWW[[#This Row],['#_of_functional_handwashing_facilities_at_HH_level]]*6&gt;WWWW[[#This Row],[Total PoP ]],WWWW[[#This Row],[Total PoP ]],WWWW[[#This Row],['#_of_functional_handwashing_facilities_at_HH_level]]*6)</f>
        <v>0</v>
      </c>
      <c r="BI217" s="421">
        <f>IF(WWWW[[#This Row],['# people reached by regular dedicated hygiene promotion]]&gt;WWWW[[#This Row],['# People received regular supply of hygiene items]],WWWW[[#This Row],['# people reached by regular dedicated hygiene promotion]],WWWW[[#This Row],['# People received regular supply of hygiene items]])</f>
        <v>0</v>
      </c>
      <c r="BJ217" s="424">
        <f>IF(WWWW[[#This Row],[HRP3]]/WWWW[[#This Row],[Total PoP ]]&gt;100%,100%,WWWW[[#This Row],[HRP3]]/WWWW[[#This Row],[Total PoP ]])</f>
        <v>0</v>
      </c>
      <c r="BK217" s="423">
        <f>1-WWWW[[#This Row],[Hygiene Coverage%]]</f>
        <v>1</v>
      </c>
      <c r="BL217" s="422">
        <f>WWWW[[#This Row],['# people reached by regular dedicated hygiene promotion]]/WWWW[[#This Row],[Total PoP ]]</f>
        <v>0</v>
      </c>
      <c r="BM217"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7" s="421">
        <f>WWWW[[#This Row],['#_of_affected_women_and_girls_receiving_a_sufficient_quantity_of_sanitary_pads]]</f>
        <v>0</v>
      </c>
      <c r="BO217" s="420">
        <f>IF(WWWW[[#This Row],['# People with access to soap]]&gt;WWWW[[#This Row],['# People with access to Sanity Pads]],WWWW[[#This Row],['# People with access to soap]],WWWW[[#This Row],['# People with access to Sanity Pads]])</f>
        <v>0</v>
      </c>
      <c r="BP217" s="419" t="str">
        <f>IF(OR(WWWW[[#This Row],['#of students in school]]="",WWWW[[#This Row],['#of students in school]]=0),"No","Yes")</f>
        <v>No</v>
      </c>
      <c r="BQ217" s="417" t="str">
        <f>VLOOKUP(WWWW[[#This Row],[Village  Name]],SiteDB6[[Site Name]:[Location Type 1]],9,FALSE)</f>
        <v>Village</v>
      </c>
      <c r="BR217" s="417" t="str">
        <f>VLOOKUP(WWWW[[#This Row],[Village  Name]],SiteDB6[[Site Name]:[Type of Accommodation]],10,FALSE)</f>
        <v>Village</v>
      </c>
      <c r="BS217" s="417" t="str">
        <f>VLOOKUP(WWWW[[#This Row],[Village  Name]],SiteDB6[[Site Name]:[Ethnic or GCA/NGCA]],11,FALSE)</f>
        <v>Rakhine</v>
      </c>
      <c r="BT217" s="417">
        <f>VLOOKUP(WWWW[[#This Row],[Village  Name]],SiteDB6[[Site Name]:[Lat]],12,FALSE)</f>
        <v>20.67705917</v>
      </c>
      <c r="BU217" s="417">
        <f>VLOOKUP(WWWW[[#This Row],[Village  Name]],SiteDB6[[Site Name]:[Long]],13,FALSE)</f>
        <v>92.953247070000003</v>
      </c>
      <c r="BV217" s="417">
        <f>VLOOKUP(WWWW[[#This Row],[Village  Name]],SiteDB6[[Site Name]:[Pcode]],3,FALSE)</f>
        <v>196929</v>
      </c>
      <c r="BW217" s="425" t="str">
        <f t="shared" si="8"/>
        <v>Covered</v>
      </c>
      <c r="BX217" s="425"/>
      <c r="BY217" s="552"/>
      <c r="BZ217" s="552"/>
      <c r="CA217" s="575"/>
      <c r="CB217" s="552"/>
      <c r="CC217" s="553"/>
      <c r="CD217" s="553"/>
      <c r="CE217" s="554"/>
      <c r="CF217" s="554"/>
      <c r="CG217" s="554"/>
      <c r="CH217" s="554"/>
      <c r="CI217" s="554"/>
      <c r="CJ217" s="554"/>
      <c r="CK217" s="554"/>
      <c r="CL217" s="554"/>
      <c r="CM217" s="554"/>
    </row>
    <row r="218" spans="1:91" s="550" customFormat="1" hidden="1">
      <c r="A218" s="412" t="s">
        <v>2380</v>
      </c>
      <c r="B218" s="412" t="s">
        <v>320</v>
      </c>
      <c r="C218" s="418" t="s">
        <v>320</v>
      </c>
      <c r="D218" s="418" t="s">
        <v>336</v>
      </c>
      <c r="E218" s="551" t="s">
        <v>2687</v>
      </c>
      <c r="F218" s="418" t="s">
        <v>304</v>
      </c>
      <c r="G218" s="551" t="str">
        <f>VLOOKUP(WWWW[[#This Row],[Village  Name]],SiteDB6[[Site Name]:[Location Type]],8,FALSE)</f>
        <v>Village</v>
      </c>
      <c r="H218" s="418" t="s">
        <v>538</v>
      </c>
      <c r="I218" s="420">
        <v>76</v>
      </c>
      <c r="J218" s="420">
        <v>394</v>
      </c>
      <c r="K218" s="426">
        <v>42887</v>
      </c>
      <c r="L218" s="427">
        <v>43616</v>
      </c>
      <c r="M218" s="420"/>
      <c r="N218" s="420"/>
      <c r="O218" s="420"/>
      <c r="P218" s="420"/>
      <c r="Q218" s="420"/>
      <c r="R218" s="420"/>
      <c r="S218" s="420"/>
      <c r="T218" s="642"/>
      <c r="U218" s="420"/>
      <c r="V218" s="420"/>
      <c r="W218" s="420"/>
      <c r="X218" s="420"/>
      <c r="Y218" s="420"/>
      <c r="Z218" s="420"/>
      <c r="AA218" s="420"/>
      <c r="AB218" s="642"/>
      <c r="AC218" s="420"/>
      <c r="AD218" s="420"/>
      <c r="AE218" s="420"/>
      <c r="AF218" s="420"/>
      <c r="AG218" s="420"/>
      <c r="AH218" s="420"/>
      <c r="AI218" s="420"/>
      <c r="AJ218" s="420"/>
      <c r="AK218" s="420"/>
      <c r="AL218" s="420"/>
      <c r="AM218" s="642"/>
      <c r="AN218" s="420"/>
      <c r="AO218" s="420"/>
      <c r="AP218"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8" s="419">
        <f>WWWW[[#This Row],[%Equitable and continuous access to sufficient quantity of safe drinking water]]*WWWW[[#This Row],[Total PoP ]]</f>
        <v>0</v>
      </c>
      <c r="AR218"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8" s="419">
        <f>WWWW[[#This Row],[% Access to unimproved water points]]*WWWW[[#This Row],[Total PoP ]]</f>
        <v>0</v>
      </c>
      <c r="AT218"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8"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8" s="419">
        <f>WWWW[[#This Row],[HRP1]]/250</f>
        <v>0</v>
      </c>
      <c r="AW218" s="424">
        <f>1-WWWW[[#This Row],[% Equitable and continuous access to sufficient quantity of domestic water]]</f>
        <v>1</v>
      </c>
      <c r="AX218" s="419">
        <f>WWWW[[#This Row],[%equitable and continuous access to sufficient quantity of safe drinking and domestic water''s GAP]]*WWWW[[#This Row],[Total PoP ]]</f>
        <v>394</v>
      </c>
      <c r="AY218" s="421">
        <f>IF(WWWW[[#This Row],[Total required water points]]-WWWW[[#This Row],['#Water points coverage]]&lt;0,0,WWWW[[#This Row],[Total required water points]]-WWWW[[#This Row],['#Water points coverage]])</f>
        <v>2</v>
      </c>
      <c r="AZ218" s="421">
        <f>ROUND(IF(WWWW[[#This Row],[Total PoP ]]&lt;250,1,WWWW[[#This Row],[Total PoP ]]/250),0)</f>
        <v>2</v>
      </c>
      <c r="BA218"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8" s="419">
        <f>WWWW[[#This Row],[% people access to functioning Latrine]]*WWWW[[#This Row],[Total PoP ]]</f>
        <v>0</v>
      </c>
      <c r="BC218" s="421">
        <f>WWWW[[#This Row],['#_of_Functioning_latrines_in_school]]*50</f>
        <v>0</v>
      </c>
      <c r="BD218" s="421">
        <f>ROUND((WWWW[[#This Row],[Total PoP ]]/6),0)</f>
        <v>66</v>
      </c>
      <c r="BE218" s="421">
        <f>IF(WWWW[[#This Row],[Total required Latrines]]-(WWWW[[#This Row],['#_of_sanitary_fly-proof_HH_latrines]])&lt;0,0,WWWW[[#This Row],[Total required Latrines]]-(WWWW[[#This Row],['#_of_sanitary_fly-proof_HH_latrines]]))</f>
        <v>66</v>
      </c>
      <c r="BF218" s="563">
        <f>1-WWWW[[#This Row],[% people access to functioning Latrine]]</f>
        <v>1</v>
      </c>
      <c r="BG218"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8" s="419">
        <f>IF(WWWW[[#This Row],['#_of_functional_handwashing_facilities_at_HH_level]]*6&gt;WWWW[[#This Row],[Total PoP ]],WWWW[[#This Row],[Total PoP ]],WWWW[[#This Row],['#_of_functional_handwashing_facilities_at_HH_level]]*6)</f>
        <v>0</v>
      </c>
      <c r="BI218" s="421">
        <f>IF(WWWW[[#This Row],['# people reached by regular dedicated hygiene promotion]]&gt;WWWW[[#This Row],['# People received regular supply of hygiene items]],WWWW[[#This Row],['# people reached by regular dedicated hygiene promotion]],WWWW[[#This Row],['# People received regular supply of hygiene items]])</f>
        <v>0</v>
      </c>
      <c r="BJ218" s="424">
        <f>IF(WWWW[[#This Row],[HRP3]]/WWWW[[#This Row],[Total PoP ]]&gt;100%,100%,WWWW[[#This Row],[HRP3]]/WWWW[[#This Row],[Total PoP ]])</f>
        <v>0</v>
      </c>
      <c r="BK218" s="423">
        <f>1-WWWW[[#This Row],[Hygiene Coverage%]]</f>
        <v>1</v>
      </c>
      <c r="BL218" s="422">
        <f>WWWW[[#This Row],['# people reached by regular dedicated hygiene promotion]]/WWWW[[#This Row],[Total PoP ]]</f>
        <v>0</v>
      </c>
      <c r="BM218"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8" s="421">
        <f>WWWW[[#This Row],['#_of_affected_women_and_girls_receiving_a_sufficient_quantity_of_sanitary_pads]]</f>
        <v>0</v>
      </c>
      <c r="BO218" s="420">
        <f>IF(WWWW[[#This Row],['# People with access to soap]]&gt;WWWW[[#This Row],['# People with access to Sanity Pads]],WWWW[[#This Row],['# People with access to soap]],WWWW[[#This Row],['# People with access to Sanity Pads]])</f>
        <v>0</v>
      </c>
      <c r="BP218" s="419" t="str">
        <f>IF(OR(WWWW[[#This Row],['#of students in school]]="",WWWW[[#This Row],['#of students in school]]=0),"No","Yes")</f>
        <v>No</v>
      </c>
      <c r="BQ218" s="417" t="str">
        <f>VLOOKUP(WWWW[[#This Row],[Village  Name]],SiteDB6[[Site Name]:[Location Type 1]],9,FALSE)</f>
        <v>Village</v>
      </c>
      <c r="BR218" s="417" t="str">
        <f>VLOOKUP(WWWW[[#This Row],[Village  Name]],SiteDB6[[Site Name]:[Type of Accommodation]],10,FALSE)</f>
        <v>Village</v>
      </c>
      <c r="BS218" s="417" t="str">
        <f>VLOOKUP(WWWW[[#This Row],[Village  Name]],SiteDB6[[Site Name]:[Ethnic or GCA/NGCA]],11,FALSE)</f>
        <v>Rakhine, Mro, Khami</v>
      </c>
      <c r="BT218" s="417">
        <f>VLOOKUP(WWWW[[#This Row],[Village  Name]],SiteDB6[[Site Name]:[Lat]],12,FALSE)</f>
        <v>20.681715010000001</v>
      </c>
      <c r="BU218" s="417">
        <f>VLOOKUP(WWWW[[#This Row],[Village  Name]],SiteDB6[[Site Name]:[Long]],13,FALSE)</f>
        <v>92.94140625</v>
      </c>
      <c r="BV218" s="417">
        <f>VLOOKUP(WWWW[[#This Row],[Village  Name]],SiteDB6[[Site Name]:[Pcode]],3,FALSE)</f>
        <v>196930</v>
      </c>
      <c r="BW218" s="425" t="str">
        <f t="shared" si="8"/>
        <v>Covered</v>
      </c>
      <c r="BX218" s="425"/>
      <c r="BY218" s="552"/>
      <c r="BZ218" s="552"/>
      <c r="CA218" s="575"/>
      <c r="CB218" s="552"/>
      <c r="CC218" s="553"/>
      <c r="CD218" s="553"/>
      <c r="CE218" s="554"/>
      <c r="CF218" s="554"/>
      <c r="CG218" s="554"/>
      <c r="CH218" s="554"/>
      <c r="CI218" s="554"/>
      <c r="CJ218" s="554"/>
      <c r="CK218" s="554"/>
      <c r="CL218" s="554"/>
      <c r="CM218" s="554"/>
    </row>
    <row r="219" spans="1:91" s="550" customFormat="1" hidden="1">
      <c r="A219" s="412" t="s">
        <v>2380</v>
      </c>
      <c r="B219" s="412" t="s">
        <v>320</v>
      </c>
      <c r="C219" s="418" t="s">
        <v>320</v>
      </c>
      <c r="D219" s="418" t="s">
        <v>336</v>
      </c>
      <c r="E219" s="551" t="s">
        <v>2687</v>
      </c>
      <c r="F219" s="418" t="s">
        <v>304</v>
      </c>
      <c r="G219" s="551" t="str">
        <f>VLOOKUP(WWWW[[#This Row],[Village  Name]],SiteDB6[[Site Name]:[Location Type]],8,FALSE)</f>
        <v>Village</v>
      </c>
      <c r="H219" s="418" t="s">
        <v>693</v>
      </c>
      <c r="I219" s="420">
        <v>185</v>
      </c>
      <c r="J219" s="420">
        <v>915</v>
      </c>
      <c r="K219" s="426">
        <v>42887</v>
      </c>
      <c r="L219" s="427">
        <v>43616</v>
      </c>
      <c r="M219" s="420"/>
      <c r="N219" s="420"/>
      <c r="O219" s="420"/>
      <c r="P219" s="420"/>
      <c r="Q219" s="420"/>
      <c r="R219" s="420"/>
      <c r="S219" s="420"/>
      <c r="T219" s="642"/>
      <c r="U219" s="420"/>
      <c r="V219" s="420"/>
      <c r="W219" s="420"/>
      <c r="X219" s="420"/>
      <c r="Y219" s="420"/>
      <c r="Z219" s="420"/>
      <c r="AA219" s="420"/>
      <c r="AB219" s="642"/>
      <c r="AC219" s="420"/>
      <c r="AD219" s="420"/>
      <c r="AE219" s="420"/>
      <c r="AF219" s="420"/>
      <c r="AG219" s="420"/>
      <c r="AH219" s="420"/>
      <c r="AI219" s="420"/>
      <c r="AJ219" s="420"/>
      <c r="AK219" s="420"/>
      <c r="AL219" s="420"/>
      <c r="AM219" s="642"/>
      <c r="AN219" s="420"/>
      <c r="AO219" s="420"/>
      <c r="AP219"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19" s="419">
        <f>WWWW[[#This Row],[%Equitable and continuous access to sufficient quantity of safe drinking water]]*WWWW[[#This Row],[Total PoP ]]</f>
        <v>0</v>
      </c>
      <c r="AR219"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19" s="419">
        <f>WWWW[[#This Row],[% Access to unimproved water points]]*WWWW[[#This Row],[Total PoP ]]</f>
        <v>0</v>
      </c>
      <c r="AT219"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19"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19" s="419">
        <f>WWWW[[#This Row],[HRP1]]/250</f>
        <v>0</v>
      </c>
      <c r="AW219" s="424">
        <f>1-WWWW[[#This Row],[% Equitable and continuous access to sufficient quantity of domestic water]]</f>
        <v>1</v>
      </c>
      <c r="AX219" s="419">
        <f>WWWW[[#This Row],[%equitable and continuous access to sufficient quantity of safe drinking and domestic water''s GAP]]*WWWW[[#This Row],[Total PoP ]]</f>
        <v>915</v>
      </c>
      <c r="AY219" s="421">
        <f>IF(WWWW[[#This Row],[Total required water points]]-WWWW[[#This Row],['#Water points coverage]]&lt;0,0,WWWW[[#This Row],[Total required water points]]-WWWW[[#This Row],['#Water points coverage]])</f>
        <v>4</v>
      </c>
      <c r="AZ219" s="421">
        <f>ROUND(IF(WWWW[[#This Row],[Total PoP ]]&lt;250,1,WWWW[[#This Row],[Total PoP ]]/250),0)</f>
        <v>4</v>
      </c>
      <c r="BA219"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19" s="419">
        <f>WWWW[[#This Row],[% people access to functioning Latrine]]*WWWW[[#This Row],[Total PoP ]]</f>
        <v>0</v>
      </c>
      <c r="BC219" s="421">
        <f>WWWW[[#This Row],['#_of_Functioning_latrines_in_school]]*50</f>
        <v>0</v>
      </c>
      <c r="BD219" s="421">
        <f>ROUND((WWWW[[#This Row],[Total PoP ]]/6),0)</f>
        <v>153</v>
      </c>
      <c r="BE219" s="421">
        <f>IF(WWWW[[#This Row],[Total required Latrines]]-(WWWW[[#This Row],['#_of_sanitary_fly-proof_HH_latrines]])&lt;0,0,WWWW[[#This Row],[Total required Latrines]]-(WWWW[[#This Row],['#_of_sanitary_fly-proof_HH_latrines]]))</f>
        <v>153</v>
      </c>
      <c r="BF219" s="563">
        <f>1-WWWW[[#This Row],[% people access to functioning Latrine]]</f>
        <v>1</v>
      </c>
      <c r="BG219"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19" s="419">
        <f>IF(WWWW[[#This Row],['#_of_functional_handwashing_facilities_at_HH_level]]*6&gt;WWWW[[#This Row],[Total PoP ]],WWWW[[#This Row],[Total PoP ]],WWWW[[#This Row],['#_of_functional_handwashing_facilities_at_HH_level]]*6)</f>
        <v>0</v>
      </c>
      <c r="BI219" s="421">
        <f>IF(WWWW[[#This Row],['# people reached by regular dedicated hygiene promotion]]&gt;WWWW[[#This Row],['# People received regular supply of hygiene items]],WWWW[[#This Row],['# people reached by regular dedicated hygiene promotion]],WWWW[[#This Row],['# People received regular supply of hygiene items]])</f>
        <v>0</v>
      </c>
      <c r="BJ219" s="424">
        <f>IF(WWWW[[#This Row],[HRP3]]/WWWW[[#This Row],[Total PoP ]]&gt;100%,100%,WWWW[[#This Row],[HRP3]]/WWWW[[#This Row],[Total PoP ]])</f>
        <v>0</v>
      </c>
      <c r="BK219" s="423">
        <f>1-WWWW[[#This Row],[Hygiene Coverage%]]</f>
        <v>1</v>
      </c>
      <c r="BL219" s="422">
        <f>WWWW[[#This Row],['# people reached by regular dedicated hygiene promotion]]/WWWW[[#This Row],[Total PoP ]]</f>
        <v>0</v>
      </c>
      <c r="BM219"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19" s="421">
        <f>WWWW[[#This Row],['#_of_affected_women_and_girls_receiving_a_sufficient_quantity_of_sanitary_pads]]</f>
        <v>0</v>
      </c>
      <c r="BO219" s="420">
        <f>IF(WWWW[[#This Row],['# People with access to soap]]&gt;WWWW[[#This Row],['# People with access to Sanity Pads]],WWWW[[#This Row],['# People with access to soap]],WWWW[[#This Row],['# People with access to Sanity Pads]])</f>
        <v>0</v>
      </c>
      <c r="BP219" s="419" t="str">
        <f>IF(OR(WWWW[[#This Row],['#of students in school]]="",WWWW[[#This Row],['#of students in school]]=0),"No","Yes")</f>
        <v>No</v>
      </c>
      <c r="BQ219" s="417" t="str">
        <f>VLOOKUP(WWWW[[#This Row],[Village  Name]],SiteDB6[[Site Name]:[Location Type 1]],9,FALSE)</f>
        <v>Village</v>
      </c>
      <c r="BR219" s="417" t="str">
        <f>VLOOKUP(WWWW[[#This Row],[Village  Name]],SiteDB6[[Site Name]:[Type of Accommodation]],10,FALSE)</f>
        <v>Village</v>
      </c>
      <c r="BS219" s="417" t="str">
        <f>VLOOKUP(WWWW[[#This Row],[Village  Name]],SiteDB6[[Site Name]:[Ethnic or GCA/NGCA]],11,FALSE)</f>
        <v>Rakhine</v>
      </c>
      <c r="BT219" s="417">
        <f>VLOOKUP(WWWW[[#This Row],[Village  Name]],SiteDB6[[Site Name]:[Lat]],12,FALSE)</f>
        <v>20.786739350000001</v>
      </c>
      <c r="BU219" s="417">
        <f>VLOOKUP(WWWW[[#This Row],[Village  Name]],SiteDB6[[Site Name]:[Long]],13,FALSE)</f>
        <v>92.944313050000005</v>
      </c>
      <c r="BV219" s="417">
        <f>VLOOKUP(WWWW[[#This Row],[Village  Name]],SiteDB6[[Site Name]:[Pcode]],3,FALSE)</f>
        <v>196884</v>
      </c>
      <c r="BW219" s="425" t="str">
        <f t="shared" si="8"/>
        <v>Covered</v>
      </c>
      <c r="BX219" s="425"/>
      <c r="BY219" s="552"/>
      <c r="BZ219" s="552"/>
      <c r="CA219" s="575"/>
      <c r="CB219" s="552"/>
      <c r="CC219" s="553"/>
      <c r="CD219" s="553"/>
      <c r="CE219" s="554"/>
      <c r="CF219" s="554"/>
      <c r="CG219" s="554"/>
      <c r="CH219" s="554"/>
      <c r="CI219" s="554"/>
      <c r="CJ219" s="554"/>
      <c r="CK219" s="554"/>
      <c r="CL219" s="554"/>
      <c r="CM219" s="554"/>
    </row>
    <row r="220" spans="1:91" s="550" customFormat="1" hidden="1">
      <c r="A220" s="412" t="s">
        <v>2380</v>
      </c>
      <c r="B220" s="412" t="s">
        <v>320</v>
      </c>
      <c r="C220" s="418" t="s">
        <v>320</v>
      </c>
      <c r="D220" s="418" t="s">
        <v>336</v>
      </c>
      <c r="E220" s="551" t="s">
        <v>2687</v>
      </c>
      <c r="F220" s="418" t="s">
        <v>304</v>
      </c>
      <c r="G220" s="551" t="str">
        <f>VLOOKUP(WWWW[[#This Row],[Village  Name]],SiteDB6[[Site Name]:[Location Type]],8,FALSE)</f>
        <v>Village</v>
      </c>
      <c r="H220" s="418" t="s">
        <v>557</v>
      </c>
      <c r="I220" s="420">
        <v>293</v>
      </c>
      <c r="J220" s="420">
        <v>1503</v>
      </c>
      <c r="K220" s="426">
        <v>42887</v>
      </c>
      <c r="L220" s="427">
        <v>43616</v>
      </c>
      <c r="M220" s="420"/>
      <c r="N220" s="420"/>
      <c r="O220" s="420"/>
      <c r="P220" s="420"/>
      <c r="Q220" s="420"/>
      <c r="R220" s="420"/>
      <c r="S220" s="420"/>
      <c r="T220" s="642"/>
      <c r="U220" s="420"/>
      <c r="V220" s="420"/>
      <c r="W220" s="420"/>
      <c r="X220" s="420"/>
      <c r="Y220" s="420"/>
      <c r="Z220" s="420"/>
      <c r="AA220" s="420"/>
      <c r="AB220" s="642"/>
      <c r="AC220" s="420"/>
      <c r="AD220" s="420"/>
      <c r="AE220" s="420"/>
      <c r="AF220" s="420"/>
      <c r="AG220" s="420"/>
      <c r="AH220" s="420"/>
      <c r="AI220" s="420"/>
      <c r="AJ220" s="420"/>
      <c r="AK220" s="420"/>
      <c r="AL220" s="420"/>
      <c r="AM220" s="642"/>
      <c r="AN220" s="420"/>
      <c r="AO220" s="420"/>
      <c r="AP220"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0" s="419">
        <f>WWWW[[#This Row],[%Equitable and continuous access to sufficient quantity of safe drinking water]]*WWWW[[#This Row],[Total PoP ]]</f>
        <v>0</v>
      </c>
      <c r="AR220"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20" s="419">
        <f>WWWW[[#This Row],[% Access to unimproved water points]]*WWWW[[#This Row],[Total PoP ]]</f>
        <v>0</v>
      </c>
      <c r="AT220"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20"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20" s="419">
        <f>WWWW[[#This Row],[HRP1]]/250</f>
        <v>0</v>
      </c>
      <c r="AW220" s="424">
        <f>1-WWWW[[#This Row],[% Equitable and continuous access to sufficient quantity of domestic water]]</f>
        <v>1</v>
      </c>
      <c r="AX220" s="419">
        <f>WWWW[[#This Row],[%equitable and continuous access to sufficient quantity of safe drinking and domestic water''s GAP]]*WWWW[[#This Row],[Total PoP ]]</f>
        <v>1503</v>
      </c>
      <c r="AY220" s="421">
        <f>IF(WWWW[[#This Row],[Total required water points]]-WWWW[[#This Row],['#Water points coverage]]&lt;0,0,WWWW[[#This Row],[Total required water points]]-WWWW[[#This Row],['#Water points coverage]])</f>
        <v>6</v>
      </c>
      <c r="AZ220" s="421">
        <f>ROUND(IF(WWWW[[#This Row],[Total PoP ]]&lt;250,1,WWWW[[#This Row],[Total PoP ]]/250),0)</f>
        <v>6</v>
      </c>
      <c r="BA220"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20" s="419">
        <f>WWWW[[#This Row],[% people access to functioning Latrine]]*WWWW[[#This Row],[Total PoP ]]</f>
        <v>0</v>
      </c>
      <c r="BC220" s="421">
        <f>WWWW[[#This Row],['#_of_Functioning_latrines_in_school]]*50</f>
        <v>0</v>
      </c>
      <c r="BD220" s="421">
        <f>ROUND((WWWW[[#This Row],[Total PoP ]]/6),0)</f>
        <v>251</v>
      </c>
      <c r="BE220" s="421">
        <f>IF(WWWW[[#This Row],[Total required Latrines]]-(WWWW[[#This Row],['#_of_sanitary_fly-proof_HH_latrines]])&lt;0,0,WWWW[[#This Row],[Total required Latrines]]-(WWWW[[#This Row],['#_of_sanitary_fly-proof_HH_latrines]]))</f>
        <v>251</v>
      </c>
      <c r="BF220" s="563">
        <f>1-WWWW[[#This Row],[% people access to functioning Latrine]]</f>
        <v>1</v>
      </c>
      <c r="BG220"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0" s="419">
        <f>IF(WWWW[[#This Row],['#_of_functional_handwashing_facilities_at_HH_level]]*6&gt;WWWW[[#This Row],[Total PoP ]],WWWW[[#This Row],[Total PoP ]],WWWW[[#This Row],['#_of_functional_handwashing_facilities_at_HH_level]]*6)</f>
        <v>0</v>
      </c>
      <c r="BI220" s="421">
        <f>IF(WWWW[[#This Row],['# people reached by regular dedicated hygiene promotion]]&gt;WWWW[[#This Row],['# People received regular supply of hygiene items]],WWWW[[#This Row],['# people reached by regular dedicated hygiene promotion]],WWWW[[#This Row],['# People received regular supply of hygiene items]])</f>
        <v>0</v>
      </c>
      <c r="BJ220" s="424">
        <f>IF(WWWW[[#This Row],[HRP3]]/WWWW[[#This Row],[Total PoP ]]&gt;100%,100%,WWWW[[#This Row],[HRP3]]/WWWW[[#This Row],[Total PoP ]])</f>
        <v>0</v>
      </c>
      <c r="BK220" s="423">
        <f>1-WWWW[[#This Row],[Hygiene Coverage%]]</f>
        <v>1</v>
      </c>
      <c r="BL220" s="422">
        <f>WWWW[[#This Row],['# people reached by regular dedicated hygiene promotion]]/WWWW[[#This Row],[Total PoP ]]</f>
        <v>0</v>
      </c>
      <c r="BM220"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0" s="421">
        <f>WWWW[[#This Row],['#_of_affected_women_and_girls_receiving_a_sufficient_quantity_of_sanitary_pads]]</f>
        <v>0</v>
      </c>
      <c r="BO220" s="420">
        <f>IF(WWWW[[#This Row],['# People with access to soap]]&gt;WWWW[[#This Row],['# People with access to Sanity Pads]],WWWW[[#This Row],['# People with access to soap]],WWWW[[#This Row],['# People with access to Sanity Pads]])</f>
        <v>0</v>
      </c>
      <c r="BP220" s="419" t="str">
        <f>IF(OR(WWWW[[#This Row],['#of students in school]]="",WWWW[[#This Row],['#of students in school]]=0),"No","Yes")</f>
        <v>No</v>
      </c>
      <c r="BQ220" s="417" t="str">
        <f>VLOOKUP(WWWW[[#This Row],[Village  Name]],SiteDB6[[Site Name]:[Location Type 1]],9,FALSE)</f>
        <v>Village</v>
      </c>
      <c r="BR220" s="417" t="str">
        <f>VLOOKUP(WWWW[[#This Row],[Village  Name]],SiteDB6[[Site Name]:[Type of Accommodation]],10,FALSE)</f>
        <v>Village</v>
      </c>
      <c r="BS220" s="417" t="str">
        <f>VLOOKUP(WWWW[[#This Row],[Village  Name]],SiteDB6[[Site Name]:[Ethnic or GCA/NGCA]],11,FALSE)</f>
        <v>Rakhine</v>
      </c>
      <c r="BT220" s="417">
        <f>VLOOKUP(WWWW[[#This Row],[Village  Name]],SiteDB6[[Site Name]:[Lat]],12,FALSE)</f>
        <v>20.71134949</v>
      </c>
      <c r="BU220" s="417">
        <f>VLOOKUP(WWWW[[#This Row],[Village  Name]],SiteDB6[[Site Name]:[Long]],13,FALSE)</f>
        <v>92.980506899999995</v>
      </c>
      <c r="BV220" s="417">
        <f>VLOOKUP(WWWW[[#This Row],[Village  Name]],SiteDB6[[Site Name]:[Pcode]],3,FALSE)</f>
        <v>196944</v>
      </c>
      <c r="BW220" s="425" t="str">
        <f t="shared" si="8"/>
        <v>Covered</v>
      </c>
      <c r="BX220" s="425"/>
      <c r="BY220" s="552"/>
      <c r="BZ220" s="552"/>
      <c r="CA220" s="575"/>
      <c r="CB220" s="552"/>
      <c r="CC220" s="553"/>
      <c r="CD220" s="553"/>
      <c r="CE220" s="554"/>
      <c r="CF220" s="554"/>
      <c r="CG220" s="554"/>
      <c r="CH220" s="554"/>
      <c r="CI220" s="554"/>
      <c r="CJ220" s="554"/>
      <c r="CK220" s="554"/>
      <c r="CL220" s="554"/>
      <c r="CM220" s="554"/>
    </row>
    <row r="221" spans="1:91" s="550" customFormat="1" hidden="1">
      <c r="A221" s="412" t="s">
        <v>2380</v>
      </c>
      <c r="B221" s="412" t="s">
        <v>320</v>
      </c>
      <c r="C221" s="418" t="s">
        <v>320</v>
      </c>
      <c r="D221" s="418" t="s">
        <v>336</v>
      </c>
      <c r="E221" s="551" t="s">
        <v>2687</v>
      </c>
      <c r="F221" s="418" t="s">
        <v>304</v>
      </c>
      <c r="G221" s="551" t="str">
        <f>VLOOKUP(WWWW[[#This Row],[Village  Name]],SiteDB6[[Site Name]:[Location Type]],8,FALSE)</f>
        <v>Village</v>
      </c>
      <c r="H221" s="418" t="s">
        <v>598</v>
      </c>
      <c r="I221" s="420">
        <v>122</v>
      </c>
      <c r="J221" s="420">
        <v>486</v>
      </c>
      <c r="K221" s="426">
        <v>42887</v>
      </c>
      <c r="L221" s="427">
        <v>43616</v>
      </c>
      <c r="M221" s="420"/>
      <c r="N221" s="420"/>
      <c r="O221" s="420"/>
      <c r="P221" s="420"/>
      <c r="Q221" s="420"/>
      <c r="R221" s="420"/>
      <c r="S221" s="420"/>
      <c r="T221" s="642"/>
      <c r="U221" s="420"/>
      <c r="V221" s="420"/>
      <c r="W221" s="420"/>
      <c r="X221" s="420"/>
      <c r="Y221" s="420"/>
      <c r="Z221" s="420"/>
      <c r="AA221" s="420"/>
      <c r="AB221" s="642"/>
      <c r="AC221" s="420"/>
      <c r="AD221" s="420"/>
      <c r="AE221" s="420"/>
      <c r="AF221" s="420"/>
      <c r="AG221" s="420"/>
      <c r="AH221" s="420"/>
      <c r="AI221" s="420"/>
      <c r="AJ221" s="420"/>
      <c r="AK221" s="420"/>
      <c r="AL221" s="420"/>
      <c r="AM221" s="642"/>
      <c r="AN221" s="420"/>
      <c r="AO221" s="420"/>
      <c r="AP221"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1" s="419">
        <f>WWWW[[#This Row],[%Equitable and continuous access to sufficient quantity of safe drinking water]]*WWWW[[#This Row],[Total PoP ]]</f>
        <v>0</v>
      </c>
      <c r="AR221"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21" s="419">
        <f>WWWW[[#This Row],[% Access to unimproved water points]]*WWWW[[#This Row],[Total PoP ]]</f>
        <v>0</v>
      </c>
      <c r="AT221"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21"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21" s="419">
        <f>WWWW[[#This Row],[HRP1]]/250</f>
        <v>0</v>
      </c>
      <c r="AW221" s="424">
        <f>1-WWWW[[#This Row],[% Equitable and continuous access to sufficient quantity of domestic water]]</f>
        <v>1</v>
      </c>
      <c r="AX221" s="419">
        <f>WWWW[[#This Row],[%equitable and continuous access to sufficient quantity of safe drinking and domestic water''s GAP]]*WWWW[[#This Row],[Total PoP ]]</f>
        <v>486</v>
      </c>
      <c r="AY221" s="421">
        <f>IF(WWWW[[#This Row],[Total required water points]]-WWWW[[#This Row],['#Water points coverage]]&lt;0,0,WWWW[[#This Row],[Total required water points]]-WWWW[[#This Row],['#Water points coverage]])</f>
        <v>2</v>
      </c>
      <c r="AZ221" s="421">
        <f>ROUND(IF(WWWW[[#This Row],[Total PoP ]]&lt;250,1,WWWW[[#This Row],[Total PoP ]]/250),0)</f>
        <v>2</v>
      </c>
      <c r="BA221"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21" s="419">
        <f>WWWW[[#This Row],[% people access to functioning Latrine]]*WWWW[[#This Row],[Total PoP ]]</f>
        <v>0</v>
      </c>
      <c r="BC221" s="421">
        <f>WWWW[[#This Row],['#_of_Functioning_latrines_in_school]]*50</f>
        <v>0</v>
      </c>
      <c r="BD221" s="421">
        <f>ROUND((WWWW[[#This Row],[Total PoP ]]/6),0)</f>
        <v>81</v>
      </c>
      <c r="BE221" s="421">
        <f>IF(WWWW[[#This Row],[Total required Latrines]]-(WWWW[[#This Row],['#_of_sanitary_fly-proof_HH_latrines]])&lt;0,0,WWWW[[#This Row],[Total required Latrines]]-(WWWW[[#This Row],['#_of_sanitary_fly-proof_HH_latrines]]))</f>
        <v>81</v>
      </c>
      <c r="BF221" s="563">
        <f>1-WWWW[[#This Row],[% people access to functioning Latrine]]</f>
        <v>1</v>
      </c>
      <c r="BG221"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1" s="419">
        <f>IF(WWWW[[#This Row],['#_of_functional_handwashing_facilities_at_HH_level]]*6&gt;WWWW[[#This Row],[Total PoP ]],WWWW[[#This Row],[Total PoP ]],WWWW[[#This Row],['#_of_functional_handwashing_facilities_at_HH_level]]*6)</f>
        <v>0</v>
      </c>
      <c r="BI221" s="421">
        <f>IF(WWWW[[#This Row],['# people reached by regular dedicated hygiene promotion]]&gt;WWWW[[#This Row],['# People received regular supply of hygiene items]],WWWW[[#This Row],['# people reached by regular dedicated hygiene promotion]],WWWW[[#This Row],['# People received regular supply of hygiene items]])</f>
        <v>0</v>
      </c>
      <c r="BJ221" s="424">
        <f>IF(WWWW[[#This Row],[HRP3]]/WWWW[[#This Row],[Total PoP ]]&gt;100%,100%,WWWW[[#This Row],[HRP3]]/WWWW[[#This Row],[Total PoP ]])</f>
        <v>0</v>
      </c>
      <c r="BK221" s="423">
        <f>1-WWWW[[#This Row],[Hygiene Coverage%]]</f>
        <v>1</v>
      </c>
      <c r="BL221" s="422">
        <f>WWWW[[#This Row],['# people reached by regular dedicated hygiene promotion]]/WWWW[[#This Row],[Total PoP ]]</f>
        <v>0</v>
      </c>
      <c r="BM221"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1" s="421">
        <f>WWWW[[#This Row],['#_of_affected_women_and_girls_receiving_a_sufficient_quantity_of_sanitary_pads]]</f>
        <v>0</v>
      </c>
      <c r="BO221" s="420">
        <f>IF(WWWW[[#This Row],['# People with access to soap]]&gt;WWWW[[#This Row],['# People with access to Sanity Pads]],WWWW[[#This Row],['# People with access to soap]],WWWW[[#This Row],['# People with access to Sanity Pads]])</f>
        <v>0</v>
      </c>
      <c r="BP221" s="419" t="str">
        <f>IF(OR(WWWW[[#This Row],['#of students in school]]="",WWWW[[#This Row],['#of students in school]]=0),"No","Yes")</f>
        <v>No</v>
      </c>
      <c r="BQ221" s="417" t="str">
        <f>VLOOKUP(WWWW[[#This Row],[Village  Name]],SiteDB6[[Site Name]:[Location Type 1]],9,FALSE)</f>
        <v>Village</v>
      </c>
      <c r="BR221" s="417" t="str">
        <f>VLOOKUP(WWWW[[#This Row],[Village  Name]],SiteDB6[[Site Name]:[Type of Accommodation]],10,FALSE)</f>
        <v>Village</v>
      </c>
      <c r="BS221" s="417" t="str">
        <f>VLOOKUP(WWWW[[#This Row],[Village  Name]],SiteDB6[[Site Name]:[Ethnic or GCA/NGCA]],11,FALSE)</f>
        <v>Mro</v>
      </c>
      <c r="BT221" s="417">
        <f>VLOOKUP(WWWW[[#This Row],[Village  Name]],SiteDB6[[Site Name]:[Lat]],12,FALSE)</f>
        <v>20.785770419999999</v>
      </c>
      <c r="BU221" s="417">
        <f>VLOOKUP(WWWW[[#This Row],[Village  Name]],SiteDB6[[Site Name]:[Long]],13,FALSE)</f>
        <v>92.931426999999999</v>
      </c>
      <c r="BV221" s="417">
        <f>VLOOKUP(WWWW[[#This Row],[Village  Name]],SiteDB6[[Site Name]:[Pcode]],3,FALSE)</f>
        <v>196887</v>
      </c>
      <c r="BW221" s="425" t="str">
        <f t="shared" si="8"/>
        <v>Covered</v>
      </c>
      <c r="BX221" s="425"/>
      <c r="BY221" s="552"/>
      <c r="BZ221" s="552"/>
      <c r="CA221" s="575"/>
      <c r="CB221" s="552"/>
      <c r="CC221" s="553"/>
      <c r="CD221" s="553"/>
      <c r="CE221" s="554"/>
      <c r="CF221" s="554"/>
      <c r="CG221" s="554"/>
      <c r="CH221" s="554"/>
      <c r="CI221" s="554"/>
      <c r="CJ221" s="554"/>
      <c r="CK221" s="554"/>
      <c r="CL221" s="554"/>
      <c r="CM221" s="554"/>
    </row>
    <row r="222" spans="1:91" s="550" customFormat="1" hidden="1">
      <c r="A222" s="412" t="s">
        <v>2380</v>
      </c>
      <c r="B222" s="412" t="s">
        <v>320</v>
      </c>
      <c r="C222" s="418" t="s">
        <v>320</v>
      </c>
      <c r="D222" s="418" t="s">
        <v>336</v>
      </c>
      <c r="E222" s="551" t="s">
        <v>2687</v>
      </c>
      <c r="F222" s="418" t="s">
        <v>304</v>
      </c>
      <c r="G222" s="551" t="str">
        <f>VLOOKUP(WWWW[[#This Row],[Village  Name]],SiteDB6[[Site Name]:[Location Type]],8,FALSE)</f>
        <v>Village</v>
      </c>
      <c r="H222" s="418" t="s">
        <v>554</v>
      </c>
      <c r="I222" s="420">
        <v>361</v>
      </c>
      <c r="J222" s="420">
        <v>1669</v>
      </c>
      <c r="K222" s="426">
        <v>42887</v>
      </c>
      <c r="L222" s="427">
        <v>43616</v>
      </c>
      <c r="M222" s="420"/>
      <c r="N222" s="420"/>
      <c r="O222" s="420"/>
      <c r="P222" s="420"/>
      <c r="Q222" s="420"/>
      <c r="R222" s="420"/>
      <c r="S222" s="420"/>
      <c r="T222" s="642"/>
      <c r="U222" s="420"/>
      <c r="V222" s="420"/>
      <c r="W222" s="420"/>
      <c r="X222" s="420"/>
      <c r="Y222" s="420"/>
      <c r="Z222" s="420"/>
      <c r="AA222" s="420"/>
      <c r="AB222" s="642"/>
      <c r="AC222" s="420"/>
      <c r="AD222" s="420"/>
      <c r="AE222" s="420"/>
      <c r="AF222" s="420"/>
      <c r="AG222" s="420"/>
      <c r="AH222" s="420"/>
      <c r="AI222" s="420"/>
      <c r="AJ222" s="420"/>
      <c r="AK222" s="420"/>
      <c r="AL222" s="420"/>
      <c r="AM222" s="642"/>
      <c r="AN222" s="420"/>
      <c r="AO222" s="420"/>
      <c r="AP222" s="422">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2" s="419">
        <f>WWWW[[#This Row],[%Equitable and continuous access to sufficient quantity of safe drinking water]]*WWWW[[#This Row],[Total PoP ]]</f>
        <v>0</v>
      </c>
      <c r="AR222" s="422">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22" s="419">
        <f>WWWW[[#This Row],[% Access to unimproved water points]]*WWWW[[#This Row],[Total PoP ]]</f>
        <v>0</v>
      </c>
      <c r="AT222" s="42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22" s="41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22" s="419">
        <f>WWWW[[#This Row],[HRP1]]/250</f>
        <v>0</v>
      </c>
      <c r="AW222" s="424">
        <f>1-WWWW[[#This Row],[% Equitable and continuous access to sufficient quantity of domestic water]]</f>
        <v>1</v>
      </c>
      <c r="AX222" s="419">
        <f>WWWW[[#This Row],[%equitable and continuous access to sufficient quantity of safe drinking and domestic water''s GAP]]*WWWW[[#This Row],[Total PoP ]]</f>
        <v>1669</v>
      </c>
      <c r="AY222" s="421">
        <f>IF(WWWW[[#This Row],[Total required water points]]-WWWW[[#This Row],['#Water points coverage]]&lt;0,0,WWWW[[#This Row],[Total required water points]]-WWWW[[#This Row],['#Water points coverage]])</f>
        <v>7</v>
      </c>
      <c r="AZ222" s="421">
        <f>ROUND(IF(WWWW[[#This Row],[Total PoP ]]&lt;250,1,WWWW[[#This Row],[Total PoP ]]/250),0)</f>
        <v>7</v>
      </c>
      <c r="BA222" s="422">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22" s="419">
        <f>WWWW[[#This Row],[% people access to functioning Latrine]]*WWWW[[#This Row],[Total PoP ]]</f>
        <v>0</v>
      </c>
      <c r="BC222" s="421">
        <f>WWWW[[#This Row],['#_of_Functioning_latrines_in_school]]*50</f>
        <v>0</v>
      </c>
      <c r="BD222" s="421">
        <f>ROUND((WWWW[[#This Row],[Total PoP ]]/6),0)</f>
        <v>278</v>
      </c>
      <c r="BE222" s="421">
        <f>IF(WWWW[[#This Row],[Total required Latrines]]-(WWWW[[#This Row],['#_of_sanitary_fly-proof_HH_latrines]])&lt;0,0,WWWW[[#This Row],[Total required Latrines]]-(WWWW[[#This Row],['#_of_sanitary_fly-proof_HH_latrines]]))</f>
        <v>278</v>
      </c>
      <c r="BF222" s="563">
        <f>1-WWWW[[#This Row],[% people access to functioning Latrine]]</f>
        <v>1</v>
      </c>
      <c r="BG222" s="419">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2" s="419">
        <f>IF(WWWW[[#This Row],['#_of_functional_handwashing_facilities_at_HH_level]]*6&gt;WWWW[[#This Row],[Total PoP ]],WWWW[[#This Row],[Total PoP ]],WWWW[[#This Row],['#_of_functional_handwashing_facilities_at_HH_level]]*6)</f>
        <v>0</v>
      </c>
      <c r="BI222" s="421">
        <f>IF(WWWW[[#This Row],['# people reached by regular dedicated hygiene promotion]]&gt;WWWW[[#This Row],['# People received regular supply of hygiene items]],WWWW[[#This Row],['# people reached by regular dedicated hygiene promotion]],WWWW[[#This Row],['# People received regular supply of hygiene items]])</f>
        <v>0</v>
      </c>
      <c r="BJ222" s="424">
        <f>IF(WWWW[[#This Row],[HRP3]]/WWWW[[#This Row],[Total PoP ]]&gt;100%,100%,WWWW[[#This Row],[HRP3]]/WWWW[[#This Row],[Total PoP ]])</f>
        <v>0</v>
      </c>
      <c r="BK222" s="423">
        <f>1-WWWW[[#This Row],[Hygiene Coverage%]]</f>
        <v>1</v>
      </c>
      <c r="BL222" s="422">
        <f>WWWW[[#This Row],['# people reached by regular dedicated hygiene promotion]]/WWWW[[#This Row],[Total PoP ]]</f>
        <v>0</v>
      </c>
      <c r="BM222" s="42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2" s="421">
        <f>WWWW[[#This Row],['#_of_affected_women_and_girls_receiving_a_sufficient_quantity_of_sanitary_pads]]</f>
        <v>0</v>
      </c>
      <c r="BO222" s="420">
        <f>IF(WWWW[[#This Row],['# People with access to soap]]&gt;WWWW[[#This Row],['# People with access to Sanity Pads]],WWWW[[#This Row],['# People with access to soap]],WWWW[[#This Row],['# People with access to Sanity Pads]])</f>
        <v>0</v>
      </c>
      <c r="BP222" s="419" t="str">
        <f>IF(OR(WWWW[[#This Row],['#of students in school]]="",WWWW[[#This Row],['#of students in school]]=0),"No","Yes")</f>
        <v>No</v>
      </c>
      <c r="BQ222" s="417" t="str">
        <f>VLOOKUP(WWWW[[#This Row],[Village  Name]],SiteDB6[[Site Name]:[Location Type 1]],9,FALSE)</f>
        <v>Village</v>
      </c>
      <c r="BR222" s="417" t="str">
        <f>VLOOKUP(WWWW[[#This Row],[Village  Name]],SiteDB6[[Site Name]:[Type of Accommodation]],10,FALSE)</f>
        <v>Village</v>
      </c>
      <c r="BS222" s="417" t="str">
        <f>VLOOKUP(WWWW[[#This Row],[Village  Name]],SiteDB6[[Site Name]:[Ethnic or GCA/NGCA]],11,FALSE)</f>
        <v>Rakhine</v>
      </c>
      <c r="BT222" s="417">
        <f>VLOOKUP(WWWW[[#This Row],[Village  Name]],SiteDB6[[Site Name]:[Lat]],12,FALSE)</f>
        <v>20.705930710000001</v>
      </c>
      <c r="BU222" s="417">
        <f>VLOOKUP(WWWW[[#This Row],[Village  Name]],SiteDB6[[Site Name]:[Long]],13,FALSE)</f>
        <v>93.001953130000004</v>
      </c>
      <c r="BV222" s="417">
        <f>VLOOKUP(WWWW[[#This Row],[Village  Name]],SiteDB6[[Site Name]:[Pcode]],3,FALSE)</f>
        <v>196943</v>
      </c>
      <c r="BW222" s="425" t="str">
        <f t="shared" si="8"/>
        <v>Covered</v>
      </c>
      <c r="BX222" s="425"/>
      <c r="BY222" s="552"/>
      <c r="BZ222" s="552"/>
      <c r="CA222" s="575"/>
      <c r="CB222" s="552"/>
      <c r="CC222" s="553"/>
      <c r="CD222" s="553"/>
      <c r="CE222" s="554"/>
      <c r="CF222" s="554"/>
      <c r="CG222" s="554"/>
      <c r="CH222" s="554"/>
      <c r="CI222" s="554"/>
      <c r="CJ222" s="554"/>
      <c r="CK222" s="554"/>
      <c r="CL222" s="554"/>
      <c r="CM222" s="554"/>
    </row>
    <row r="223" spans="1:91">
      <c r="A223" s="612" t="s">
        <v>2381</v>
      </c>
      <c r="B223" s="612" t="s">
        <v>289</v>
      </c>
      <c r="C223" s="457" t="s">
        <v>289</v>
      </c>
      <c r="D223" s="457" t="s">
        <v>329</v>
      </c>
      <c r="E223" s="551" t="s">
        <v>2687</v>
      </c>
      <c r="F223" s="457" t="s">
        <v>404</v>
      </c>
      <c r="G223" s="551" t="str">
        <f>VLOOKUP(WWWW[[#This Row],[Village  Name]],SiteDB6[[Site Name]:[Location Type]],8,FALSE)</f>
        <v>Village</v>
      </c>
      <c r="H223" s="457" t="s">
        <v>2564</v>
      </c>
      <c r="I223" s="611">
        <v>217</v>
      </c>
      <c r="J223" s="611">
        <v>663</v>
      </c>
      <c r="K223" s="461">
        <v>43359</v>
      </c>
      <c r="L223" s="55">
        <v>43830</v>
      </c>
      <c r="M223" s="611">
        <v>88</v>
      </c>
      <c r="N223" s="611"/>
      <c r="O223" s="611"/>
      <c r="P223" s="611"/>
      <c r="Q223" s="611"/>
      <c r="R223" s="611"/>
      <c r="S223" s="611"/>
      <c r="T223" s="643"/>
      <c r="U223" s="611"/>
      <c r="V223" s="611" t="s">
        <v>132</v>
      </c>
      <c r="W223" s="611"/>
      <c r="X223" s="611"/>
      <c r="Y223" s="611"/>
      <c r="Z223" s="611"/>
      <c r="AA223" s="611"/>
      <c r="AB223" s="643"/>
      <c r="AC223" s="611"/>
      <c r="AD223" s="611"/>
      <c r="AE223" s="611"/>
      <c r="AF223" s="611"/>
      <c r="AG223" s="611"/>
      <c r="AH223" s="611"/>
      <c r="AI223" s="611"/>
      <c r="AJ223" s="611"/>
      <c r="AK223" s="611"/>
      <c r="AL223" s="611"/>
      <c r="AM223" s="643"/>
      <c r="AN223" s="611"/>
      <c r="AO223" s="611"/>
      <c r="AP22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3" s="565">
        <f>WWWW[[#This Row],[%Equitable and continuous access to sufficient quantity of safe drinking water]]*WWWW[[#This Row],[Total PoP ]]</f>
        <v>0</v>
      </c>
      <c r="AR22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23" s="565">
        <f>WWWW[[#This Row],[% Access to unimproved water points]]*WWWW[[#This Row],[Total PoP ]]</f>
        <v>0</v>
      </c>
      <c r="AT22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2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23" s="565">
        <f>WWWW[[#This Row],[HRP1]]/250</f>
        <v>0</v>
      </c>
      <c r="AW223" s="555">
        <f>1-WWWW[[#This Row],[% Equitable and continuous access to sufficient quantity of domestic water]]</f>
        <v>1</v>
      </c>
      <c r="AX223" s="565">
        <f>WWWW[[#This Row],[%equitable and continuous access to sufficient quantity of safe drinking and domestic water''s GAP]]*WWWW[[#This Row],[Total PoP ]]</f>
        <v>663</v>
      </c>
      <c r="AY223" s="557">
        <f>IF(WWWW[[#This Row],[Total required water points]]-WWWW[[#This Row],['#Water points coverage]]&lt;0,0,WWWW[[#This Row],[Total required water points]]-WWWW[[#This Row],['#Water points coverage]])</f>
        <v>3</v>
      </c>
      <c r="AZ223" s="557">
        <f>ROUND(IF(WWWW[[#This Row],[Total PoP ]]&lt;250,1,WWWW[[#This Row],[Total PoP ]]/250),0)</f>
        <v>3</v>
      </c>
      <c r="BA22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23" s="565">
        <f>WWWW[[#This Row],[% people access to functioning Latrine]]*WWWW[[#This Row],[Total PoP ]]</f>
        <v>0</v>
      </c>
      <c r="BC223" s="557">
        <f>WWWW[[#This Row],['#_of_Functioning_latrines_in_school]]*50</f>
        <v>0</v>
      </c>
      <c r="BD223" s="557">
        <f>ROUND((WWWW[[#This Row],[Total PoP ]]/6),0)</f>
        <v>111</v>
      </c>
      <c r="BE223" s="557">
        <f>IF(WWWW[[#This Row],[Total required Latrines]]-(WWWW[[#This Row],['#_of_sanitary_fly-proof_HH_latrines]])&lt;0,0,WWWW[[#This Row],[Total required Latrines]]-(WWWW[[#This Row],['#_of_sanitary_fly-proof_HH_latrines]]))</f>
        <v>111</v>
      </c>
      <c r="BF223" s="558">
        <f>1-WWWW[[#This Row],[% people access to functioning Latrine]]</f>
        <v>1</v>
      </c>
      <c r="BG22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3" s="565">
        <f>IF(WWWW[[#This Row],['#_of_functional_handwashing_facilities_at_HH_level]]*6&gt;WWWW[[#This Row],[Total PoP ]],WWWW[[#This Row],[Total PoP ]],WWWW[[#This Row],['#_of_functional_handwashing_facilities_at_HH_level]]*6)</f>
        <v>0</v>
      </c>
      <c r="BI223" s="557">
        <f>IF(WWWW[[#This Row],['# people reached by regular dedicated hygiene promotion]]&gt;WWWW[[#This Row],['# People received regular supply of hygiene items]],WWWW[[#This Row],['# people reached by regular dedicated hygiene promotion]],WWWW[[#This Row],['# People received regular supply of hygiene items]])</f>
        <v>0</v>
      </c>
      <c r="BJ223" s="555">
        <f>IF(WWWW[[#This Row],[HRP3]]/WWWW[[#This Row],[Total PoP ]]&gt;100%,100%,WWWW[[#This Row],[HRP3]]/WWWW[[#This Row],[Total PoP ]])</f>
        <v>0</v>
      </c>
      <c r="BK223" s="558">
        <f>1-WWWW[[#This Row],[Hygiene Coverage%]]</f>
        <v>1</v>
      </c>
      <c r="BL223" s="556">
        <f>WWWW[[#This Row],['# people reached by regular dedicated hygiene promotion]]/WWWW[[#This Row],[Total PoP ]]</f>
        <v>0</v>
      </c>
      <c r="BM22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3" s="557">
        <f>WWWW[[#This Row],['#_of_affected_women_and_girls_receiving_a_sufficient_quantity_of_sanitary_pads]]</f>
        <v>0</v>
      </c>
      <c r="BO223" s="611">
        <f>IF(WWWW[[#This Row],['# People with access to soap]]&gt;WWWW[[#This Row],['# People with access to Sanity Pads]],WWWW[[#This Row],['# People with access to soap]],WWWW[[#This Row],['# People with access to Sanity Pads]])</f>
        <v>0</v>
      </c>
      <c r="BP223" s="565" t="str">
        <f>IF(OR(WWWW[[#This Row],['#of students in school]]="",WWWW[[#This Row],['#of students in school]]=0),"No","Yes")</f>
        <v>Yes</v>
      </c>
      <c r="BQ223" s="559" t="str">
        <f>VLOOKUP(WWWW[[#This Row],[Village  Name]],SiteDB6[[Site Name]:[Location Type 1]],9,FALSE)</f>
        <v>Village</v>
      </c>
      <c r="BR223" s="559" t="str">
        <f>VLOOKUP(WWWW[[#This Row],[Village  Name]],SiteDB6[[Site Name]:[Type of Accommodation]],10,FALSE)</f>
        <v>Village</v>
      </c>
      <c r="BS223" s="559">
        <f>VLOOKUP(WWWW[[#This Row],[Village  Name]],SiteDB6[[Site Name]:[Ethnic or GCA/NGCA]],11,FALSE)</f>
        <v>0</v>
      </c>
      <c r="BT223" s="559">
        <f>VLOOKUP(WWWW[[#This Row],[Village  Name]],SiteDB6[[Site Name]:[Lat]],12,FALSE)</f>
        <v>20.072999954223601</v>
      </c>
      <c r="BU223" s="559">
        <f>VLOOKUP(WWWW[[#This Row],[Village  Name]],SiteDB6[[Site Name]:[Long]],13,FALSE)</f>
        <v>92.924957275390597</v>
      </c>
      <c r="BV223" s="559">
        <f>VLOOKUP(WWWW[[#This Row],[Village  Name]],SiteDB6[[Site Name]:[Pcode]],3,FALSE)</f>
        <v>197561</v>
      </c>
      <c r="BW223" s="559" t="str">
        <f t="shared" ref="BW223:BW255" si="9">IF(C223="none","Notcovered","Covered")</f>
        <v>Covered</v>
      </c>
      <c r="BX223" s="587"/>
    </row>
    <row r="224" spans="1:91">
      <c r="A224" s="612" t="s">
        <v>2381</v>
      </c>
      <c r="B224" s="612" t="s">
        <v>289</v>
      </c>
      <c r="C224" s="457" t="s">
        <v>289</v>
      </c>
      <c r="D224" s="457" t="s">
        <v>329</v>
      </c>
      <c r="E224" s="551" t="s">
        <v>2687</v>
      </c>
      <c r="F224" s="457" t="s">
        <v>404</v>
      </c>
      <c r="G224" s="551" t="str">
        <f>VLOOKUP(WWWW[[#This Row],[Village  Name]],SiteDB6[[Site Name]:[Location Type]],8,FALSE)</f>
        <v>Village</v>
      </c>
      <c r="H224" s="457" t="s">
        <v>2569</v>
      </c>
      <c r="I224" s="611">
        <v>90</v>
      </c>
      <c r="J224" s="611">
        <v>393</v>
      </c>
      <c r="K224" s="461">
        <v>43359</v>
      </c>
      <c r="L224" s="55">
        <v>43830</v>
      </c>
      <c r="M224" s="611">
        <v>65</v>
      </c>
      <c r="N224" s="611"/>
      <c r="O224" s="611"/>
      <c r="P224" s="611"/>
      <c r="Q224" s="611"/>
      <c r="R224" s="611"/>
      <c r="S224" s="611"/>
      <c r="T224" s="643"/>
      <c r="U224" s="611"/>
      <c r="V224" s="611" t="s">
        <v>132</v>
      </c>
      <c r="W224" s="611"/>
      <c r="X224" s="611"/>
      <c r="Y224" s="611"/>
      <c r="Z224" s="611"/>
      <c r="AA224" s="611"/>
      <c r="AB224" s="643"/>
      <c r="AC224" s="611"/>
      <c r="AD224" s="611"/>
      <c r="AE224" s="611"/>
      <c r="AF224" s="611"/>
      <c r="AG224" s="611"/>
      <c r="AH224" s="611"/>
      <c r="AI224" s="611"/>
      <c r="AJ224" s="611"/>
      <c r="AK224" s="611"/>
      <c r="AL224" s="611"/>
      <c r="AM224" s="643"/>
      <c r="AN224" s="611"/>
      <c r="AO224" s="611"/>
      <c r="AP22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4" s="565">
        <f>WWWW[[#This Row],[%Equitable and continuous access to sufficient quantity of safe drinking water]]*WWWW[[#This Row],[Total PoP ]]</f>
        <v>0</v>
      </c>
      <c r="AR22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24" s="565">
        <f>WWWW[[#This Row],[% Access to unimproved water points]]*WWWW[[#This Row],[Total PoP ]]</f>
        <v>0</v>
      </c>
      <c r="AT22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2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24" s="565">
        <f>WWWW[[#This Row],[HRP1]]/250</f>
        <v>0</v>
      </c>
      <c r="AW224" s="555">
        <f>1-WWWW[[#This Row],[% Equitable and continuous access to sufficient quantity of domestic water]]</f>
        <v>1</v>
      </c>
      <c r="AX224" s="565">
        <f>WWWW[[#This Row],[%equitable and continuous access to sufficient quantity of safe drinking and domestic water''s GAP]]*WWWW[[#This Row],[Total PoP ]]</f>
        <v>393</v>
      </c>
      <c r="AY224" s="557">
        <f>IF(WWWW[[#This Row],[Total required water points]]-WWWW[[#This Row],['#Water points coverage]]&lt;0,0,WWWW[[#This Row],[Total required water points]]-WWWW[[#This Row],['#Water points coverage]])</f>
        <v>2</v>
      </c>
      <c r="AZ224" s="557">
        <f>ROUND(IF(WWWW[[#This Row],[Total PoP ]]&lt;250,1,WWWW[[#This Row],[Total PoP ]]/250),0)</f>
        <v>2</v>
      </c>
      <c r="BA22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24" s="565">
        <f>WWWW[[#This Row],[% people access to functioning Latrine]]*WWWW[[#This Row],[Total PoP ]]</f>
        <v>0</v>
      </c>
      <c r="BC224" s="557">
        <f>WWWW[[#This Row],['#_of_Functioning_latrines_in_school]]*50</f>
        <v>0</v>
      </c>
      <c r="BD224" s="557">
        <f>ROUND((WWWW[[#This Row],[Total PoP ]]/6),0)</f>
        <v>66</v>
      </c>
      <c r="BE224" s="557">
        <f>IF(WWWW[[#This Row],[Total required Latrines]]-(WWWW[[#This Row],['#_of_sanitary_fly-proof_HH_latrines]])&lt;0,0,WWWW[[#This Row],[Total required Latrines]]-(WWWW[[#This Row],['#_of_sanitary_fly-proof_HH_latrines]]))</f>
        <v>66</v>
      </c>
      <c r="BF224" s="558">
        <f>1-WWWW[[#This Row],[% people access to functioning Latrine]]</f>
        <v>1</v>
      </c>
      <c r="BG22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4" s="565">
        <f>IF(WWWW[[#This Row],['#_of_functional_handwashing_facilities_at_HH_level]]*6&gt;WWWW[[#This Row],[Total PoP ]],WWWW[[#This Row],[Total PoP ]],WWWW[[#This Row],['#_of_functional_handwashing_facilities_at_HH_level]]*6)</f>
        <v>0</v>
      </c>
      <c r="BI224" s="557">
        <f>IF(WWWW[[#This Row],['# people reached by regular dedicated hygiene promotion]]&gt;WWWW[[#This Row],['# People received regular supply of hygiene items]],WWWW[[#This Row],['# people reached by regular dedicated hygiene promotion]],WWWW[[#This Row],['# People received regular supply of hygiene items]])</f>
        <v>0</v>
      </c>
      <c r="BJ224" s="555">
        <f>IF(WWWW[[#This Row],[HRP3]]/WWWW[[#This Row],[Total PoP ]]&gt;100%,100%,WWWW[[#This Row],[HRP3]]/WWWW[[#This Row],[Total PoP ]])</f>
        <v>0</v>
      </c>
      <c r="BK224" s="558">
        <f>1-WWWW[[#This Row],[Hygiene Coverage%]]</f>
        <v>1</v>
      </c>
      <c r="BL224" s="556">
        <f>WWWW[[#This Row],['# people reached by regular dedicated hygiene promotion]]/WWWW[[#This Row],[Total PoP ]]</f>
        <v>0</v>
      </c>
      <c r="BM22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4" s="557">
        <f>WWWW[[#This Row],['#_of_affected_women_and_girls_receiving_a_sufficient_quantity_of_sanitary_pads]]</f>
        <v>0</v>
      </c>
      <c r="BO224" s="611">
        <f>IF(WWWW[[#This Row],['# People with access to soap]]&gt;WWWW[[#This Row],['# People with access to Sanity Pads]],WWWW[[#This Row],['# People with access to soap]],WWWW[[#This Row],['# People with access to Sanity Pads]])</f>
        <v>0</v>
      </c>
      <c r="BP224" s="565" t="str">
        <f>IF(OR(WWWW[[#This Row],['#of students in school]]="",WWWW[[#This Row],['#of students in school]]=0),"No","Yes")</f>
        <v>Yes</v>
      </c>
      <c r="BQ224" s="559" t="str">
        <f>VLOOKUP(WWWW[[#This Row],[Village  Name]],SiteDB6[[Site Name]:[Location Type 1]],9,FALSE)</f>
        <v>Village</v>
      </c>
      <c r="BR224" s="559" t="str">
        <f>VLOOKUP(WWWW[[#This Row],[Village  Name]],SiteDB6[[Site Name]:[Type of Accommodation]],10,FALSE)</f>
        <v>Village</v>
      </c>
      <c r="BS224" s="559">
        <f>VLOOKUP(WWWW[[#This Row],[Village  Name]],SiteDB6[[Site Name]:[Ethnic or GCA/NGCA]],11,FALSE)</f>
        <v>0</v>
      </c>
      <c r="BT224" s="559">
        <f>VLOOKUP(WWWW[[#This Row],[Village  Name]],SiteDB6[[Site Name]:[Lat]],12,FALSE)</f>
        <v>19.986650466918899</v>
      </c>
      <c r="BU224" s="559">
        <f>VLOOKUP(WWWW[[#This Row],[Village  Name]],SiteDB6[[Site Name]:[Long]],13,FALSE)</f>
        <v>92.986160278320298</v>
      </c>
      <c r="BV224" s="559">
        <f>VLOOKUP(WWWW[[#This Row],[Village  Name]],SiteDB6[[Site Name]:[Pcode]],3,FALSE)</f>
        <v>197546</v>
      </c>
      <c r="BW224" s="559" t="str">
        <f t="shared" si="9"/>
        <v>Covered</v>
      </c>
      <c r="BX224" s="587"/>
    </row>
    <row r="225" spans="1:76">
      <c r="A225" s="612" t="s">
        <v>2381</v>
      </c>
      <c r="B225" s="612" t="s">
        <v>289</v>
      </c>
      <c r="C225" s="457" t="s">
        <v>289</v>
      </c>
      <c r="D225" s="457" t="s">
        <v>329</v>
      </c>
      <c r="E225" s="551" t="s">
        <v>2687</v>
      </c>
      <c r="F225" s="457" t="s">
        <v>404</v>
      </c>
      <c r="G225" s="551" t="str">
        <f>VLOOKUP(WWWW[[#This Row],[Village  Name]],SiteDB6[[Site Name]:[Location Type]],8,FALSE)</f>
        <v>Village</v>
      </c>
      <c r="H225" s="457" t="s">
        <v>2966</v>
      </c>
      <c r="I225" s="611">
        <v>53</v>
      </c>
      <c r="J225" s="611">
        <v>248</v>
      </c>
      <c r="K225" s="461">
        <v>43359</v>
      </c>
      <c r="L225" s="55">
        <v>43830</v>
      </c>
      <c r="M225" s="611">
        <v>43</v>
      </c>
      <c r="N225" s="611"/>
      <c r="O225" s="611"/>
      <c r="P225" s="611"/>
      <c r="Q225" s="611"/>
      <c r="R225" s="611"/>
      <c r="S225" s="611"/>
      <c r="T225" s="643"/>
      <c r="U225" s="611"/>
      <c r="V225" s="611" t="s">
        <v>132</v>
      </c>
      <c r="W225" s="611"/>
      <c r="X225" s="611"/>
      <c r="Y225" s="611"/>
      <c r="Z225" s="611"/>
      <c r="AA225" s="611"/>
      <c r="AB225" s="643"/>
      <c r="AC225" s="611"/>
      <c r="AD225" s="611"/>
      <c r="AE225" s="611"/>
      <c r="AF225" s="611"/>
      <c r="AG225" s="611"/>
      <c r="AH225" s="611"/>
      <c r="AI225" s="611"/>
      <c r="AJ225" s="611"/>
      <c r="AK225" s="611"/>
      <c r="AL225" s="611"/>
      <c r="AM225" s="643"/>
      <c r="AN225" s="611"/>
      <c r="AO225" s="611"/>
      <c r="AP22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5" s="565">
        <f>WWWW[[#This Row],[%Equitable and continuous access to sufficient quantity of safe drinking water]]*WWWW[[#This Row],[Total PoP ]]</f>
        <v>0</v>
      </c>
      <c r="AR22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25" s="565">
        <f>WWWW[[#This Row],[% Access to unimproved water points]]*WWWW[[#This Row],[Total PoP ]]</f>
        <v>0</v>
      </c>
      <c r="AT22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2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25" s="565">
        <f>WWWW[[#This Row],[HRP1]]/250</f>
        <v>0</v>
      </c>
      <c r="AW225" s="555">
        <f>1-WWWW[[#This Row],[% Equitable and continuous access to sufficient quantity of domestic water]]</f>
        <v>1</v>
      </c>
      <c r="AX225" s="565">
        <f>WWWW[[#This Row],[%equitable and continuous access to sufficient quantity of safe drinking and domestic water''s GAP]]*WWWW[[#This Row],[Total PoP ]]</f>
        <v>248</v>
      </c>
      <c r="AY225" s="557">
        <f>IF(WWWW[[#This Row],[Total required water points]]-WWWW[[#This Row],['#Water points coverage]]&lt;0,0,WWWW[[#This Row],[Total required water points]]-WWWW[[#This Row],['#Water points coverage]])</f>
        <v>1</v>
      </c>
      <c r="AZ225" s="557">
        <f>ROUND(IF(WWWW[[#This Row],[Total PoP ]]&lt;250,1,WWWW[[#This Row],[Total PoP ]]/250),0)</f>
        <v>1</v>
      </c>
      <c r="BA22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25" s="565">
        <f>WWWW[[#This Row],[% people access to functioning Latrine]]*WWWW[[#This Row],[Total PoP ]]</f>
        <v>0</v>
      </c>
      <c r="BC225" s="557">
        <f>WWWW[[#This Row],['#_of_Functioning_latrines_in_school]]*50</f>
        <v>0</v>
      </c>
      <c r="BD225" s="557">
        <f>ROUND((WWWW[[#This Row],[Total PoP ]]/6),0)</f>
        <v>41</v>
      </c>
      <c r="BE225" s="557">
        <f>IF(WWWW[[#This Row],[Total required Latrines]]-(WWWW[[#This Row],['#_of_sanitary_fly-proof_HH_latrines]])&lt;0,0,WWWW[[#This Row],[Total required Latrines]]-(WWWW[[#This Row],['#_of_sanitary_fly-proof_HH_latrines]]))</f>
        <v>41</v>
      </c>
      <c r="BF225" s="558">
        <f>1-WWWW[[#This Row],[% people access to functioning Latrine]]</f>
        <v>1</v>
      </c>
      <c r="BG22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5" s="565">
        <f>IF(WWWW[[#This Row],['#_of_functional_handwashing_facilities_at_HH_level]]*6&gt;WWWW[[#This Row],[Total PoP ]],WWWW[[#This Row],[Total PoP ]],WWWW[[#This Row],['#_of_functional_handwashing_facilities_at_HH_level]]*6)</f>
        <v>0</v>
      </c>
      <c r="BI225" s="557">
        <f>IF(WWWW[[#This Row],['# people reached by regular dedicated hygiene promotion]]&gt;WWWW[[#This Row],['# People received regular supply of hygiene items]],WWWW[[#This Row],['# people reached by regular dedicated hygiene promotion]],WWWW[[#This Row],['# People received regular supply of hygiene items]])</f>
        <v>0</v>
      </c>
      <c r="BJ225" s="555">
        <f>IF(WWWW[[#This Row],[HRP3]]/WWWW[[#This Row],[Total PoP ]]&gt;100%,100%,WWWW[[#This Row],[HRP3]]/WWWW[[#This Row],[Total PoP ]])</f>
        <v>0</v>
      </c>
      <c r="BK225" s="558">
        <f>1-WWWW[[#This Row],[Hygiene Coverage%]]</f>
        <v>1</v>
      </c>
      <c r="BL225" s="556">
        <f>WWWW[[#This Row],['# people reached by regular dedicated hygiene promotion]]/WWWW[[#This Row],[Total PoP ]]</f>
        <v>0</v>
      </c>
      <c r="BM22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5" s="557">
        <f>WWWW[[#This Row],['#_of_affected_women_and_girls_receiving_a_sufficient_quantity_of_sanitary_pads]]</f>
        <v>0</v>
      </c>
      <c r="BO225" s="611">
        <f>IF(WWWW[[#This Row],['# People with access to soap]]&gt;WWWW[[#This Row],['# People with access to Sanity Pads]],WWWW[[#This Row],['# People with access to soap]],WWWW[[#This Row],['# People with access to Sanity Pads]])</f>
        <v>0</v>
      </c>
      <c r="BP225" s="565" t="str">
        <f>IF(OR(WWWW[[#This Row],['#of students in school]]="",WWWW[[#This Row],['#of students in school]]=0),"No","Yes")</f>
        <v>Yes</v>
      </c>
      <c r="BQ225" s="559" t="str">
        <f>VLOOKUP(WWWW[[#This Row],[Village  Name]],SiteDB6[[Site Name]:[Location Type 1]],9,FALSE)</f>
        <v>Village</v>
      </c>
      <c r="BR225" s="559" t="str">
        <f>VLOOKUP(WWWW[[#This Row],[Village  Name]],SiteDB6[[Site Name]:[Type of Accommodation]],10,FALSE)</f>
        <v>Village</v>
      </c>
      <c r="BS225" s="559">
        <f>VLOOKUP(WWWW[[#This Row],[Village  Name]],SiteDB6[[Site Name]:[Ethnic or GCA/NGCA]],11,FALSE)</f>
        <v>0</v>
      </c>
      <c r="BT225" s="559">
        <f>VLOOKUP(WWWW[[#This Row],[Village  Name]],SiteDB6[[Site Name]:[Lat]],12,FALSE)</f>
        <v>19.863630294799801</v>
      </c>
      <c r="BU225" s="559">
        <f>VLOOKUP(WWWW[[#This Row],[Village  Name]],SiteDB6[[Site Name]:[Long]],13,FALSE)</f>
        <v>93.030677795410199</v>
      </c>
      <c r="BV225" s="559">
        <f>VLOOKUP(WWWW[[#This Row],[Village  Name]],SiteDB6[[Site Name]:[Pcode]],3,FALSE)</f>
        <v>217985</v>
      </c>
      <c r="BW225" s="559" t="str">
        <f t="shared" si="9"/>
        <v>Covered</v>
      </c>
      <c r="BX225" s="587"/>
    </row>
    <row r="226" spans="1:76">
      <c r="A226" s="612" t="s">
        <v>2381</v>
      </c>
      <c r="B226" s="612" t="s">
        <v>289</v>
      </c>
      <c r="C226" s="457" t="s">
        <v>289</v>
      </c>
      <c r="D226" s="457" t="s">
        <v>329</v>
      </c>
      <c r="E226" s="551" t="s">
        <v>2687</v>
      </c>
      <c r="F226" s="457" t="s">
        <v>404</v>
      </c>
      <c r="G226" s="551" t="str">
        <f>VLOOKUP(WWWW[[#This Row],[Village  Name]],SiteDB6[[Site Name]:[Location Type]],8,FALSE)</f>
        <v>Village</v>
      </c>
      <c r="H226" s="457" t="s">
        <v>2846</v>
      </c>
      <c r="I226" s="611">
        <v>43</v>
      </c>
      <c r="J226" s="611">
        <v>193</v>
      </c>
      <c r="K226" s="461">
        <v>43359</v>
      </c>
      <c r="L226" s="55">
        <v>43830</v>
      </c>
      <c r="M226" s="611">
        <v>41</v>
      </c>
      <c r="N226" s="611"/>
      <c r="O226" s="611"/>
      <c r="P226" s="611"/>
      <c r="Q226" s="611"/>
      <c r="R226" s="611"/>
      <c r="S226" s="611"/>
      <c r="T226" s="643"/>
      <c r="U226" s="611"/>
      <c r="V226" s="611" t="s">
        <v>132</v>
      </c>
      <c r="W226" s="611"/>
      <c r="X226" s="611"/>
      <c r="Y226" s="611"/>
      <c r="Z226" s="611"/>
      <c r="AA226" s="611"/>
      <c r="AB226" s="643"/>
      <c r="AC226" s="611"/>
      <c r="AD226" s="611"/>
      <c r="AE226" s="611"/>
      <c r="AF226" s="611"/>
      <c r="AG226" s="611"/>
      <c r="AH226" s="611"/>
      <c r="AI226" s="611"/>
      <c r="AJ226" s="611"/>
      <c r="AK226" s="611"/>
      <c r="AL226" s="611"/>
      <c r="AM226" s="643"/>
      <c r="AN226" s="611"/>
      <c r="AO226" s="611"/>
      <c r="AP22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6" s="565">
        <f>WWWW[[#This Row],[%Equitable and continuous access to sufficient quantity of safe drinking water]]*WWWW[[#This Row],[Total PoP ]]</f>
        <v>0</v>
      </c>
      <c r="AR22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26" s="565">
        <f>WWWW[[#This Row],[% Access to unimproved water points]]*WWWW[[#This Row],[Total PoP ]]</f>
        <v>0</v>
      </c>
      <c r="AT22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2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26" s="565">
        <f>WWWW[[#This Row],[HRP1]]/250</f>
        <v>0</v>
      </c>
      <c r="AW226" s="555">
        <f>1-WWWW[[#This Row],[% Equitable and continuous access to sufficient quantity of domestic water]]</f>
        <v>1</v>
      </c>
      <c r="AX226" s="565">
        <f>WWWW[[#This Row],[%equitable and continuous access to sufficient quantity of safe drinking and domestic water''s GAP]]*WWWW[[#This Row],[Total PoP ]]</f>
        <v>193</v>
      </c>
      <c r="AY226" s="557">
        <f>IF(WWWW[[#This Row],[Total required water points]]-WWWW[[#This Row],['#Water points coverage]]&lt;0,0,WWWW[[#This Row],[Total required water points]]-WWWW[[#This Row],['#Water points coverage]])</f>
        <v>1</v>
      </c>
      <c r="AZ226" s="557">
        <f>ROUND(IF(WWWW[[#This Row],[Total PoP ]]&lt;250,1,WWWW[[#This Row],[Total PoP ]]/250),0)</f>
        <v>1</v>
      </c>
      <c r="BA22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26" s="565">
        <f>WWWW[[#This Row],[% people access to functioning Latrine]]*WWWW[[#This Row],[Total PoP ]]</f>
        <v>0</v>
      </c>
      <c r="BC226" s="557">
        <f>WWWW[[#This Row],['#_of_Functioning_latrines_in_school]]*50</f>
        <v>0</v>
      </c>
      <c r="BD226" s="557">
        <f>ROUND((WWWW[[#This Row],[Total PoP ]]/6),0)</f>
        <v>32</v>
      </c>
      <c r="BE226" s="557">
        <f>IF(WWWW[[#This Row],[Total required Latrines]]-(WWWW[[#This Row],['#_of_sanitary_fly-proof_HH_latrines]])&lt;0,0,WWWW[[#This Row],[Total required Latrines]]-(WWWW[[#This Row],['#_of_sanitary_fly-proof_HH_latrines]]))</f>
        <v>32</v>
      </c>
      <c r="BF226" s="558">
        <f>1-WWWW[[#This Row],[% people access to functioning Latrine]]</f>
        <v>1</v>
      </c>
      <c r="BG22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6" s="565">
        <f>IF(WWWW[[#This Row],['#_of_functional_handwashing_facilities_at_HH_level]]*6&gt;WWWW[[#This Row],[Total PoP ]],WWWW[[#This Row],[Total PoP ]],WWWW[[#This Row],['#_of_functional_handwashing_facilities_at_HH_level]]*6)</f>
        <v>0</v>
      </c>
      <c r="BI226" s="557">
        <f>IF(WWWW[[#This Row],['# people reached by regular dedicated hygiene promotion]]&gt;WWWW[[#This Row],['# People received regular supply of hygiene items]],WWWW[[#This Row],['# people reached by regular dedicated hygiene promotion]],WWWW[[#This Row],['# People received regular supply of hygiene items]])</f>
        <v>0</v>
      </c>
      <c r="BJ226" s="555">
        <f>IF(WWWW[[#This Row],[HRP3]]/WWWW[[#This Row],[Total PoP ]]&gt;100%,100%,WWWW[[#This Row],[HRP3]]/WWWW[[#This Row],[Total PoP ]])</f>
        <v>0</v>
      </c>
      <c r="BK226" s="558">
        <f>1-WWWW[[#This Row],[Hygiene Coverage%]]</f>
        <v>1</v>
      </c>
      <c r="BL226" s="556">
        <f>WWWW[[#This Row],['# people reached by regular dedicated hygiene promotion]]/WWWW[[#This Row],[Total PoP ]]</f>
        <v>0</v>
      </c>
      <c r="BM22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6" s="557">
        <f>WWWW[[#This Row],['#_of_affected_women_and_girls_receiving_a_sufficient_quantity_of_sanitary_pads]]</f>
        <v>0</v>
      </c>
      <c r="BO226" s="611">
        <f>IF(WWWW[[#This Row],['# People with access to soap]]&gt;WWWW[[#This Row],['# People with access to Sanity Pads]],WWWW[[#This Row],['# People with access to soap]],WWWW[[#This Row],['# People with access to Sanity Pads]])</f>
        <v>0</v>
      </c>
      <c r="BP226" s="565" t="str">
        <f>IF(OR(WWWW[[#This Row],['#of students in school]]="",WWWW[[#This Row],['#of students in school]]=0),"No","Yes")</f>
        <v>Yes</v>
      </c>
      <c r="BQ226" s="559" t="str">
        <f>VLOOKUP(WWWW[[#This Row],[Village  Name]],SiteDB6[[Site Name]:[Location Type 1]],9,FALSE)</f>
        <v>Village</v>
      </c>
      <c r="BR226" s="559" t="str">
        <f>VLOOKUP(WWWW[[#This Row],[Village  Name]],SiteDB6[[Site Name]:[Type of Accommodation]],10,FALSE)</f>
        <v>Village</v>
      </c>
      <c r="BS226" s="559">
        <f>VLOOKUP(WWWW[[#This Row],[Village  Name]],SiteDB6[[Site Name]:[Ethnic or GCA/NGCA]],11,FALSE)</f>
        <v>0</v>
      </c>
      <c r="BT226" s="559">
        <f>VLOOKUP(WWWW[[#This Row],[Village  Name]],SiteDB6[[Site Name]:[Lat]],12,FALSE)</f>
        <v>19.9233303070068</v>
      </c>
      <c r="BU226" s="559">
        <f>VLOOKUP(WWWW[[#This Row],[Village  Name]],SiteDB6[[Site Name]:[Long]],13,FALSE)</f>
        <v>93.018592834472699</v>
      </c>
      <c r="BV226" s="559">
        <f>VLOOKUP(WWWW[[#This Row],[Village  Name]],SiteDB6[[Site Name]:[Pcode]],3,FALSE)</f>
        <v>197547</v>
      </c>
      <c r="BW226" s="559" t="str">
        <f t="shared" si="9"/>
        <v>Covered</v>
      </c>
      <c r="BX226" s="587"/>
    </row>
    <row r="227" spans="1:76">
      <c r="A227" s="612" t="s">
        <v>2381</v>
      </c>
      <c r="B227" s="612" t="s">
        <v>289</v>
      </c>
      <c r="C227" s="457" t="s">
        <v>289</v>
      </c>
      <c r="D227" s="457" t="s">
        <v>329</v>
      </c>
      <c r="E227" s="551" t="s">
        <v>2687</v>
      </c>
      <c r="F227" s="457" t="s">
        <v>404</v>
      </c>
      <c r="G227" s="551" t="str">
        <f>VLOOKUP(WWWW[[#This Row],[Village  Name]],SiteDB6[[Site Name]:[Location Type]],8,FALSE)</f>
        <v>Village</v>
      </c>
      <c r="H227" s="457" t="s">
        <v>3003</v>
      </c>
      <c r="I227" s="611">
        <v>83</v>
      </c>
      <c r="J227" s="611">
        <v>493</v>
      </c>
      <c r="K227" s="461">
        <v>43359</v>
      </c>
      <c r="L227" s="55">
        <v>43830</v>
      </c>
      <c r="M227" s="611">
        <v>65</v>
      </c>
      <c r="N227" s="611"/>
      <c r="O227" s="611"/>
      <c r="P227" s="611"/>
      <c r="Q227" s="611"/>
      <c r="R227" s="611"/>
      <c r="S227" s="611"/>
      <c r="T227" s="643"/>
      <c r="U227" s="611"/>
      <c r="V227" s="611" t="s">
        <v>132</v>
      </c>
      <c r="W227" s="611"/>
      <c r="X227" s="611"/>
      <c r="Y227" s="611"/>
      <c r="Z227" s="611"/>
      <c r="AA227" s="611"/>
      <c r="AB227" s="643"/>
      <c r="AC227" s="611"/>
      <c r="AD227" s="611"/>
      <c r="AE227" s="611"/>
      <c r="AF227" s="611"/>
      <c r="AG227" s="611"/>
      <c r="AH227" s="611"/>
      <c r="AI227" s="611"/>
      <c r="AJ227" s="611"/>
      <c r="AK227" s="611"/>
      <c r="AL227" s="611"/>
      <c r="AM227" s="643"/>
      <c r="AN227" s="611"/>
      <c r="AO227" s="611"/>
      <c r="AP22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7" s="565">
        <f>WWWW[[#This Row],[%Equitable and continuous access to sufficient quantity of safe drinking water]]*WWWW[[#This Row],[Total PoP ]]</f>
        <v>0</v>
      </c>
      <c r="AR22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27" s="565">
        <f>WWWW[[#This Row],[% Access to unimproved water points]]*WWWW[[#This Row],[Total PoP ]]</f>
        <v>0</v>
      </c>
      <c r="AT22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2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27" s="565">
        <f>WWWW[[#This Row],[HRP1]]/250</f>
        <v>0</v>
      </c>
      <c r="AW227" s="555">
        <f>1-WWWW[[#This Row],[% Equitable and continuous access to sufficient quantity of domestic water]]</f>
        <v>1</v>
      </c>
      <c r="AX227" s="565">
        <f>WWWW[[#This Row],[%equitable and continuous access to sufficient quantity of safe drinking and domestic water''s GAP]]*WWWW[[#This Row],[Total PoP ]]</f>
        <v>493</v>
      </c>
      <c r="AY227" s="557">
        <f>IF(WWWW[[#This Row],[Total required water points]]-WWWW[[#This Row],['#Water points coverage]]&lt;0,0,WWWW[[#This Row],[Total required water points]]-WWWW[[#This Row],['#Water points coverage]])</f>
        <v>2</v>
      </c>
      <c r="AZ227" s="557">
        <f>ROUND(IF(WWWW[[#This Row],[Total PoP ]]&lt;250,1,WWWW[[#This Row],[Total PoP ]]/250),0)</f>
        <v>2</v>
      </c>
      <c r="BA22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27" s="565">
        <f>WWWW[[#This Row],[% people access to functioning Latrine]]*WWWW[[#This Row],[Total PoP ]]</f>
        <v>0</v>
      </c>
      <c r="BC227" s="557">
        <f>WWWW[[#This Row],['#_of_Functioning_latrines_in_school]]*50</f>
        <v>0</v>
      </c>
      <c r="BD227" s="557">
        <f>ROUND((WWWW[[#This Row],[Total PoP ]]/6),0)</f>
        <v>82</v>
      </c>
      <c r="BE227" s="557">
        <f>IF(WWWW[[#This Row],[Total required Latrines]]-(WWWW[[#This Row],['#_of_sanitary_fly-proof_HH_latrines]])&lt;0,0,WWWW[[#This Row],[Total required Latrines]]-(WWWW[[#This Row],['#_of_sanitary_fly-proof_HH_latrines]]))</f>
        <v>82</v>
      </c>
      <c r="BF227" s="558">
        <f>1-WWWW[[#This Row],[% people access to functioning Latrine]]</f>
        <v>1</v>
      </c>
      <c r="BG22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7" s="565">
        <f>IF(WWWW[[#This Row],['#_of_functional_handwashing_facilities_at_HH_level]]*6&gt;WWWW[[#This Row],[Total PoP ]],WWWW[[#This Row],[Total PoP ]],WWWW[[#This Row],['#_of_functional_handwashing_facilities_at_HH_level]]*6)</f>
        <v>0</v>
      </c>
      <c r="BI227" s="557">
        <f>IF(WWWW[[#This Row],['# people reached by regular dedicated hygiene promotion]]&gt;WWWW[[#This Row],['# People received regular supply of hygiene items]],WWWW[[#This Row],['# people reached by regular dedicated hygiene promotion]],WWWW[[#This Row],['# People received regular supply of hygiene items]])</f>
        <v>0</v>
      </c>
      <c r="BJ227" s="555">
        <f>IF(WWWW[[#This Row],[HRP3]]/WWWW[[#This Row],[Total PoP ]]&gt;100%,100%,WWWW[[#This Row],[HRP3]]/WWWW[[#This Row],[Total PoP ]])</f>
        <v>0</v>
      </c>
      <c r="BK227" s="558">
        <f>1-WWWW[[#This Row],[Hygiene Coverage%]]</f>
        <v>1</v>
      </c>
      <c r="BL227" s="556">
        <f>WWWW[[#This Row],['# people reached by regular dedicated hygiene promotion]]/WWWW[[#This Row],[Total PoP ]]</f>
        <v>0</v>
      </c>
      <c r="BM22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7" s="557">
        <f>WWWW[[#This Row],['#_of_affected_women_and_girls_receiving_a_sufficient_quantity_of_sanitary_pads]]</f>
        <v>0</v>
      </c>
      <c r="BO227" s="611">
        <f>IF(WWWW[[#This Row],['# People with access to soap]]&gt;WWWW[[#This Row],['# People with access to Sanity Pads]],WWWW[[#This Row],['# People with access to soap]],WWWW[[#This Row],['# People with access to Sanity Pads]])</f>
        <v>0</v>
      </c>
      <c r="BP227" s="565" t="str">
        <f>IF(OR(WWWW[[#This Row],['#of students in school]]="",WWWW[[#This Row],['#of students in school]]=0),"No","Yes")</f>
        <v>Yes</v>
      </c>
      <c r="BQ227" s="559" t="str">
        <f>VLOOKUP(WWWW[[#This Row],[Village  Name]],SiteDB6[[Site Name]:[Location Type 1]],9,FALSE)</f>
        <v>Village</v>
      </c>
      <c r="BR227" s="559" t="str">
        <f>VLOOKUP(WWWW[[#This Row],[Village  Name]],SiteDB6[[Site Name]:[Type of Accommodation]],10,FALSE)</f>
        <v>Village</v>
      </c>
      <c r="BS227" s="559">
        <f>VLOOKUP(WWWW[[#This Row],[Village  Name]],SiteDB6[[Site Name]:[Ethnic or GCA/NGCA]],11,FALSE)</f>
        <v>0</v>
      </c>
      <c r="BT227" s="559">
        <f>VLOOKUP(WWWW[[#This Row],[Village  Name]],SiteDB6[[Site Name]:[Lat]],12,FALSE)</f>
        <v>20.074710845947301</v>
      </c>
      <c r="BU227" s="559">
        <f>VLOOKUP(WWWW[[#This Row],[Village  Name]],SiteDB6[[Site Name]:[Long]],13,FALSE)</f>
        <v>92.949638366699205</v>
      </c>
      <c r="BV227" s="559">
        <f>VLOOKUP(WWWW[[#This Row],[Village  Name]],SiteDB6[[Site Name]:[Pcode]],3,FALSE)</f>
        <v>197570</v>
      </c>
      <c r="BW227" s="559" t="str">
        <f t="shared" si="9"/>
        <v>Covered</v>
      </c>
      <c r="BX227" s="587"/>
    </row>
    <row r="228" spans="1:76">
      <c r="A228" s="612" t="s">
        <v>2381</v>
      </c>
      <c r="B228" s="612" t="s">
        <v>289</v>
      </c>
      <c r="C228" s="457" t="s">
        <v>289</v>
      </c>
      <c r="D228" s="457" t="s">
        <v>236</v>
      </c>
      <c r="E228" s="551" t="s">
        <v>2687</v>
      </c>
      <c r="F228" s="551" t="s">
        <v>404</v>
      </c>
      <c r="G228" s="551" t="str">
        <f>VLOOKUP(WWWW[[#This Row],[Village  Name]],SiteDB6[[Site Name]:[Location Type]],8,FALSE)</f>
        <v>Village</v>
      </c>
      <c r="H228" s="457" t="s">
        <v>410</v>
      </c>
      <c r="I228" s="611">
        <v>204</v>
      </c>
      <c r="J228" s="611">
        <v>1055</v>
      </c>
      <c r="K228" s="461">
        <v>43556</v>
      </c>
      <c r="L228" s="55">
        <v>43921</v>
      </c>
      <c r="M228" s="611">
        <v>241</v>
      </c>
      <c r="N228" s="611">
        <v>0</v>
      </c>
      <c r="O228" s="611"/>
      <c r="P228" s="611"/>
      <c r="Q228" s="611">
        <v>3</v>
      </c>
      <c r="R228" s="611">
        <v>1</v>
      </c>
      <c r="S228" s="611"/>
      <c r="T228" s="643"/>
      <c r="U228" s="611"/>
      <c r="V228" s="611" t="s">
        <v>41</v>
      </c>
      <c r="W228" s="611">
        <v>2</v>
      </c>
      <c r="X228" s="611"/>
      <c r="Y228" s="611"/>
      <c r="Z228" s="611"/>
      <c r="AA228" s="611"/>
      <c r="AB228" s="643"/>
      <c r="AC228" s="611"/>
      <c r="AD228" s="611"/>
      <c r="AE228" s="611"/>
      <c r="AF228" s="611"/>
      <c r="AG228" s="611"/>
      <c r="AH228" s="611"/>
      <c r="AI228" s="611"/>
      <c r="AJ228" s="611">
        <v>1</v>
      </c>
      <c r="AK228" s="611"/>
      <c r="AL228" s="611"/>
      <c r="AM228" s="643"/>
      <c r="AN228" s="611"/>
      <c r="AO228" s="611"/>
      <c r="AP22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28" s="565">
        <f>WWWW[[#This Row],[%Equitable and continuous access to sufficient quantity of safe drinking water]]*WWWW[[#This Row],[Total PoP ]]</f>
        <v>0</v>
      </c>
      <c r="AR22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28" s="565">
        <f>WWWW[[#This Row],[% Access to unimproved water points]]*WWWW[[#This Row],[Total PoP ]]</f>
        <v>1055</v>
      </c>
      <c r="AT22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2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1055</v>
      </c>
      <c r="AV228" s="565">
        <f>WWWW[[#This Row],[HRP1]]/250</f>
        <v>4.22</v>
      </c>
      <c r="AW228" s="555">
        <f>1-WWWW[[#This Row],[% Equitable and continuous access to sufficient quantity of domestic water]]</f>
        <v>0</v>
      </c>
      <c r="AX228" s="565">
        <f>WWWW[[#This Row],[%equitable and continuous access to sufficient quantity of safe drinking and domestic water''s GAP]]*WWWW[[#This Row],[Total PoP ]]</f>
        <v>0</v>
      </c>
      <c r="AY228" s="557">
        <f>IF(WWWW[[#This Row],[Total required water points]]-WWWW[[#This Row],['#Water points coverage]]&lt;0,0,WWWW[[#This Row],[Total required water points]]-WWWW[[#This Row],['#Water points coverage]])</f>
        <v>0</v>
      </c>
      <c r="AZ228" s="557">
        <f>ROUND(IF(WWWW[[#This Row],[Total PoP ]]&lt;250,1,WWWW[[#This Row],[Total PoP ]]/250),0)</f>
        <v>4</v>
      </c>
      <c r="BA228"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9.4786729857819899E-2</v>
      </c>
      <c r="BB228" s="565">
        <f>WWWW[[#This Row],[% people access to functioning Latrine]]*WWWW[[#This Row],[Total PoP ]]</f>
        <v>100</v>
      </c>
      <c r="BC228" s="557">
        <f>WWWW[[#This Row],['#_of_Functioning_latrines_in_school]]*50</f>
        <v>100</v>
      </c>
      <c r="BD228" s="557">
        <f>ROUND((WWWW[[#This Row],[Total PoP ]]/6),0)</f>
        <v>176</v>
      </c>
      <c r="BE228" s="557">
        <f>IF(WWWW[[#This Row],[Total required Latrines]]-(WWWW[[#This Row],['#_of_sanitary_fly-proof_HH_latrines]])&lt;0,0,WWWW[[#This Row],[Total required Latrines]]-(WWWW[[#This Row],['#_of_sanitary_fly-proof_HH_latrines]]))</f>
        <v>176</v>
      </c>
      <c r="BF228" s="558">
        <f>1-WWWW[[#This Row],[% people access to functioning Latrine]]</f>
        <v>0.90521327014218012</v>
      </c>
      <c r="BG22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8" s="565">
        <f>IF(WWWW[[#This Row],['#_of_functional_handwashing_facilities_at_HH_level]]*6&gt;WWWW[[#This Row],[Total PoP ]],WWWW[[#This Row],[Total PoP ]],WWWW[[#This Row],['#_of_functional_handwashing_facilities_at_HH_level]]*6)</f>
        <v>0</v>
      </c>
      <c r="BI228" s="557">
        <f>IF(WWWW[[#This Row],['# people reached by regular dedicated hygiene promotion]]&gt;WWWW[[#This Row],['# People received regular supply of hygiene items]],WWWW[[#This Row],['# people reached by regular dedicated hygiene promotion]],WWWW[[#This Row],['# People received regular supply of hygiene items]])</f>
        <v>0</v>
      </c>
      <c r="BJ228" s="555">
        <f>IF(WWWW[[#This Row],[HRP3]]/WWWW[[#This Row],[Total PoP ]]&gt;100%,100%,WWWW[[#This Row],[HRP3]]/WWWW[[#This Row],[Total PoP ]])</f>
        <v>0</v>
      </c>
      <c r="BK228" s="558">
        <f>1-WWWW[[#This Row],[Hygiene Coverage%]]</f>
        <v>1</v>
      </c>
      <c r="BL228" s="556">
        <f>WWWW[[#This Row],['# people reached by regular dedicated hygiene promotion]]/WWWW[[#This Row],[Total PoP ]]</f>
        <v>0</v>
      </c>
      <c r="BM22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8" s="557">
        <f>WWWW[[#This Row],['#_of_affected_women_and_girls_receiving_a_sufficient_quantity_of_sanitary_pads]]</f>
        <v>0</v>
      </c>
      <c r="BO228" s="611">
        <f>IF(WWWW[[#This Row],['# People with access to soap]]&gt;WWWW[[#This Row],['# People with access to Sanity Pads]],WWWW[[#This Row],['# People with access to soap]],WWWW[[#This Row],['# People with access to Sanity Pads]])</f>
        <v>0</v>
      </c>
      <c r="BP228" s="565" t="str">
        <f>IF(OR(WWWW[[#This Row],['#of students in school]]="",WWWW[[#This Row],['#of students in school]]=0),"No","Yes")</f>
        <v>Yes</v>
      </c>
      <c r="BQ228" s="559" t="str">
        <f>VLOOKUP(WWWW[[#This Row],[Village  Name]],SiteDB6[[Site Name]:[Location Type 1]],9,FALSE)</f>
        <v>Village</v>
      </c>
      <c r="BR228" s="559" t="str">
        <f>VLOOKUP(WWWW[[#This Row],[Village  Name]],SiteDB6[[Site Name]:[Type of Accommodation]],10,FALSE)</f>
        <v>Village</v>
      </c>
      <c r="BS228" s="559" t="str">
        <f>VLOOKUP(WWWW[[#This Row],[Village  Name]],SiteDB6[[Site Name]:[Ethnic or GCA/NGCA]],11,FALSE)</f>
        <v>Rakhine</v>
      </c>
      <c r="BT228" s="559">
        <f>VLOOKUP(WWWW[[#This Row],[Village  Name]],SiteDB6[[Site Name]:[Lat]],12,FALSE)</f>
        <v>20.0839</v>
      </c>
      <c r="BU228" s="559">
        <f>VLOOKUP(WWWW[[#This Row],[Village  Name]],SiteDB6[[Site Name]:[Long]],13,FALSE)</f>
        <v>92.993799999999993</v>
      </c>
      <c r="BV228" s="559">
        <f>VLOOKUP(WWWW[[#This Row],[Village  Name]],SiteDB6[[Site Name]:[Pcode]],3,FALSE)</f>
        <v>197557</v>
      </c>
      <c r="BW228" s="559" t="str">
        <f t="shared" si="9"/>
        <v>Covered</v>
      </c>
      <c r="BX228" s="587"/>
    </row>
    <row r="229" spans="1:76">
      <c r="A229" s="612" t="s">
        <v>2381</v>
      </c>
      <c r="B229" s="612" t="s">
        <v>289</v>
      </c>
      <c r="C229" s="457" t="s">
        <v>289</v>
      </c>
      <c r="D229" s="457" t="s">
        <v>236</v>
      </c>
      <c r="E229" s="551" t="s">
        <v>2687</v>
      </c>
      <c r="F229" s="457" t="s">
        <v>404</v>
      </c>
      <c r="G229" s="551" t="str">
        <f>VLOOKUP(WWWW[[#This Row],[Village  Name]],SiteDB6[[Site Name]:[Location Type]],8,FALSE)</f>
        <v>Village</v>
      </c>
      <c r="H229" s="457" t="s">
        <v>406</v>
      </c>
      <c r="I229" s="611">
        <v>948</v>
      </c>
      <c r="J229" s="611">
        <v>3946</v>
      </c>
      <c r="K229" s="461">
        <v>43556</v>
      </c>
      <c r="L229" s="55">
        <v>43921</v>
      </c>
      <c r="M229" s="611">
        <v>342</v>
      </c>
      <c r="N229" s="611">
        <v>0</v>
      </c>
      <c r="O229" s="611"/>
      <c r="P229" s="611"/>
      <c r="Q229" s="611">
        <v>3</v>
      </c>
      <c r="R229" s="611">
        <v>1</v>
      </c>
      <c r="S229" s="611">
        <v>2</v>
      </c>
      <c r="T229" s="643"/>
      <c r="U229" s="611"/>
      <c r="V229" s="611" t="s">
        <v>41</v>
      </c>
      <c r="W229" s="611">
        <v>2</v>
      </c>
      <c r="X229" s="611"/>
      <c r="Y229" s="611"/>
      <c r="Z229" s="611"/>
      <c r="AA229" s="611"/>
      <c r="AB229" s="643"/>
      <c r="AC229" s="611"/>
      <c r="AD229" s="611"/>
      <c r="AE229" s="611"/>
      <c r="AF229" s="611"/>
      <c r="AG229" s="611"/>
      <c r="AH229" s="611"/>
      <c r="AI229" s="611"/>
      <c r="AJ229" s="611">
        <v>1</v>
      </c>
      <c r="AK229" s="611"/>
      <c r="AL229" s="611"/>
      <c r="AM229" s="643"/>
      <c r="AN229" s="611"/>
      <c r="AO229" s="611"/>
      <c r="AP22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0.12671059300557527</v>
      </c>
      <c r="AQ229" s="565">
        <f>WWWW[[#This Row],[%Equitable and continuous access to sufficient quantity of safe drinking water]]*WWWW[[#This Row],[Total PoP ]]</f>
        <v>500</v>
      </c>
      <c r="AR22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29" s="565">
        <f>WWWW[[#This Row],[% Access to unimproved water points]]*WWWW[[#This Row],[Total PoP ]]</f>
        <v>3946</v>
      </c>
      <c r="AT22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2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AV229" s="565">
        <f>WWWW[[#This Row],[HRP1]]/250</f>
        <v>15.784000000000001</v>
      </c>
      <c r="AW229" s="555">
        <f>1-WWWW[[#This Row],[% Equitable and continuous access to sufficient quantity of domestic water]]</f>
        <v>0</v>
      </c>
      <c r="AX229" s="565">
        <f>WWWW[[#This Row],[%equitable and continuous access to sufficient quantity of safe drinking and domestic water''s GAP]]*WWWW[[#This Row],[Total PoP ]]</f>
        <v>0</v>
      </c>
      <c r="AY229" s="557">
        <f>IF(WWWW[[#This Row],[Total required water points]]-WWWW[[#This Row],['#Water points coverage]]&lt;0,0,WWWW[[#This Row],[Total required water points]]-WWWW[[#This Row],['#Water points coverage]])</f>
        <v>0.2159999999999993</v>
      </c>
      <c r="AZ229" s="557">
        <f>ROUND(IF(WWWW[[#This Row],[Total PoP ]]&lt;250,1,WWWW[[#This Row],[Total PoP ]]/250),0)</f>
        <v>16</v>
      </c>
      <c r="BA229"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2.5342118601115054E-2</v>
      </c>
      <c r="BB229" s="565">
        <f>WWWW[[#This Row],[% people access to functioning Latrine]]*WWWW[[#This Row],[Total PoP ]]</f>
        <v>100</v>
      </c>
      <c r="BC229" s="557">
        <f>WWWW[[#This Row],['#_of_Functioning_latrines_in_school]]*50</f>
        <v>100</v>
      </c>
      <c r="BD229" s="557">
        <f>ROUND((WWWW[[#This Row],[Total PoP ]]/6),0)</f>
        <v>658</v>
      </c>
      <c r="BE229" s="557">
        <f>IF(WWWW[[#This Row],[Total required Latrines]]-(WWWW[[#This Row],['#_of_sanitary_fly-proof_HH_latrines]])&lt;0,0,WWWW[[#This Row],[Total required Latrines]]-(WWWW[[#This Row],['#_of_sanitary_fly-proof_HH_latrines]]))</f>
        <v>658</v>
      </c>
      <c r="BF229" s="558">
        <f>1-WWWW[[#This Row],[% people access to functioning Latrine]]</f>
        <v>0.97465788139888498</v>
      </c>
      <c r="BG22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29" s="565">
        <f>IF(WWWW[[#This Row],['#_of_functional_handwashing_facilities_at_HH_level]]*6&gt;WWWW[[#This Row],[Total PoP ]],WWWW[[#This Row],[Total PoP ]],WWWW[[#This Row],['#_of_functional_handwashing_facilities_at_HH_level]]*6)</f>
        <v>0</v>
      </c>
      <c r="BI229" s="557">
        <f>IF(WWWW[[#This Row],['# people reached by regular dedicated hygiene promotion]]&gt;WWWW[[#This Row],['# People received regular supply of hygiene items]],WWWW[[#This Row],['# people reached by regular dedicated hygiene promotion]],WWWW[[#This Row],['# People received regular supply of hygiene items]])</f>
        <v>0</v>
      </c>
      <c r="BJ229" s="555">
        <f>IF(WWWW[[#This Row],[HRP3]]/WWWW[[#This Row],[Total PoP ]]&gt;100%,100%,WWWW[[#This Row],[HRP3]]/WWWW[[#This Row],[Total PoP ]])</f>
        <v>0</v>
      </c>
      <c r="BK229" s="558">
        <f>1-WWWW[[#This Row],[Hygiene Coverage%]]</f>
        <v>1</v>
      </c>
      <c r="BL229" s="556">
        <f>WWWW[[#This Row],['# people reached by regular dedicated hygiene promotion]]/WWWW[[#This Row],[Total PoP ]]</f>
        <v>0</v>
      </c>
      <c r="BM22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29" s="557">
        <f>WWWW[[#This Row],['#_of_affected_women_and_girls_receiving_a_sufficient_quantity_of_sanitary_pads]]</f>
        <v>0</v>
      </c>
      <c r="BO229" s="611">
        <f>IF(WWWW[[#This Row],['# People with access to soap]]&gt;WWWW[[#This Row],['# People with access to Sanity Pads]],WWWW[[#This Row],['# People with access to soap]],WWWW[[#This Row],['# People with access to Sanity Pads]])</f>
        <v>0</v>
      </c>
      <c r="BP229" s="565" t="str">
        <f>IF(OR(WWWW[[#This Row],['#of students in school]]="",WWWW[[#This Row],['#of students in school]]=0),"No","Yes")</f>
        <v>Yes</v>
      </c>
      <c r="BQ229" s="559" t="str">
        <f>VLOOKUP(WWWW[[#This Row],[Village  Name]],SiteDB6[[Site Name]:[Location Type 1]],9,FALSE)</f>
        <v>Village</v>
      </c>
      <c r="BR229" s="559" t="str">
        <f>VLOOKUP(WWWW[[#This Row],[Village  Name]],SiteDB6[[Site Name]:[Type of Accommodation]],10,FALSE)</f>
        <v>Village</v>
      </c>
      <c r="BS229" s="559" t="str">
        <f>VLOOKUP(WWWW[[#This Row],[Village  Name]],SiteDB6[[Site Name]:[Ethnic or GCA/NGCA]],11,FALSE)</f>
        <v>Muslim</v>
      </c>
      <c r="BT229" s="559">
        <f>VLOOKUP(WWWW[[#This Row],[Village  Name]],SiteDB6[[Site Name]:[Lat]],12,FALSE)</f>
        <v>20.0641</v>
      </c>
      <c r="BU229" s="559">
        <f>VLOOKUP(WWWW[[#This Row],[Village  Name]],SiteDB6[[Site Name]:[Long]],13,FALSE)</f>
        <v>92.994600000000005</v>
      </c>
      <c r="BV229" s="559">
        <f>VLOOKUP(WWWW[[#This Row],[Village  Name]],SiteDB6[[Site Name]:[Pcode]],3,FALSE)</f>
        <v>197548</v>
      </c>
      <c r="BW229" s="559" t="str">
        <f t="shared" si="9"/>
        <v>Covered</v>
      </c>
      <c r="BX229" s="587"/>
    </row>
    <row r="230" spans="1:76">
      <c r="A230" s="612" t="s">
        <v>2381</v>
      </c>
      <c r="B230" s="612" t="s">
        <v>289</v>
      </c>
      <c r="C230" s="457" t="s">
        <v>289</v>
      </c>
      <c r="D230" s="457" t="s">
        <v>236</v>
      </c>
      <c r="E230" s="551" t="s">
        <v>2687</v>
      </c>
      <c r="F230" s="457" t="s">
        <v>404</v>
      </c>
      <c r="G230" s="551" t="str">
        <f>VLOOKUP(WWWW[[#This Row],[Village  Name]],SiteDB6[[Site Name]:[Location Type]],8,FALSE)</f>
        <v>Village</v>
      </c>
      <c r="H230" s="457" t="s">
        <v>405</v>
      </c>
      <c r="I230" s="611">
        <v>477</v>
      </c>
      <c r="J230" s="611">
        <v>2034</v>
      </c>
      <c r="K230" s="461">
        <v>43556</v>
      </c>
      <c r="L230" s="55">
        <v>43921</v>
      </c>
      <c r="M230" s="611">
        <v>462</v>
      </c>
      <c r="N230" s="611">
        <v>0</v>
      </c>
      <c r="O230" s="611"/>
      <c r="P230" s="611"/>
      <c r="Q230" s="611">
        <v>1</v>
      </c>
      <c r="R230" s="611"/>
      <c r="S230" s="611">
        <v>2</v>
      </c>
      <c r="T230" s="643"/>
      <c r="U230" s="611"/>
      <c r="V230" s="611" t="s">
        <v>41</v>
      </c>
      <c r="W230" s="611">
        <v>8</v>
      </c>
      <c r="X230" s="611"/>
      <c r="Y230" s="611"/>
      <c r="Z230" s="611"/>
      <c r="AA230" s="611"/>
      <c r="AB230" s="643"/>
      <c r="AC230" s="611"/>
      <c r="AD230" s="611"/>
      <c r="AE230" s="611"/>
      <c r="AF230" s="611"/>
      <c r="AG230" s="611"/>
      <c r="AH230" s="611"/>
      <c r="AI230" s="611"/>
      <c r="AJ230" s="611"/>
      <c r="AK230" s="611"/>
      <c r="AL230" s="611"/>
      <c r="AM230" s="643"/>
      <c r="AN230" s="611"/>
      <c r="AO230" s="611"/>
      <c r="AP23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0.24582104228121926</v>
      </c>
      <c r="AQ230" s="565">
        <f>WWWW[[#This Row],[%Equitable and continuous access to sufficient quantity of safe drinking water]]*WWWW[[#This Row],[Total PoP ]]</f>
        <v>500</v>
      </c>
      <c r="AR23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30" s="565">
        <f>WWWW[[#This Row],[% Access to unimproved water points]]*WWWW[[#This Row],[Total PoP ]]</f>
        <v>2034</v>
      </c>
      <c r="AT23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3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AV230" s="565">
        <f>WWWW[[#This Row],[HRP1]]/250</f>
        <v>8.1359999999999992</v>
      </c>
      <c r="AW230" s="555">
        <f>1-WWWW[[#This Row],[% Equitable and continuous access to sufficient quantity of domestic water]]</f>
        <v>0</v>
      </c>
      <c r="AX230" s="565">
        <f>WWWW[[#This Row],[%equitable and continuous access to sufficient quantity of safe drinking and domestic water''s GAP]]*WWWW[[#This Row],[Total PoP ]]</f>
        <v>0</v>
      </c>
      <c r="AY230" s="557">
        <f>IF(WWWW[[#This Row],[Total required water points]]-WWWW[[#This Row],['#Water points coverage]]&lt;0,0,WWWW[[#This Row],[Total required water points]]-WWWW[[#This Row],['#Water points coverage]])</f>
        <v>0</v>
      </c>
      <c r="AZ230" s="557">
        <f>ROUND(IF(WWWW[[#This Row],[Total PoP ]]&lt;250,1,WWWW[[#This Row],[Total PoP ]]/250),0)</f>
        <v>8</v>
      </c>
      <c r="BA23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0.19665683382497542</v>
      </c>
      <c r="BB230" s="565">
        <f>WWWW[[#This Row],[% people access to functioning Latrine]]*WWWW[[#This Row],[Total PoP ]]</f>
        <v>400</v>
      </c>
      <c r="BC230" s="557">
        <f>WWWW[[#This Row],['#_of_Functioning_latrines_in_school]]*50</f>
        <v>400</v>
      </c>
      <c r="BD230" s="557">
        <f>ROUND((WWWW[[#This Row],[Total PoP ]]/6),0)</f>
        <v>339</v>
      </c>
      <c r="BE230" s="557">
        <f>IF(WWWW[[#This Row],[Total required Latrines]]-(WWWW[[#This Row],['#_of_sanitary_fly-proof_HH_latrines]])&lt;0,0,WWWW[[#This Row],[Total required Latrines]]-(WWWW[[#This Row],['#_of_sanitary_fly-proof_HH_latrines]]))</f>
        <v>339</v>
      </c>
      <c r="BF230" s="558">
        <f>1-WWWW[[#This Row],[% people access to functioning Latrine]]</f>
        <v>0.80334316617502455</v>
      </c>
      <c r="BG23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0" s="565">
        <f>IF(WWWW[[#This Row],['#_of_functional_handwashing_facilities_at_HH_level]]*6&gt;WWWW[[#This Row],[Total PoP ]],WWWW[[#This Row],[Total PoP ]],WWWW[[#This Row],['#_of_functional_handwashing_facilities_at_HH_level]]*6)</f>
        <v>0</v>
      </c>
      <c r="BI230" s="557">
        <f>IF(WWWW[[#This Row],['# people reached by regular dedicated hygiene promotion]]&gt;WWWW[[#This Row],['# People received regular supply of hygiene items]],WWWW[[#This Row],['# people reached by regular dedicated hygiene promotion]],WWWW[[#This Row],['# People received regular supply of hygiene items]])</f>
        <v>0</v>
      </c>
      <c r="BJ230" s="555">
        <f>IF(WWWW[[#This Row],[HRP3]]/WWWW[[#This Row],[Total PoP ]]&gt;100%,100%,WWWW[[#This Row],[HRP3]]/WWWW[[#This Row],[Total PoP ]])</f>
        <v>0</v>
      </c>
      <c r="BK230" s="558">
        <f>1-WWWW[[#This Row],[Hygiene Coverage%]]</f>
        <v>1</v>
      </c>
      <c r="BL230" s="556">
        <f>WWWW[[#This Row],['# people reached by regular dedicated hygiene promotion]]/WWWW[[#This Row],[Total PoP ]]</f>
        <v>0</v>
      </c>
      <c r="BM23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30" s="557">
        <f>WWWW[[#This Row],['#_of_affected_women_and_girls_receiving_a_sufficient_quantity_of_sanitary_pads]]</f>
        <v>0</v>
      </c>
      <c r="BO230" s="611">
        <f>IF(WWWW[[#This Row],['# People with access to soap]]&gt;WWWW[[#This Row],['# People with access to Sanity Pads]],WWWW[[#This Row],['# People with access to soap]],WWWW[[#This Row],['# People with access to Sanity Pads]])</f>
        <v>0</v>
      </c>
      <c r="BP230" s="565" t="str">
        <f>IF(OR(WWWW[[#This Row],['#of students in school]]="",WWWW[[#This Row],['#of students in school]]=0),"No","Yes")</f>
        <v>Yes</v>
      </c>
      <c r="BQ230" s="559" t="str">
        <f>VLOOKUP(WWWW[[#This Row],[Village  Name]],SiteDB6[[Site Name]:[Location Type 1]],9,FALSE)</f>
        <v>Village</v>
      </c>
      <c r="BR230" s="559" t="str">
        <f>VLOOKUP(WWWW[[#This Row],[Village  Name]],SiteDB6[[Site Name]:[Type of Accommodation]],10,FALSE)</f>
        <v>Village</v>
      </c>
      <c r="BS230" s="559" t="str">
        <f>VLOOKUP(WWWW[[#This Row],[Village  Name]],SiteDB6[[Site Name]:[Ethnic or GCA/NGCA]],11,FALSE)</f>
        <v>Rakhine</v>
      </c>
      <c r="BT230" s="559">
        <f>VLOOKUP(WWWW[[#This Row],[Village  Name]],SiteDB6[[Site Name]:[Lat]],12,FALSE)</f>
        <v>20.057860999999999</v>
      </c>
      <c r="BU230" s="559">
        <f>VLOOKUP(WWWW[[#This Row],[Village  Name]],SiteDB6[[Site Name]:[Long]],13,FALSE)</f>
        <v>92.995181000000002</v>
      </c>
      <c r="BV230" s="559">
        <f>VLOOKUP(WWWW[[#This Row],[Village  Name]],SiteDB6[[Site Name]:[Pcode]],3,FALSE)</f>
        <v>197550</v>
      </c>
      <c r="BW230" s="559" t="str">
        <f t="shared" si="9"/>
        <v>Covered</v>
      </c>
      <c r="BX230" s="587"/>
    </row>
    <row r="231" spans="1:76">
      <c r="A231" s="612" t="s">
        <v>2381</v>
      </c>
      <c r="B231" s="612" t="s">
        <v>289</v>
      </c>
      <c r="C231" s="457" t="s">
        <v>289</v>
      </c>
      <c r="D231" s="457" t="s">
        <v>329</v>
      </c>
      <c r="E231" s="551" t="s">
        <v>2687</v>
      </c>
      <c r="F231" s="457" t="s">
        <v>404</v>
      </c>
      <c r="G231" s="551" t="str">
        <f>VLOOKUP(WWWW[[#This Row],[Village  Name]],SiteDB6[[Site Name]:[Location Type]],8,FALSE)</f>
        <v>Village</v>
      </c>
      <c r="H231" s="457" t="s">
        <v>2845</v>
      </c>
      <c r="I231" s="611">
        <v>97</v>
      </c>
      <c r="J231" s="611">
        <v>97</v>
      </c>
      <c r="K231" s="461">
        <v>43359</v>
      </c>
      <c r="L231" s="55">
        <v>43830</v>
      </c>
      <c r="M231" s="611">
        <v>82</v>
      </c>
      <c r="N231" s="611"/>
      <c r="O231" s="611"/>
      <c r="P231" s="611"/>
      <c r="Q231" s="611"/>
      <c r="R231" s="611"/>
      <c r="S231" s="611"/>
      <c r="T231" s="643"/>
      <c r="U231" s="611"/>
      <c r="V231" s="611" t="s">
        <v>132</v>
      </c>
      <c r="W231" s="611"/>
      <c r="X231" s="611"/>
      <c r="Y231" s="611"/>
      <c r="Z231" s="611"/>
      <c r="AA231" s="611"/>
      <c r="AB231" s="643"/>
      <c r="AC231" s="611"/>
      <c r="AD231" s="611"/>
      <c r="AE231" s="611"/>
      <c r="AF231" s="611"/>
      <c r="AG231" s="611"/>
      <c r="AH231" s="611"/>
      <c r="AI231" s="611"/>
      <c r="AJ231" s="611"/>
      <c r="AK231" s="611"/>
      <c r="AL231" s="611"/>
      <c r="AM231" s="643"/>
      <c r="AN231" s="611"/>
      <c r="AO231" s="611"/>
      <c r="AP23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1" s="565">
        <f>WWWW[[#This Row],[%Equitable and continuous access to sufficient quantity of safe drinking water]]*WWWW[[#This Row],[Total PoP ]]</f>
        <v>0</v>
      </c>
      <c r="AR23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1" s="565">
        <f>WWWW[[#This Row],[% Access to unimproved water points]]*WWWW[[#This Row],[Total PoP ]]</f>
        <v>0</v>
      </c>
      <c r="AT23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1" s="565">
        <f>WWWW[[#This Row],[HRP1]]/250</f>
        <v>0</v>
      </c>
      <c r="AW231" s="555">
        <f>1-WWWW[[#This Row],[% Equitable and continuous access to sufficient quantity of domestic water]]</f>
        <v>1</v>
      </c>
      <c r="AX231" s="565">
        <f>WWWW[[#This Row],[%equitable and continuous access to sufficient quantity of safe drinking and domestic water''s GAP]]*WWWW[[#This Row],[Total PoP ]]</f>
        <v>97</v>
      </c>
      <c r="AY231" s="557">
        <f>IF(WWWW[[#This Row],[Total required water points]]-WWWW[[#This Row],['#Water points coverage]]&lt;0,0,WWWW[[#This Row],[Total required water points]]-WWWW[[#This Row],['#Water points coverage]])</f>
        <v>1</v>
      </c>
      <c r="AZ231" s="557">
        <f>ROUND(IF(WWWW[[#This Row],[Total PoP ]]&lt;250,1,WWWW[[#This Row],[Total PoP ]]/250),0)</f>
        <v>1</v>
      </c>
      <c r="BA23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1" s="565">
        <f>WWWW[[#This Row],[% people access to functioning Latrine]]*WWWW[[#This Row],[Total PoP ]]</f>
        <v>0</v>
      </c>
      <c r="BC231" s="557">
        <f>WWWW[[#This Row],['#_of_Functioning_latrines_in_school]]*50</f>
        <v>0</v>
      </c>
      <c r="BD231" s="557">
        <f>ROUND((WWWW[[#This Row],[Total PoP ]]/6),0)</f>
        <v>16</v>
      </c>
      <c r="BE231" s="557">
        <f>IF(WWWW[[#This Row],[Total required Latrines]]-(WWWW[[#This Row],['#_of_sanitary_fly-proof_HH_latrines]])&lt;0,0,WWWW[[#This Row],[Total required Latrines]]-(WWWW[[#This Row],['#_of_sanitary_fly-proof_HH_latrines]]))</f>
        <v>16</v>
      </c>
      <c r="BF231" s="558">
        <f>1-WWWW[[#This Row],[% people access to functioning Latrine]]</f>
        <v>1</v>
      </c>
      <c r="BG23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1" s="565">
        <f>IF(WWWW[[#This Row],['#_of_functional_handwashing_facilities_at_HH_level]]*6&gt;WWWW[[#This Row],[Total PoP ]],WWWW[[#This Row],[Total PoP ]],WWWW[[#This Row],['#_of_functional_handwashing_facilities_at_HH_level]]*6)</f>
        <v>0</v>
      </c>
      <c r="BI231" s="557">
        <f>IF(WWWW[[#This Row],['# people reached by regular dedicated hygiene promotion]]&gt;WWWW[[#This Row],['# People received regular supply of hygiene items]],WWWW[[#This Row],['# people reached by regular dedicated hygiene promotion]],WWWW[[#This Row],['# People received regular supply of hygiene items]])</f>
        <v>0</v>
      </c>
      <c r="BJ231" s="555">
        <f>IF(WWWW[[#This Row],[HRP3]]/WWWW[[#This Row],[Total PoP ]]&gt;100%,100%,WWWW[[#This Row],[HRP3]]/WWWW[[#This Row],[Total PoP ]])</f>
        <v>0</v>
      </c>
      <c r="BK231" s="558">
        <f>1-WWWW[[#This Row],[Hygiene Coverage%]]</f>
        <v>1</v>
      </c>
      <c r="BL231" s="556">
        <f>WWWW[[#This Row],['# people reached by regular dedicated hygiene promotion]]/WWWW[[#This Row],[Total PoP ]]</f>
        <v>0</v>
      </c>
      <c r="BM23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31" s="557">
        <f>WWWW[[#This Row],['#_of_affected_women_and_girls_receiving_a_sufficient_quantity_of_sanitary_pads]]</f>
        <v>0</v>
      </c>
      <c r="BO231" s="611">
        <f>IF(WWWW[[#This Row],['# People with access to soap]]&gt;WWWW[[#This Row],['# People with access to Sanity Pads]],WWWW[[#This Row],['# People with access to soap]],WWWW[[#This Row],['# People with access to Sanity Pads]])</f>
        <v>0</v>
      </c>
      <c r="BP231" s="565" t="str">
        <f>IF(OR(WWWW[[#This Row],['#of students in school]]="",WWWW[[#This Row],['#of students in school]]=0),"No","Yes")</f>
        <v>Yes</v>
      </c>
      <c r="BQ231" s="559" t="str">
        <f>VLOOKUP(WWWW[[#This Row],[Village  Name]],SiteDB6[[Site Name]:[Location Type 1]],9,FALSE)</f>
        <v>Village</v>
      </c>
      <c r="BR231" s="559" t="str">
        <f>VLOOKUP(WWWW[[#This Row],[Village  Name]],SiteDB6[[Site Name]:[Type of Accommodation]],10,FALSE)</f>
        <v>Village</v>
      </c>
      <c r="BS231" s="559">
        <f>VLOOKUP(WWWW[[#This Row],[Village  Name]],SiteDB6[[Site Name]:[Ethnic or GCA/NGCA]],11,FALSE)</f>
        <v>0</v>
      </c>
      <c r="BT231" s="559">
        <f>VLOOKUP(WWWW[[#This Row],[Village  Name]],SiteDB6[[Site Name]:[Lat]],12,FALSE)</f>
        <v>19.9964408874512</v>
      </c>
      <c r="BU231" s="559">
        <f>VLOOKUP(WWWW[[#This Row],[Village  Name]],SiteDB6[[Site Name]:[Long]],13,FALSE)</f>
        <v>92.951683044433594</v>
      </c>
      <c r="BV231" s="559">
        <f>VLOOKUP(WWWW[[#This Row],[Village  Name]],SiteDB6[[Site Name]:[Pcode]],3,FALSE)</f>
        <v>217986</v>
      </c>
      <c r="BW231" s="559" t="str">
        <f t="shared" si="9"/>
        <v>Covered</v>
      </c>
      <c r="BX231" s="587"/>
    </row>
    <row r="232" spans="1:76">
      <c r="A232" s="612" t="s">
        <v>2381</v>
      </c>
      <c r="B232" s="612" t="s">
        <v>289</v>
      </c>
      <c r="C232" s="457" t="s">
        <v>289</v>
      </c>
      <c r="D232" s="457" t="s">
        <v>329</v>
      </c>
      <c r="E232" s="551" t="s">
        <v>2687</v>
      </c>
      <c r="F232" s="457" t="s">
        <v>404</v>
      </c>
      <c r="G232" s="551" t="str">
        <f>VLOOKUP(WWWW[[#This Row],[Village  Name]],SiteDB6[[Site Name]:[Location Type]],8,FALSE)</f>
        <v>Village</v>
      </c>
      <c r="H232" s="457" t="s">
        <v>2969</v>
      </c>
      <c r="I232" s="611">
        <v>47</v>
      </c>
      <c r="J232" s="611">
        <v>239</v>
      </c>
      <c r="K232" s="461">
        <v>43359</v>
      </c>
      <c r="L232" s="55">
        <v>43830</v>
      </c>
      <c r="M232" s="611">
        <v>25</v>
      </c>
      <c r="N232" s="611"/>
      <c r="O232" s="611"/>
      <c r="P232" s="611"/>
      <c r="Q232" s="611"/>
      <c r="R232" s="611"/>
      <c r="S232" s="611"/>
      <c r="T232" s="643"/>
      <c r="U232" s="611"/>
      <c r="V232" s="611" t="s">
        <v>132</v>
      </c>
      <c r="W232" s="611"/>
      <c r="X232" s="611"/>
      <c r="Y232" s="611"/>
      <c r="Z232" s="611"/>
      <c r="AA232" s="611"/>
      <c r="AB232" s="643"/>
      <c r="AC232" s="611"/>
      <c r="AD232" s="611"/>
      <c r="AE232" s="611"/>
      <c r="AF232" s="611"/>
      <c r="AG232" s="611"/>
      <c r="AH232" s="611"/>
      <c r="AI232" s="611"/>
      <c r="AJ232" s="611"/>
      <c r="AK232" s="611"/>
      <c r="AL232" s="611"/>
      <c r="AM232" s="643"/>
      <c r="AN232" s="611"/>
      <c r="AO232" s="611"/>
      <c r="AP23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2" s="565">
        <f>WWWW[[#This Row],[%Equitable and continuous access to sufficient quantity of safe drinking water]]*WWWW[[#This Row],[Total PoP ]]</f>
        <v>0</v>
      </c>
      <c r="AR23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2" s="565">
        <f>WWWW[[#This Row],[% Access to unimproved water points]]*WWWW[[#This Row],[Total PoP ]]</f>
        <v>0</v>
      </c>
      <c r="AT23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2" s="565">
        <f>WWWW[[#This Row],[HRP1]]/250</f>
        <v>0</v>
      </c>
      <c r="AW232" s="555">
        <f>1-WWWW[[#This Row],[% Equitable and continuous access to sufficient quantity of domestic water]]</f>
        <v>1</v>
      </c>
      <c r="AX232" s="565">
        <f>WWWW[[#This Row],[%equitable and continuous access to sufficient quantity of safe drinking and domestic water''s GAP]]*WWWW[[#This Row],[Total PoP ]]</f>
        <v>239</v>
      </c>
      <c r="AY232" s="557">
        <f>IF(WWWW[[#This Row],[Total required water points]]-WWWW[[#This Row],['#Water points coverage]]&lt;0,0,WWWW[[#This Row],[Total required water points]]-WWWW[[#This Row],['#Water points coverage]])</f>
        <v>1</v>
      </c>
      <c r="AZ232" s="557">
        <f>ROUND(IF(WWWW[[#This Row],[Total PoP ]]&lt;250,1,WWWW[[#This Row],[Total PoP ]]/250),0)</f>
        <v>1</v>
      </c>
      <c r="BA23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2" s="565">
        <f>WWWW[[#This Row],[% people access to functioning Latrine]]*WWWW[[#This Row],[Total PoP ]]</f>
        <v>0</v>
      </c>
      <c r="BC232" s="557">
        <f>WWWW[[#This Row],['#_of_Functioning_latrines_in_school]]*50</f>
        <v>0</v>
      </c>
      <c r="BD232" s="557">
        <f>ROUND((WWWW[[#This Row],[Total PoP ]]/6),0)</f>
        <v>40</v>
      </c>
      <c r="BE232" s="557">
        <f>IF(WWWW[[#This Row],[Total required Latrines]]-(WWWW[[#This Row],['#_of_sanitary_fly-proof_HH_latrines]])&lt;0,0,WWWW[[#This Row],[Total required Latrines]]-(WWWW[[#This Row],['#_of_sanitary_fly-proof_HH_latrines]]))</f>
        <v>40</v>
      </c>
      <c r="BF232" s="558">
        <f>1-WWWW[[#This Row],[% people access to functioning Latrine]]</f>
        <v>1</v>
      </c>
      <c r="BG23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2" s="565">
        <f>IF(WWWW[[#This Row],['#_of_functional_handwashing_facilities_at_HH_level]]*6&gt;WWWW[[#This Row],[Total PoP ]],WWWW[[#This Row],[Total PoP ]],WWWW[[#This Row],['#_of_functional_handwashing_facilities_at_HH_level]]*6)</f>
        <v>0</v>
      </c>
      <c r="BI232" s="557">
        <f>IF(WWWW[[#This Row],['# people reached by regular dedicated hygiene promotion]]&gt;WWWW[[#This Row],['# People received regular supply of hygiene items]],WWWW[[#This Row],['# people reached by regular dedicated hygiene promotion]],WWWW[[#This Row],['# People received regular supply of hygiene items]])</f>
        <v>0</v>
      </c>
      <c r="BJ232" s="555">
        <f>IF(WWWW[[#This Row],[HRP3]]/WWWW[[#This Row],[Total PoP ]]&gt;100%,100%,WWWW[[#This Row],[HRP3]]/WWWW[[#This Row],[Total PoP ]])</f>
        <v>0</v>
      </c>
      <c r="BK232" s="558">
        <f>1-WWWW[[#This Row],[Hygiene Coverage%]]</f>
        <v>1</v>
      </c>
      <c r="BL232" s="556">
        <f>WWWW[[#This Row],['# people reached by regular dedicated hygiene promotion]]/WWWW[[#This Row],[Total PoP ]]</f>
        <v>0</v>
      </c>
      <c r="BM23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32" s="557">
        <f>WWWW[[#This Row],['#_of_affected_women_and_girls_receiving_a_sufficient_quantity_of_sanitary_pads]]</f>
        <v>0</v>
      </c>
      <c r="BO232" s="611">
        <f>IF(WWWW[[#This Row],['# People with access to soap]]&gt;WWWW[[#This Row],['# People with access to Sanity Pads]],WWWW[[#This Row],['# People with access to soap]],WWWW[[#This Row],['# People with access to Sanity Pads]])</f>
        <v>0</v>
      </c>
      <c r="BP232" s="565" t="str">
        <f>IF(OR(WWWW[[#This Row],['#of students in school]]="",WWWW[[#This Row],['#of students in school]]=0),"No","Yes")</f>
        <v>Yes</v>
      </c>
      <c r="BQ232" s="559" t="str">
        <f>VLOOKUP(WWWW[[#This Row],[Village  Name]],SiteDB6[[Site Name]:[Location Type 1]],9,FALSE)</f>
        <v>Village</v>
      </c>
      <c r="BR232" s="559" t="str">
        <f>VLOOKUP(WWWW[[#This Row],[Village  Name]],SiteDB6[[Site Name]:[Type of Accommodation]],10,FALSE)</f>
        <v>Village</v>
      </c>
      <c r="BS232" s="559">
        <f>VLOOKUP(WWWW[[#This Row],[Village  Name]],SiteDB6[[Site Name]:[Ethnic or GCA/NGCA]],11,FALSE)</f>
        <v>0</v>
      </c>
      <c r="BT232" s="559">
        <f>VLOOKUP(WWWW[[#This Row],[Village  Name]],SiteDB6[[Site Name]:[Lat]],12,FALSE)</f>
        <v>20.032600402831999</v>
      </c>
      <c r="BU232" s="559">
        <f>VLOOKUP(WWWW[[#This Row],[Village  Name]],SiteDB6[[Site Name]:[Long]],13,FALSE)</f>
        <v>92.931488037109403</v>
      </c>
      <c r="BV232" s="559">
        <f>VLOOKUP(WWWW[[#This Row],[Village  Name]],SiteDB6[[Site Name]:[Pcode]],3,FALSE)</f>
        <v>197563</v>
      </c>
      <c r="BW232" s="559" t="str">
        <f t="shared" si="9"/>
        <v>Covered</v>
      </c>
      <c r="BX232" s="587"/>
    </row>
    <row r="233" spans="1:76">
      <c r="A233" s="612" t="s">
        <v>2381</v>
      </c>
      <c r="B233" s="612" t="s">
        <v>289</v>
      </c>
      <c r="C233" s="457" t="s">
        <v>289</v>
      </c>
      <c r="D233" s="457" t="s">
        <v>329</v>
      </c>
      <c r="E233" s="551" t="s">
        <v>2687</v>
      </c>
      <c r="F233" s="457" t="s">
        <v>404</v>
      </c>
      <c r="G233" s="551" t="str">
        <f>VLOOKUP(WWWW[[#This Row],[Village  Name]],SiteDB6[[Site Name]:[Location Type]],8,FALSE)</f>
        <v>Village</v>
      </c>
      <c r="H233" s="457" t="s">
        <v>2970</v>
      </c>
      <c r="I233" s="611">
        <v>113</v>
      </c>
      <c r="J233" s="611">
        <v>506</v>
      </c>
      <c r="K233" s="461">
        <v>43359</v>
      </c>
      <c r="L233" s="55">
        <v>43830</v>
      </c>
      <c r="M233" s="611">
        <v>183</v>
      </c>
      <c r="N233" s="611"/>
      <c r="O233" s="611"/>
      <c r="P233" s="611"/>
      <c r="Q233" s="611"/>
      <c r="R233" s="611"/>
      <c r="S233" s="611"/>
      <c r="T233" s="643"/>
      <c r="U233" s="611"/>
      <c r="V233" s="611" t="s">
        <v>132</v>
      </c>
      <c r="W233" s="611"/>
      <c r="X233" s="611"/>
      <c r="Y233" s="611"/>
      <c r="Z233" s="611"/>
      <c r="AA233" s="611"/>
      <c r="AB233" s="643"/>
      <c r="AC233" s="611"/>
      <c r="AD233" s="611"/>
      <c r="AE233" s="611"/>
      <c r="AF233" s="611"/>
      <c r="AG233" s="611"/>
      <c r="AH233" s="611"/>
      <c r="AI233" s="611"/>
      <c r="AJ233" s="611"/>
      <c r="AK233" s="611"/>
      <c r="AL233" s="611"/>
      <c r="AM233" s="643"/>
      <c r="AN233" s="611"/>
      <c r="AO233" s="611"/>
      <c r="AP23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3" s="565">
        <f>WWWW[[#This Row],[%Equitable and continuous access to sufficient quantity of safe drinking water]]*WWWW[[#This Row],[Total PoP ]]</f>
        <v>0</v>
      </c>
      <c r="AR23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3" s="565">
        <f>WWWW[[#This Row],[% Access to unimproved water points]]*WWWW[[#This Row],[Total PoP ]]</f>
        <v>0</v>
      </c>
      <c r="AT23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3" s="565">
        <f>WWWW[[#This Row],[HRP1]]/250</f>
        <v>0</v>
      </c>
      <c r="AW233" s="555">
        <f>1-WWWW[[#This Row],[% Equitable and continuous access to sufficient quantity of domestic water]]</f>
        <v>1</v>
      </c>
      <c r="AX233" s="565">
        <f>WWWW[[#This Row],[%equitable and continuous access to sufficient quantity of safe drinking and domestic water''s GAP]]*WWWW[[#This Row],[Total PoP ]]</f>
        <v>506</v>
      </c>
      <c r="AY233" s="557">
        <f>IF(WWWW[[#This Row],[Total required water points]]-WWWW[[#This Row],['#Water points coverage]]&lt;0,0,WWWW[[#This Row],[Total required water points]]-WWWW[[#This Row],['#Water points coverage]])</f>
        <v>2</v>
      </c>
      <c r="AZ233" s="557">
        <f>ROUND(IF(WWWW[[#This Row],[Total PoP ]]&lt;250,1,WWWW[[#This Row],[Total PoP ]]/250),0)</f>
        <v>2</v>
      </c>
      <c r="BA23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3" s="565">
        <f>WWWW[[#This Row],[% people access to functioning Latrine]]*WWWW[[#This Row],[Total PoP ]]</f>
        <v>0</v>
      </c>
      <c r="BC233" s="557">
        <f>WWWW[[#This Row],['#_of_Functioning_latrines_in_school]]*50</f>
        <v>0</v>
      </c>
      <c r="BD233" s="557">
        <f>ROUND((WWWW[[#This Row],[Total PoP ]]/6),0)</f>
        <v>84</v>
      </c>
      <c r="BE233" s="557">
        <f>IF(WWWW[[#This Row],[Total required Latrines]]-(WWWW[[#This Row],['#_of_sanitary_fly-proof_HH_latrines]])&lt;0,0,WWWW[[#This Row],[Total required Latrines]]-(WWWW[[#This Row],['#_of_sanitary_fly-proof_HH_latrines]]))</f>
        <v>84</v>
      </c>
      <c r="BF233" s="558">
        <f>1-WWWW[[#This Row],[% people access to functioning Latrine]]</f>
        <v>1</v>
      </c>
      <c r="BG23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3" s="565">
        <f>IF(WWWW[[#This Row],['#_of_functional_handwashing_facilities_at_HH_level]]*6&gt;WWWW[[#This Row],[Total PoP ]],WWWW[[#This Row],[Total PoP ]],WWWW[[#This Row],['#_of_functional_handwashing_facilities_at_HH_level]]*6)</f>
        <v>0</v>
      </c>
      <c r="BI233" s="557">
        <f>IF(WWWW[[#This Row],['# people reached by regular dedicated hygiene promotion]]&gt;WWWW[[#This Row],['# People received regular supply of hygiene items]],WWWW[[#This Row],['# people reached by regular dedicated hygiene promotion]],WWWW[[#This Row],['# People received regular supply of hygiene items]])</f>
        <v>0</v>
      </c>
      <c r="BJ233" s="555">
        <f>IF(WWWW[[#This Row],[HRP3]]/WWWW[[#This Row],[Total PoP ]]&gt;100%,100%,WWWW[[#This Row],[HRP3]]/WWWW[[#This Row],[Total PoP ]])</f>
        <v>0</v>
      </c>
      <c r="BK233" s="558">
        <f>1-WWWW[[#This Row],[Hygiene Coverage%]]</f>
        <v>1</v>
      </c>
      <c r="BL233" s="556">
        <f>WWWW[[#This Row],['# people reached by regular dedicated hygiene promotion]]/WWWW[[#This Row],[Total PoP ]]</f>
        <v>0</v>
      </c>
      <c r="BM23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33" s="557">
        <f>WWWW[[#This Row],['#_of_affected_women_and_girls_receiving_a_sufficient_quantity_of_sanitary_pads]]</f>
        <v>0</v>
      </c>
      <c r="BO233" s="611">
        <f>IF(WWWW[[#This Row],['# People with access to soap]]&gt;WWWW[[#This Row],['# People with access to Sanity Pads]],WWWW[[#This Row],['# People with access to soap]],WWWW[[#This Row],['# People with access to Sanity Pads]])</f>
        <v>0</v>
      </c>
      <c r="BP233" s="565" t="str">
        <f>IF(OR(WWWW[[#This Row],['#of students in school]]="",WWWW[[#This Row],['#of students in school]]=0),"No","Yes")</f>
        <v>Yes</v>
      </c>
      <c r="BQ233" s="559" t="str">
        <f>VLOOKUP(WWWW[[#This Row],[Village  Name]],SiteDB6[[Site Name]:[Location Type 1]],9,FALSE)</f>
        <v>Village</v>
      </c>
      <c r="BR233" s="559" t="str">
        <f>VLOOKUP(WWWW[[#This Row],[Village  Name]],SiteDB6[[Site Name]:[Type of Accommodation]],10,FALSE)</f>
        <v>Village</v>
      </c>
      <c r="BS233" s="559">
        <f>VLOOKUP(WWWW[[#This Row],[Village  Name]],SiteDB6[[Site Name]:[Ethnic or GCA/NGCA]],11,FALSE)</f>
        <v>0</v>
      </c>
      <c r="BT233" s="559">
        <f>VLOOKUP(WWWW[[#This Row],[Village  Name]],SiteDB6[[Site Name]:[Lat]],12,FALSE)</f>
        <v>20.0275993347168</v>
      </c>
      <c r="BU233" s="559">
        <f>VLOOKUP(WWWW[[#This Row],[Village  Name]],SiteDB6[[Site Name]:[Long]],13,FALSE)</f>
        <v>92.936653137207003</v>
      </c>
      <c r="BV233" s="559">
        <f>VLOOKUP(WWWW[[#This Row],[Village  Name]],SiteDB6[[Site Name]:[Pcode]],3,FALSE)</f>
        <v>197564</v>
      </c>
      <c r="BW233" s="559" t="str">
        <f t="shared" si="9"/>
        <v>Covered</v>
      </c>
      <c r="BX233" s="587"/>
    </row>
    <row r="234" spans="1:76">
      <c r="A234" s="612" t="s">
        <v>2381</v>
      </c>
      <c r="B234" s="612" t="s">
        <v>289</v>
      </c>
      <c r="C234" s="457" t="s">
        <v>289</v>
      </c>
      <c r="D234" s="457" t="s">
        <v>329</v>
      </c>
      <c r="E234" s="551" t="s">
        <v>2687</v>
      </c>
      <c r="F234" s="457" t="s">
        <v>404</v>
      </c>
      <c r="G234" s="551" t="str">
        <f>VLOOKUP(WWWW[[#This Row],[Village  Name]],SiteDB6[[Site Name]:[Location Type]],8,FALSE)</f>
        <v>Village</v>
      </c>
      <c r="H234" s="457" t="s">
        <v>2567</v>
      </c>
      <c r="I234" s="611">
        <v>66</v>
      </c>
      <c r="J234" s="611">
        <v>315</v>
      </c>
      <c r="K234" s="461">
        <v>43359</v>
      </c>
      <c r="L234" s="55">
        <v>43830</v>
      </c>
      <c r="M234" s="611">
        <v>38</v>
      </c>
      <c r="N234" s="611"/>
      <c r="O234" s="611"/>
      <c r="P234" s="611"/>
      <c r="Q234" s="611"/>
      <c r="R234" s="611"/>
      <c r="S234" s="611"/>
      <c r="T234" s="643"/>
      <c r="U234" s="611"/>
      <c r="V234" s="611" t="s">
        <v>132</v>
      </c>
      <c r="W234" s="611"/>
      <c r="X234" s="611"/>
      <c r="Y234" s="611"/>
      <c r="Z234" s="611"/>
      <c r="AA234" s="611"/>
      <c r="AB234" s="643"/>
      <c r="AC234" s="611"/>
      <c r="AD234" s="611"/>
      <c r="AE234" s="611"/>
      <c r="AF234" s="611"/>
      <c r="AG234" s="611"/>
      <c r="AH234" s="611"/>
      <c r="AI234" s="611"/>
      <c r="AJ234" s="611"/>
      <c r="AK234" s="611"/>
      <c r="AL234" s="611"/>
      <c r="AM234" s="643"/>
      <c r="AN234" s="611"/>
      <c r="AO234" s="611"/>
      <c r="AP23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4" s="565">
        <f>WWWW[[#This Row],[%Equitable and continuous access to sufficient quantity of safe drinking water]]*WWWW[[#This Row],[Total PoP ]]</f>
        <v>0</v>
      </c>
      <c r="AR23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4" s="565">
        <f>WWWW[[#This Row],[% Access to unimproved water points]]*WWWW[[#This Row],[Total PoP ]]</f>
        <v>0</v>
      </c>
      <c r="AT23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4" s="565">
        <f>WWWW[[#This Row],[HRP1]]/250</f>
        <v>0</v>
      </c>
      <c r="AW234" s="555">
        <f>1-WWWW[[#This Row],[% Equitable and continuous access to sufficient quantity of domestic water]]</f>
        <v>1</v>
      </c>
      <c r="AX234" s="565">
        <f>WWWW[[#This Row],[%equitable and continuous access to sufficient quantity of safe drinking and domestic water''s GAP]]*WWWW[[#This Row],[Total PoP ]]</f>
        <v>315</v>
      </c>
      <c r="AY234" s="557">
        <f>IF(WWWW[[#This Row],[Total required water points]]-WWWW[[#This Row],['#Water points coverage]]&lt;0,0,WWWW[[#This Row],[Total required water points]]-WWWW[[#This Row],['#Water points coverage]])</f>
        <v>1</v>
      </c>
      <c r="AZ234" s="557">
        <f>ROUND(IF(WWWW[[#This Row],[Total PoP ]]&lt;250,1,WWWW[[#This Row],[Total PoP ]]/250),0)</f>
        <v>1</v>
      </c>
      <c r="BA23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4" s="565">
        <f>WWWW[[#This Row],[% people access to functioning Latrine]]*WWWW[[#This Row],[Total PoP ]]</f>
        <v>0</v>
      </c>
      <c r="BC234" s="557">
        <f>WWWW[[#This Row],['#_of_Functioning_latrines_in_school]]*50</f>
        <v>0</v>
      </c>
      <c r="BD234" s="557">
        <f>ROUND((WWWW[[#This Row],[Total PoP ]]/6),0)</f>
        <v>53</v>
      </c>
      <c r="BE234" s="557">
        <f>IF(WWWW[[#This Row],[Total required Latrines]]-(WWWW[[#This Row],['#_of_sanitary_fly-proof_HH_latrines]])&lt;0,0,WWWW[[#This Row],[Total required Latrines]]-(WWWW[[#This Row],['#_of_sanitary_fly-proof_HH_latrines]]))</f>
        <v>53</v>
      </c>
      <c r="BF234" s="558">
        <f>1-WWWW[[#This Row],[% people access to functioning Latrine]]</f>
        <v>1</v>
      </c>
      <c r="BG23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4" s="565">
        <f>IF(WWWW[[#This Row],['#_of_functional_handwashing_facilities_at_HH_level]]*6&gt;WWWW[[#This Row],[Total PoP ]],WWWW[[#This Row],[Total PoP ]],WWWW[[#This Row],['#_of_functional_handwashing_facilities_at_HH_level]]*6)</f>
        <v>0</v>
      </c>
      <c r="BI234" s="557">
        <f>IF(WWWW[[#This Row],['# people reached by regular dedicated hygiene promotion]]&gt;WWWW[[#This Row],['# People received regular supply of hygiene items]],WWWW[[#This Row],['# people reached by regular dedicated hygiene promotion]],WWWW[[#This Row],['# People received regular supply of hygiene items]])</f>
        <v>0</v>
      </c>
      <c r="BJ234" s="555">
        <f>IF(WWWW[[#This Row],[HRP3]]/WWWW[[#This Row],[Total PoP ]]&gt;100%,100%,WWWW[[#This Row],[HRP3]]/WWWW[[#This Row],[Total PoP ]])</f>
        <v>0</v>
      </c>
      <c r="BK234" s="558">
        <f>1-WWWW[[#This Row],[Hygiene Coverage%]]</f>
        <v>1</v>
      </c>
      <c r="BL234" s="556">
        <f>WWWW[[#This Row],['# people reached by regular dedicated hygiene promotion]]/WWWW[[#This Row],[Total PoP ]]</f>
        <v>0</v>
      </c>
      <c r="BM23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34" s="557">
        <f>WWWW[[#This Row],['#_of_affected_women_and_girls_receiving_a_sufficient_quantity_of_sanitary_pads]]</f>
        <v>0</v>
      </c>
      <c r="BO234" s="611">
        <f>IF(WWWW[[#This Row],['# People with access to soap]]&gt;WWWW[[#This Row],['# People with access to Sanity Pads]],WWWW[[#This Row],['# People with access to soap]],WWWW[[#This Row],['# People with access to Sanity Pads]])</f>
        <v>0</v>
      </c>
      <c r="BP234" s="565" t="str">
        <f>IF(OR(WWWW[[#This Row],['#of students in school]]="",WWWW[[#This Row],['#of students in school]]=0),"No","Yes")</f>
        <v>Yes</v>
      </c>
      <c r="BQ234" s="559" t="str">
        <f>VLOOKUP(WWWW[[#This Row],[Village  Name]],SiteDB6[[Site Name]:[Location Type 1]],9,FALSE)</f>
        <v>Village</v>
      </c>
      <c r="BR234" s="559" t="str">
        <f>VLOOKUP(WWWW[[#This Row],[Village  Name]],SiteDB6[[Site Name]:[Type of Accommodation]],10,FALSE)</f>
        <v>Village</v>
      </c>
      <c r="BS234" s="559">
        <f>VLOOKUP(WWWW[[#This Row],[Village  Name]],SiteDB6[[Site Name]:[Ethnic or GCA/NGCA]],11,FALSE)</f>
        <v>0</v>
      </c>
      <c r="BT234" s="559">
        <f>VLOOKUP(WWWW[[#This Row],[Village  Name]],SiteDB6[[Site Name]:[Lat]],12,FALSE)</f>
        <v>19.9403591156006</v>
      </c>
      <c r="BU234" s="559">
        <f>VLOOKUP(WWWW[[#This Row],[Village  Name]],SiteDB6[[Site Name]:[Long]],13,FALSE)</f>
        <v>93.009452819824205</v>
      </c>
      <c r="BV234" s="559">
        <f>VLOOKUP(WWWW[[#This Row],[Village  Name]],SiteDB6[[Site Name]:[Pcode]],3,FALSE)</f>
        <v>197543</v>
      </c>
      <c r="BW234" s="559" t="str">
        <f t="shared" si="9"/>
        <v>Covered</v>
      </c>
      <c r="BX234" s="587"/>
    </row>
    <row r="235" spans="1:76">
      <c r="A235" s="612" t="s">
        <v>2381</v>
      </c>
      <c r="B235" s="612" t="s">
        <v>233</v>
      </c>
      <c r="C235" s="457" t="s">
        <v>2727</v>
      </c>
      <c r="D235" s="457"/>
      <c r="E235" s="551" t="s">
        <v>2686</v>
      </c>
      <c r="F235" s="457" t="s">
        <v>321</v>
      </c>
      <c r="G235" s="551" t="str">
        <f>VLOOKUP(WWWW[[#This Row],[Village  Name]],SiteDB6[[Site Name]:[Location Type]],8,FALSE)</f>
        <v>Village</v>
      </c>
      <c r="H235" s="457" t="s">
        <v>2716</v>
      </c>
      <c r="I235" s="611">
        <v>3097</v>
      </c>
      <c r="J235" s="611">
        <f>WWWW[[#This Row],[Total HH]]*5</f>
        <v>15485</v>
      </c>
      <c r="K235" s="461"/>
      <c r="L235" s="55"/>
      <c r="M235" s="611"/>
      <c r="N235" s="611"/>
      <c r="O235" s="611"/>
      <c r="P235" s="611"/>
      <c r="Q235" s="611"/>
      <c r="R235" s="611"/>
      <c r="S235" s="611"/>
      <c r="T235" s="643"/>
      <c r="U235" s="611"/>
      <c r="V235" s="611" t="s">
        <v>132</v>
      </c>
      <c r="W235" s="611"/>
      <c r="X235" s="611"/>
      <c r="Y235" s="611"/>
      <c r="Z235" s="611"/>
      <c r="AA235" s="611"/>
      <c r="AB235" s="643"/>
      <c r="AC235" s="611"/>
      <c r="AD235" s="611"/>
      <c r="AE235" s="611"/>
      <c r="AF235" s="611"/>
      <c r="AG235" s="611"/>
      <c r="AH235" s="611"/>
      <c r="AI235" s="611"/>
      <c r="AJ235" s="611"/>
      <c r="AK235" s="611">
        <v>3097</v>
      </c>
      <c r="AL235" s="611"/>
      <c r="AM235" s="643"/>
      <c r="AN235" s="611"/>
      <c r="AO235" s="611"/>
      <c r="AP23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5" s="565">
        <f>WWWW[[#This Row],[%Equitable and continuous access to sufficient quantity of safe drinking water]]*WWWW[[#This Row],[Total PoP ]]</f>
        <v>0</v>
      </c>
      <c r="AR23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5" s="565">
        <f>WWWW[[#This Row],[% Access to unimproved water points]]*WWWW[[#This Row],[Total PoP ]]</f>
        <v>0</v>
      </c>
      <c r="AT23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5" s="565">
        <f>WWWW[[#This Row],[HRP1]]/250</f>
        <v>0</v>
      </c>
      <c r="AW235" s="555">
        <f>1-WWWW[[#This Row],[% Equitable and continuous access to sufficient quantity of domestic water]]</f>
        <v>1</v>
      </c>
      <c r="AX235" s="565">
        <f>WWWW[[#This Row],[%equitable and continuous access to sufficient quantity of safe drinking and domestic water''s GAP]]*WWWW[[#This Row],[Total PoP ]]</f>
        <v>15485</v>
      </c>
      <c r="AY235" s="557">
        <f>IF(WWWW[[#This Row],[Total required water points]]-WWWW[[#This Row],['#Water points coverage]]&lt;0,0,WWWW[[#This Row],[Total required water points]]-WWWW[[#This Row],['#Water points coverage]])</f>
        <v>62</v>
      </c>
      <c r="AZ235" s="557">
        <f>ROUND(IF(WWWW[[#This Row],[Total PoP ]]&lt;250,1,WWWW[[#This Row],[Total PoP ]]/250),0)</f>
        <v>62</v>
      </c>
      <c r="BA23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5" s="565">
        <f>WWWW[[#This Row],[% people access to functioning Latrine]]*WWWW[[#This Row],[Total PoP ]]</f>
        <v>0</v>
      </c>
      <c r="BC235" s="557">
        <f>WWWW[[#This Row],['#_of_Functioning_latrines_in_school]]*50</f>
        <v>0</v>
      </c>
      <c r="BD235" s="557">
        <f>ROUND((WWWW[[#This Row],[Total PoP ]]/6),0)</f>
        <v>2581</v>
      </c>
      <c r="BE235" s="557">
        <f>IF(WWWW[[#This Row],[Total required Latrines]]-(WWWW[[#This Row],['#_of_sanitary_fly-proof_HH_latrines]])&lt;0,0,WWWW[[#This Row],[Total required Latrines]]-(WWWW[[#This Row],['#_of_sanitary_fly-proof_HH_latrines]]))</f>
        <v>2581</v>
      </c>
      <c r="BF235" s="558">
        <f>1-WWWW[[#This Row],[% people access to functioning Latrine]]</f>
        <v>1</v>
      </c>
      <c r="BG23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5" s="565">
        <f>IF(WWWW[[#This Row],['#_of_functional_handwashing_facilities_at_HH_level]]*6&gt;WWWW[[#This Row],[Total PoP ]],WWWW[[#This Row],[Total PoP ]],WWWW[[#This Row],['#_of_functional_handwashing_facilities_at_HH_level]]*6)</f>
        <v>0</v>
      </c>
      <c r="BI235" s="557">
        <f>IF(WWWW[[#This Row],['# people reached by regular dedicated hygiene promotion]]&gt;WWWW[[#This Row],['# People received regular supply of hygiene items]],WWWW[[#This Row],['# people reached by regular dedicated hygiene promotion]],WWWW[[#This Row],['# People received regular supply of hygiene items]])</f>
        <v>15485</v>
      </c>
      <c r="BJ235" s="555">
        <f>IF(WWWW[[#This Row],[HRP3]]/WWWW[[#This Row],[Total PoP ]]&gt;100%,100%,WWWW[[#This Row],[HRP3]]/WWWW[[#This Row],[Total PoP ]])</f>
        <v>1</v>
      </c>
      <c r="BK235" s="558">
        <f>1-WWWW[[#This Row],[Hygiene Coverage%]]</f>
        <v>0</v>
      </c>
      <c r="BL235" s="556">
        <f>WWWW[[#This Row],['# people reached by regular dedicated hygiene promotion]]/WWWW[[#This Row],[Total PoP ]]</f>
        <v>0</v>
      </c>
      <c r="BM23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15485</v>
      </c>
      <c r="BN235" s="557">
        <f>WWWW[[#This Row],['#_of_affected_women_and_girls_receiving_a_sufficient_quantity_of_sanitary_pads]]</f>
        <v>0</v>
      </c>
      <c r="BO235" s="611">
        <f>IF(WWWW[[#This Row],['# People with access to soap]]&gt;WWWW[[#This Row],['# People with access to Sanity Pads]],WWWW[[#This Row],['# People with access to soap]],WWWW[[#This Row],['# People with access to Sanity Pads]])</f>
        <v>15485</v>
      </c>
      <c r="BP235" s="565" t="str">
        <f>IF(OR(WWWW[[#This Row],['#of students in school]]="",WWWW[[#This Row],['#of students in school]]=0),"No","Yes")</f>
        <v>No</v>
      </c>
      <c r="BQ235" s="559" t="str">
        <f>VLOOKUP(WWWW[[#This Row],[Village  Name]],SiteDB6[[Site Name]:[Location Type 1]],9,FALSE)</f>
        <v>Village</v>
      </c>
      <c r="BR235" s="559" t="str">
        <f>VLOOKUP(WWWW[[#This Row],[Village  Name]],SiteDB6[[Site Name]:[Type of Accommodation]],10,FALSE)</f>
        <v>Village</v>
      </c>
      <c r="BS235" s="559">
        <f>VLOOKUP(WWWW[[#This Row],[Village  Name]],SiteDB6[[Site Name]:[Ethnic or GCA/NGCA]],11,FALSE)</f>
        <v>0</v>
      </c>
      <c r="BT235" s="559">
        <f>VLOOKUP(WWWW[[#This Row],[Village  Name]],SiteDB6[[Site Name]:[Lat]],12,FALSE)</f>
        <v>20.825700759887699</v>
      </c>
      <c r="BU235" s="559">
        <f>VLOOKUP(WWWW[[#This Row],[Village  Name]],SiteDB6[[Site Name]:[Long]],13,FALSE)</f>
        <v>92.542686462402301</v>
      </c>
      <c r="BV235" s="559">
        <f>VLOOKUP(WWWW[[#This Row],[Village  Name]],SiteDB6[[Site Name]:[Pcode]],3,FALSE)</f>
        <v>198334</v>
      </c>
      <c r="BW235" s="559" t="str">
        <f t="shared" ref="BW235:BW241" si="10">IF(C235="none","Notcovered","Covered")</f>
        <v>Covered</v>
      </c>
      <c r="BX235" s="587"/>
    </row>
    <row r="236" spans="1:76">
      <c r="A236" s="612" t="s">
        <v>2381</v>
      </c>
      <c r="B236" s="612" t="s">
        <v>233</v>
      </c>
      <c r="C236" s="457" t="s">
        <v>2727</v>
      </c>
      <c r="D236" s="457"/>
      <c r="E236" s="551" t="s">
        <v>2686</v>
      </c>
      <c r="F236" s="457" t="s">
        <v>321</v>
      </c>
      <c r="G236" s="551" t="str">
        <f>VLOOKUP(WWWW[[#This Row],[Village  Name]],SiteDB6[[Site Name]:[Location Type]],8,FALSE)</f>
        <v>Village</v>
      </c>
      <c r="H236" s="457" t="s">
        <v>2715</v>
      </c>
      <c r="I236" s="611">
        <v>2575.1999999999998</v>
      </c>
      <c r="J236" s="611">
        <f>WWWW[[#This Row],[Total HH]]*5</f>
        <v>12876</v>
      </c>
      <c r="K236" s="461"/>
      <c r="L236" s="55"/>
      <c r="M236" s="611"/>
      <c r="N236" s="611"/>
      <c r="O236" s="611"/>
      <c r="P236" s="611"/>
      <c r="Q236" s="611"/>
      <c r="R236" s="611"/>
      <c r="S236" s="611"/>
      <c r="T236" s="643"/>
      <c r="U236" s="611"/>
      <c r="V236" s="611" t="s">
        <v>132</v>
      </c>
      <c r="W236" s="611"/>
      <c r="X236" s="611"/>
      <c r="Y236" s="611"/>
      <c r="Z236" s="611"/>
      <c r="AA236" s="611"/>
      <c r="AB236" s="643"/>
      <c r="AC236" s="611"/>
      <c r="AD236" s="611"/>
      <c r="AE236" s="611"/>
      <c r="AF236" s="611"/>
      <c r="AG236" s="611"/>
      <c r="AH236" s="611"/>
      <c r="AI236" s="611"/>
      <c r="AJ236" s="611"/>
      <c r="AK236" s="611">
        <v>2575.1999999999998</v>
      </c>
      <c r="AL236" s="611"/>
      <c r="AM236" s="643"/>
      <c r="AN236" s="611"/>
      <c r="AO236" s="611"/>
      <c r="AP23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6" s="565">
        <f>WWWW[[#This Row],[%Equitable and continuous access to sufficient quantity of safe drinking water]]*WWWW[[#This Row],[Total PoP ]]</f>
        <v>0</v>
      </c>
      <c r="AR23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6" s="565">
        <f>WWWW[[#This Row],[% Access to unimproved water points]]*WWWW[[#This Row],[Total PoP ]]</f>
        <v>0</v>
      </c>
      <c r="AT23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6" s="565">
        <f>WWWW[[#This Row],[HRP1]]/250</f>
        <v>0</v>
      </c>
      <c r="AW236" s="555">
        <f>1-WWWW[[#This Row],[% Equitable and continuous access to sufficient quantity of domestic water]]</f>
        <v>1</v>
      </c>
      <c r="AX236" s="565">
        <f>WWWW[[#This Row],[%equitable and continuous access to sufficient quantity of safe drinking and domestic water''s GAP]]*WWWW[[#This Row],[Total PoP ]]</f>
        <v>12876</v>
      </c>
      <c r="AY236" s="557">
        <f>IF(WWWW[[#This Row],[Total required water points]]-WWWW[[#This Row],['#Water points coverage]]&lt;0,0,WWWW[[#This Row],[Total required water points]]-WWWW[[#This Row],['#Water points coverage]])</f>
        <v>52</v>
      </c>
      <c r="AZ236" s="557">
        <f>ROUND(IF(WWWW[[#This Row],[Total PoP ]]&lt;250,1,WWWW[[#This Row],[Total PoP ]]/250),0)</f>
        <v>52</v>
      </c>
      <c r="BA23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6" s="565">
        <f>WWWW[[#This Row],[% people access to functioning Latrine]]*WWWW[[#This Row],[Total PoP ]]</f>
        <v>0</v>
      </c>
      <c r="BC236" s="557">
        <f>WWWW[[#This Row],['#_of_Functioning_latrines_in_school]]*50</f>
        <v>0</v>
      </c>
      <c r="BD236" s="557">
        <f>ROUND((WWWW[[#This Row],[Total PoP ]]/6),0)</f>
        <v>2146</v>
      </c>
      <c r="BE236" s="557">
        <f>IF(WWWW[[#This Row],[Total required Latrines]]-(WWWW[[#This Row],['#_of_sanitary_fly-proof_HH_latrines]])&lt;0,0,WWWW[[#This Row],[Total required Latrines]]-(WWWW[[#This Row],['#_of_sanitary_fly-proof_HH_latrines]]))</f>
        <v>2146</v>
      </c>
      <c r="BF236" s="558">
        <f>1-WWWW[[#This Row],[% people access to functioning Latrine]]</f>
        <v>1</v>
      </c>
      <c r="BG23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6" s="565">
        <f>IF(WWWW[[#This Row],['#_of_functional_handwashing_facilities_at_HH_level]]*6&gt;WWWW[[#This Row],[Total PoP ]],WWWW[[#This Row],[Total PoP ]],WWWW[[#This Row],['#_of_functional_handwashing_facilities_at_HH_level]]*6)</f>
        <v>0</v>
      </c>
      <c r="BI236" s="557">
        <f>IF(WWWW[[#This Row],['# people reached by regular dedicated hygiene promotion]]&gt;WWWW[[#This Row],['# People received regular supply of hygiene items]],WWWW[[#This Row],['# people reached by regular dedicated hygiene promotion]],WWWW[[#This Row],['# People received regular supply of hygiene items]])</f>
        <v>12876</v>
      </c>
      <c r="BJ236" s="555">
        <f>IF(WWWW[[#This Row],[HRP3]]/WWWW[[#This Row],[Total PoP ]]&gt;100%,100%,WWWW[[#This Row],[HRP3]]/WWWW[[#This Row],[Total PoP ]])</f>
        <v>1</v>
      </c>
      <c r="BK236" s="558">
        <f>1-WWWW[[#This Row],[Hygiene Coverage%]]</f>
        <v>0</v>
      </c>
      <c r="BL236" s="556">
        <f>WWWW[[#This Row],['# people reached by regular dedicated hygiene promotion]]/WWWW[[#This Row],[Total PoP ]]</f>
        <v>0</v>
      </c>
      <c r="BM23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12876</v>
      </c>
      <c r="BN236" s="557">
        <f>WWWW[[#This Row],['#_of_affected_women_and_girls_receiving_a_sufficient_quantity_of_sanitary_pads]]</f>
        <v>0</v>
      </c>
      <c r="BO236" s="611">
        <f>IF(WWWW[[#This Row],['# People with access to soap]]&gt;WWWW[[#This Row],['# People with access to Sanity Pads]],WWWW[[#This Row],['# People with access to soap]],WWWW[[#This Row],['# People with access to Sanity Pads]])</f>
        <v>12876</v>
      </c>
      <c r="BP236" s="565" t="str">
        <f>IF(OR(WWWW[[#This Row],['#of students in school]]="",WWWW[[#This Row],['#of students in school]]=0),"No","Yes")</f>
        <v>No</v>
      </c>
      <c r="BQ236" s="559" t="str">
        <f>VLOOKUP(WWWW[[#This Row],[Village  Name]],SiteDB6[[Site Name]:[Location Type 1]],9,FALSE)</f>
        <v>village</v>
      </c>
      <c r="BR236" s="559" t="str">
        <f>VLOOKUP(WWWW[[#This Row],[Village  Name]],SiteDB6[[Site Name]:[Type of Accommodation]],10,FALSE)</f>
        <v>village</v>
      </c>
      <c r="BS236" s="559">
        <f>VLOOKUP(WWWW[[#This Row],[Village  Name]],SiteDB6[[Site Name]:[Ethnic or GCA/NGCA]],11,FALSE)</f>
        <v>0</v>
      </c>
      <c r="BT236" s="559">
        <f>VLOOKUP(WWWW[[#This Row],[Village  Name]],SiteDB6[[Site Name]:[Lat]],12,FALSE)</f>
        <v>0</v>
      </c>
      <c r="BU236" s="559">
        <f>VLOOKUP(WWWW[[#This Row],[Village  Name]],SiteDB6[[Site Name]:[Long]],13,FALSE)</f>
        <v>0</v>
      </c>
      <c r="BV236" s="559">
        <f>VLOOKUP(WWWW[[#This Row],[Village  Name]],SiteDB6[[Site Name]:[Pcode]],3,FALSE)</f>
        <v>0</v>
      </c>
      <c r="BW236" s="559" t="str">
        <f t="shared" si="10"/>
        <v>Covered</v>
      </c>
      <c r="BX236" s="587"/>
    </row>
    <row r="237" spans="1:76">
      <c r="A237" s="612" t="s">
        <v>2381</v>
      </c>
      <c r="B237" s="612" t="s">
        <v>233</v>
      </c>
      <c r="C237" s="457" t="s">
        <v>2727</v>
      </c>
      <c r="D237" s="457"/>
      <c r="E237" s="551" t="s">
        <v>2686</v>
      </c>
      <c r="F237" s="457" t="s">
        <v>321</v>
      </c>
      <c r="G237" s="551" t="str">
        <f>VLOOKUP(WWWW[[#This Row],[Village  Name]],SiteDB6[[Site Name]:[Location Type]],8,FALSE)</f>
        <v>Village</v>
      </c>
      <c r="H237" s="457" t="s">
        <v>2664</v>
      </c>
      <c r="I237" s="611">
        <v>1616.2</v>
      </c>
      <c r="J237" s="611">
        <f>WWWW[[#This Row],[Total HH]]*5</f>
        <v>8081</v>
      </c>
      <c r="K237" s="461"/>
      <c r="L237" s="55"/>
      <c r="M237" s="611"/>
      <c r="N237" s="611"/>
      <c r="O237" s="611"/>
      <c r="P237" s="611"/>
      <c r="Q237" s="611"/>
      <c r="R237" s="611"/>
      <c r="S237" s="611"/>
      <c r="T237" s="643"/>
      <c r="U237" s="611"/>
      <c r="V237" s="611" t="s">
        <v>132</v>
      </c>
      <c r="W237" s="611"/>
      <c r="X237" s="611"/>
      <c r="Y237" s="611"/>
      <c r="Z237" s="611"/>
      <c r="AA237" s="611"/>
      <c r="AB237" s="643"/>
      <c r="AC237" s="611"/>
      <c r="AD237" s="611"/>
      <c r="AE237" s="611"/>
      <c r="AF237" s="611"/>
      <c r="AG237" s="611"/>
      <c r="AH237" s="611"/>
      <c r="AI237" s="611"/>
      <c r="AJ237" s="611"/>
      <c r="AK237" s="611">
        <v>1616.2</v>
      </c>
      <c r="AL237" s="611"/>
      <c r="AM237" s="643"/>
      <c r="AN237" s="611"/>
      <c r="AO237" s="611"/>
      <c r="AP23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7" s="565">
        <f>WWWW[[#This Row],[%Equitable and continuous access to sufficient quantity of safe drinking water]]*WWWW[[#This Row],[Total PoP ]]</f>
        <v>0</v>
      </c>
      <c r="AR23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7" s="565">
        <f>WWWW[[#This Row],[% Access to unimproved water points]]*WWWW[[#This Row],[Total PoP ]]</f>
        <v>0</v>
      </c>
      <c r="AT23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7" s="565">
        <f>WWWW[[#This Row],[HRP1]]/250</f>
        <v>0</v>
      </c>
      <c r="AW237" s="555">
        <f>1-WWWW[[#This Row],[% Equitable and continuous access to sufficient quantity of domestic water]]</f>
        <v>1</v>
      </c>
      <c r="AX237" s="565">
        <f>WWWW[[#This Row],[%equitable and continuous access to sufficient quantity of safe drinking and domestic water''s GAP]]*WWWW[[#This Row],[Total PoP ]]</f>
        <v>8081</v>
      </c>
      <c r="AY237" s="557">
        <f>IF(WWWW[[#This Row],[Total required water points]]-WWWW[[#This Row],['#Water points coverage]]&lt;0,0,WWWW[[#This Row],[Total required water points]]-WWWW[[#This Row],['#Water points coverage]])</f>
        <v>32</v>
      </c>
      <c r="AZ237" s="557">
        <f>ROUND(IF(WWWW[[#This Row],[Total PoP ]]&lt;250,1,WWWW[[#This Row],[Total PoP ]]/250),0)</f>
        <v>32</v>
      </c>
      <c r="BA23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7" s="565">
        <f>WWWW[[#This Row],[% people access to functioning Latrine]]*WWWW[[#This Row],[Total PoP ]]</f>
        <v>0</v>
      </c>
      <c r="BC237" s="557">
        <f>WWWW[[#This Row],['#_of_Functioning_latrines_in_school]]*50</f>
        <v>0</v>
      </c>
      <c r="BD237" s="557">
        <f>ROUND((WWWW[[#This Row],[Total PoP ]]/6),0)</f>
        <v>1347</v>
      </c>
      <c r="BE237" s="557">
        <f>IF(WWWW[[#This Row],[Total required Latrines]]-(WWWW[[#This Row],['#_of_sanitary_fly-proof_HH_latrines]])&lt;0,0,WWWW[[#This Row],[Total required Latrines]]-(WWWW[[#This Row],['#_of_sanitary_fly-proof_HH_latrines]]))</f>
        <v>1347</v>
      </c>
      <c r="BF237" s="558">
        <f>1-WWWW[[#This Row],[% people access to functioning Latrine]]</f>
        <v>1</v>
      </c>
      <c r="BG23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7" s="565">
        <f>IF(WWWW[[#This Row],['#_of_functional_handwashing_facilities_at_HH_level]]*6&gt;WWWW[[#This Row],[Total PoP ]],WWWW[[#This Row],[Total PoP ]],WWWW[[#This Row],['#_of_functional_handwashing_facilities_at_HH_level]]*6)</f>
        <v>0</v>
      </c>
      <c r="BI237" s="557">
        <f>IF(WWWW[[#This Row],['# people reached by regular dedicated hygiene promotion]]&gt;WWWW[[#This Row],['# People received regular supply of hygiene items]],WWWW[[#This Row],['# people reached by regular dedicated hygiene promotion]],WWWW[[#This Row],['# People received regular supply of hygiene items]])</f>
        <v>8081</v>
      </c>
      <c r="BJ237" s="555">
        <f>IF(WWWW[[#This Row],[HRP3]]/WWWW[[#This Row],[Total PoP ]]&gt;100%,100%,WWWW[[#This Row],[HRP3]]/WWWW[[#This Row],[Total PoP ]])</f>
        <v>1</v>
      </c>
      <c r="BK237" s="558">
        <f>1-WWWW[[#This Row],[Hygiene Coverage%]]</f>
        <v>0</v>
      </c>
      <c r="BL237" s="556">
        <f>WWWW[[#This Row],['# people reached by regular dedicated hygiene promotion]]/WWWW[[#This Row],[Total PoP ]]</f>
        <v>0</v>
      </c>
      <c r="BM23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8081</v>
      </c>
      <c r="BN237" s="557">
        <f>WWWW[[#This Row],['#_of_affected_women_and_girls_receiving_a_sufficient_quantity_of_sanitary_pads]]</f>
        <v>0</v>
      </c>
      <c r="BO237" s="611">
        <f>IF(WWWW[[#This Row],['# People with access to soap]]&gt;WWWW[[#This Row],['# People with access to Sanity Pads]],WWWW[[#This Row],['# People with access to soap]],WWWW[[#This Row],['# People with access to Sanity Pads]])</f>
        <v>8081</v>
      </c>
      <c r="BP237" s="565" t="str">
        <f>IF(OR(WWWW[[#This Row],['#of students in school]]="",WWWW[[#This Row],['#of students in school]]=0),"No","Yes")</f>
        <v>No</v>
      </c>
      <c r="BQ237" s="559" t="str">
        <f>VLOOKUP(WWWW[[#This Row],[Village  Name]],SiteDB6[[Site Name]:[Location Type 1]],9,FALSE)</f>
        <v>Village</v>
      </c>
      <c r="BR237" s="559" t="str">
        <f>VLOOKUP(WWWW[[#This Row],[Village  Name]],SiteDB6[[Site Name]:[Type of Accommodation]],10,FALSE)</f>
        <v>Village</v>
      </c>
      <c r="BS237" s="559">
        <f>VLOOKUP(WWWW[[#This Row],[Village  Name]],SiteDB6[[Site Name]:[Ethnic or GCA/NGCA]],11,FALSE)</f>
        <v>0</v>
      </c>
      <c r="BT237" s="559">
        <f>VLOOKUP(WWWW[[#This Row],[Village  Name]],SiteDB6[[Site Name]:[Lat]],12,FALSE)</f>
        <v>20.793779373168899</v>
      </c>
      <c r="BU237" s="559">
        <f>VLOOKUP(WWWW[[#This Row],[Village  Name]],SiteDB6[[Site Name]:[Long]],13,FALSE)</f>
        <v>92.597961425781307</v>
      </c>
      <c r="BV237" s="559">
        <f>VLOOKUP(WWWW[[#This Row],[Village  Name]],SiteDB6[[Site Name]:[Pcode]],3,FALSE)</f>
        <v>198370</v>
      </c>
      <c r="BW237" s="559" t="str">
        <f t="shared" si="10"/>
        <v>Covered</v>
      </c>
      <c r="BX237" s="587"/>
    </row>
    <row r="238" spans="1:76">
      <c r="A238" s="612" t="s">
        <v>2381</v>
      </c>
      <c r="B238" s="612" t="s">
        <v>233</v>
      </c>
      <c r="C238" s="457" t="s">
        <v>2727</v>
      </c>
      <c r="D238" s="457"/>
      <c r="E238" s="551" t="s">
        <v>2686</v>
      </c>
      <c r="F238" s="457" t="s">
        <v>321</v>
      </c>
      <c r="G238" s="551" t="str">
        <f>VLOOKUP(WWWW[[#This Row],[Village  Name]],SiteDB6[[Site Name]:[Location Type]],8,FALSE)</f>
        <v>Village</v>
      </c>
      <c r="H238" s="457" t="s">
        <v>2711</v>
      </c>
      <c r="I238" s="611">
        <v>2765.4</v>
      </c>
      <c r="J238" s="611">
        <f>WWWW[[#This Row],[Total HH]]*5</f>
        <v>13827</v>
      </c>
      <c r="K238" s="461"/>
      <c r="L238" s="55"/>
      <c r="M238" s="611"/>
      <c r="N238" s="611"/>
      <c r="O238" s="611"/>
      <c r="P238" s="611"/>
      <c r="Q238" s="611"/>
      <c r="R238" s="611"/>
      <c r="S238" s="611"/>
      <c r="T238" s="643"/>
      <c r="U238" s="611"/>
      <c r="V238" s="611" t="s">
        <v>132</v>
      </c>
      <c r="W238" s="611"/>
      <c r="X238" s="611"/>
      <c r="Y238" s="611"/>
      <c r="Z238" s="611"/>
      <c r="AA238" s="611"/>
      <c r="AB238" s="643"/>
      <c r="AC238" s="611"/>
      <c r="AD238" s="611"/>
      <c r="AE238" s="611"/>
      <c r="AF238" s="611"/>
      <c r="AG238" s="611"/>
      <c r="AH238" s="611"/>
      <c r="AI238" s="611"/>
      <c r="AJ238" s="611"/>
      <c r="AK238" s="611">
        <v>2765.4</v>
      </c>
      <c r="AL238" s="611"/>
      <c r="AM238" s="643"/>
      <c r="AN238" s="611"/>
      <c r="AO238" s="611"/>
      <c r="AP23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8" s="565">
        <f>WWWW[[#This Row],[%Equitable and continuous access to sufficient quantity of safe drinking water]]*WWWW[[#This Row],[Total PoP ]]</f>
        <v>0</v>
      </c>
      <c r="AR23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8" s="565">
        <f>WWWW[[#This Row],[% Access to unimproved water points]]*WWWW[[#This Row],[Total PoP ]]</f>
        <v>0</v>
      </c>
      <c r="AT23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8" s="565">
        <f>WWWW[[#This Row],[HRP1]]/250</f>
        <v>0</v>
      </c>
      <c r="AW238" s="555">
        <f>1-WWWW[[#This Row],[% Equitable and continuous access to sufficient quantity of domestic water]]</f>
        <v>1</v>
      </c>
      <c r="AX238" s="565">
        <f>WWWW[[#This Row],[%equitable and continuous access to sufficient quantity of safe drinking and domestic water''s GAP]]*WWWW[[#This Row],[Total PoP ]]</f>
        <v>13827</v>
      </c>
      <c r="AY238" s="557">
        <f>IF(WWWW[[#This Row],[Total required water points]]-WWWW[[#This Row],['#Water points coverage]]&lt;0,0,WWWW[[#This Row],[Total required water points]]-WWWW[[#This Row],['#Water points coverage]])</f>
        <v>55</v>
      </c>
      <c r="AZ238" s="557">
        <f>ROUND(IF(WWWW[[#This Row],[Total PoP ]]&lt;250,1,WWWW[[#This Row],[Total PoP ]]/250),0)</f>
        <v>55</v>
      </c>
      <c r="BA23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8" s="565">
        <f>WWWW[[#This Row],[% people access to functioning Latrine]]*WWWW[[#This Row],[Total PoP ]]</f>
        <v>0</v>
      </c>
      <c r="BC238" s="557">
        <f>WWWW[[#This Row],['#_of_Functioning_latrines_in_school]]*50</f>
        <v>0</v>
      </c>
      <c r="BD238" s="557">
        <f>ROUND((WWWW[[#This Row],[Total PoP ]]/6),0)</f>
        <v>2305</v>
      </c>
      <c r="BE238" s="557">
        <f>IF(WWWW[[#This Row],[Total required Latrines]]-(WWWW[[#This Row],['#_of_sanitary_fly-proof_HH_latrines]])&lt;0,0,WWWW[[#This Row],[Total required Latrines]]-(WWWW[[#This Row],['#_of_sanitary_fly-proof_HH_latrines]]))</f>
        <v>2305</v>
      </c>
      <c r="BF238" s="558">
        <f>1-WWWW[[#This Row],[% people access to functioning Latrine]]</f>
        <v>1</v>
      </c>
      <c r="BG23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8" s="565">
        <f>IF(WWWW[[#This Row],['#_of_functional_handwashing_facilities_at_HH_level]]*6&gt;WWWW[[#This Row],[Total PoP ]],WWWW[[#This Row],[Total PoP ]],WWWW[[#This Row],['#_of_functional_handwashing_facilities_at_HH_level]]*6)</f>
        <v>0</v>
      </c>
      <c r="BI238" s="557">
        <f>IF(WWWW[[#This Row],['# people reached by regular dedicated hygiene promotion]]&gt;WWWW[[#This Row],['# People received regular supply of hygiene items]],WWWW[[#This Row],['# people reached by regular dedicated hygiene promotion]],WWWW[[#This Row],['# People received regular supply of hygiene items]])</f>
        <v>13827</v>
      </c>
      <c r="BJ238" s="555">
        <f>IF(WWWW[[#This Row],[HRP3]]/WWWW[[#This Row],[Total PoP ]]&gt;100%,100%,WWWW[[#This Row],[HRP3]]/WWWW[[#This Row],[Total PoP ]])</f>
        <v>1</v>
      </c>
      <c r="BK238" s="558">
        <f>1-WWWW[[#This Row],[Hygiene Coverage%]]</f>
        <v>0</v>
      </c>
      <c r="BL238" s="556">
        <f>WWWW[[#This Row],['# people reached by regular dedicated hygiene promotion]]/WWWW[[#This Row],[Total PoP ]]</f>
        <v>0</v>
      </c>
      <c r="BM23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13827</v>
      </c>
      <c r="BN238" s="557">
        <f>WWWW[[#This Row],['#_of_affected_women_and_girls_receiving_a_sufficient_quantity_of_sanitary_pads]]</f>
        <v>0</v>
      </c>
      <c r="BO238" s="611">
        <f>IF(WWWW[[#This Row],['# People with access to soap]]&gt;WWWW[[#This Row],['# People with access to Sanity Pads]],WWWW[[#This Row],['# People with access to soap]],WWWW[[#This Row],['# People with access to Sanity Pads]])</f>
        <v>13827</v>
      </c>
      <c r="BP238" s="565" t="str">
        <f>IF(OR(WWWW[[#This Row],['#of students in school]]="",WWWW[[#This Row],['#of students in school]]=0),"No","Yes")</f>
        <v>No</v>
      </c>
      <c r="BQ238" s="559" t="str">
        <f>VLOOKUP(WWWW[[#This Row],[Village  Name]],SiteDB6[[Site Name]:[Location Type 1]],9,FALSE)</f>
        <v>Village</v>
      </c>
      <c r="BR238" s="559" t="str">
        <f>VLOOKUP(WWWW[[#This Row],[Village  Name]],SiteDB6[[Site Name]:[Type of Accommodation]],10,FALSE)</f>
        <v>Village</v>
      </c>
      <c r="BS238" s="559">
        <f>VLOOKUP(WWWW[[#This Row],[Village  Name]],SiteDB6[[Site Name]:[Ethnic or GCA/NGCA]],11,FALSE)</f>
        <v>0</v>
      </c>
      <c r="BT238" s="559">
        <f>VLOOKUP(WWWW[[#This Row],[Village  Name]],SiteDB6[[Site Name]:[Lat]],12,FALSE)</f>
        <v>20.821479797363299</v>
      </c>
      <c r="BU238" s="559">
        <f>VLOOKUP(WWWW[[#This Row],[Village  Name]],SiteDB6[[Site Name]:[Long]],13,FALSE)</f>
        <v>92.603950500488295</v>
      </c>
      <c r="BV238" s="559">
        <f>VLOOKUP(WWWW[[#This Row],[Village  Name]],SiteDB6[[Site Name]:[Pcode]],3,FALSE)</f>
        <v>198356</v>
      </c>
      <c r="BW238" s="559" t="str">
        <f t="shared" si="10"/>
        <v>Covered</v>
      </c>
      <c r="BX238" s="587"/>
    </row>
    <row r="239" spans="1:76">
      <c r="A239" s="612" t="s">
        <v>2381</v>
      </c>
      <c r="B239" s="612" t="s">
        <v>233</v>
      </c>
      <c r="C239" s="457" t="s">
        <v>2727</v>
      </c>
      <c r="D239" s="457"/>
      <c r="E239" s="551" t="s">
        <v>2686</v>
      </c>
      <c r="F239" s="457" t="s">
        <v>307</v>
      </c>
      <c r="G239" s="551" t="str">
        <f>VLOOKUP(WWWW[[#This Row],[Village  Name]],SiteDB6[[Site Name]:[Location Type]],8,FALSE)</f>
        <v>Village</v>
      </c>
      <c r="H239" s="457" t="s">
        <v>2722</v>
      </c>
      <c r="I239" s="611">
        <v>449.8</v>
      </c>
      <c r="J239" s="611">
        <f>WWWW[[#This Row],[Total HH]]*5</f>
        <v>2249</v>
      </c>
      <c r="K239" s="461"/>
      <c r="L239" s="55"/>
      <c r="M239" s="611"/>
      <c r="N239" s="611"/>
      <c r="O239" s="611"/>
      <c r="P239" s="611"/>
      <c r="Q239" s="611"/>
      <c r="R239" s="611"/>
      <c r="S239" s="611"/>
      <c r="T239" s="643"/>
      <c r="U239" s="611"/>
      <c r="V239" s="611" t="s">
        <v>132</v>
      </c>
      <c r="W239" s="611"/>
      <c r="X239" s="611"/>
      <c r="Y239" s="611"/>
      <c r="Z239" s="611"/>
      <c r="AA239" s="611"/>
      <c r="AB239" s="643"/>
      <c r="AC239" s="611"/>
      <c r="AD239" s="611"/>
      <c r="AE239" s="611"/>
      <c r="AF239" s="611"/>
      <c r="AG239" s="611"/>
      <c r="AH239" s="611"/>
      <c r="AI239" s="611"/>
      <c r="AJ239" s="611"/>
      <c r="AK239" s="611">
        <v>449.8</v>
      </c>
      <c r="AL239" s="611"/>
      <c r="AM239" s="643"/>
      <c r="AN239" s="611"/>
      <c r="AO239" s="611"/>
      <c r="AP23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39" s="565">
        <f>WWWW[[#This Row],[%Equitable and continuous access to sufficient quantity of safe drinking water]]*WWWW[[#This Row],[Total PoP ]]</f>
        <v>0</v>
      </c>
      <c r="AR23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39" s="565">
        <f>WWWW[[#This Row],[% Access to unimproved water points]]*WWWW[[#This Row],[Total PoP ]]</f>
        <v>0</v>
      </c>
      <c r="AT23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3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39" s="565">
        <f>WWWW[[#This Row],[HRP1]]/250</f>
        <v>0</v>
      </c>
      <c r="AW239" s="555">
        <f>1-WWWW[[#This Row],[% Equitable and continuous access to sufficient quantity of domestic water]]</f>
        <v>1</v>
      </c>
      <c r="AX239" s="565">
        <f>WWWW[[#This Row],[%equitable and continuous access to sufficient quantity of safe drinking and domestic water''s GAP]]*WWWW[[#This Row],[Total PoP ]]</f>
        <v>2249</v>
      </c>
      <c r="AY239" s="557">
        <f>IF(WWWW[[#This Row],[Total required water points]]-WWWW[[#This Row],['#Water points coverage]]&lt;0,0,WWWW[[#This Row],[Total required water points]]-WWWW[[#This Row],['#Water points coverage]])</f>
        <v>9</v>
      </c>
      <c r="AZ239" s="557">
        <f>ROUND(IF(WWWW[[#This Row],[Total PoP ]]&lt;250,1,WWWW[[#This Row],[Total PoP ]]/250),0)</f>
        <v>9</v>
      </c>
      <c r="BA23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39" s="565">
        <f>WWWW[[#This Row],[% people access to functioning Latrine]]*WWWW[[#This Row],[Total PoP ]]</f>
        <v>0</v>
      </c>
      <c r="BC239" s="557">
        <f>WWWW[[#This Row],['#_of_Functioning_latrines_in_school]]*50</f>
        <v>0</v>
      </c>
      <c r="BD239" s="557">
        <f>ROUND((WWWW[[#This Row],[Total PoP ]]/6),0)</f>
        <v>375</v>
      </c>
      <c r="BE239" s="557">
        <f>IF(WWWW[[#This Row],[Total required Latrines]]-(WWWW[[#This Row],['#_of_sanitary_fly-proof_HH_latrines]])&lt;0,0,WWWW[[#This Row],[Total required Latrines]]-(WWWW[[#This Row],['#_of_sanitary_fly-proof_HH_latrines]]))</f>
        <v>375</v>
      </c>
      <c r="BF239" s="558">
        <f>1-WWWW[[#This Row],[% people access to functioning Latrine]]</f>
        <v>1</v>
      </c>
      <c r="BG23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39" s="565">
        <f>IF(WWWW[[#This Row],['#_of_functional_handwashing_facilities_at_HH_level]]*6&gt;WWWW[[#This Row],[Total PoP ]],WWWW[[#This Row],[Total PoP ]],WWWW[[#This Row],['#_of_functional_handwashing_facilities_at_HH_level]]*6)</f>
        <v>0</v>
      </c>
      <c r="BI239" s="557">
        <f>IF(WWWW[[#This Row],['# people reached by regular dedicated hygiene promotion]]&gt;WWWW[[#This Row],['# People received regular supply of hygiene items]],WWWW[[#This Row],['# people reached by regular dedicated hygiene promotion]],WWWW[[#This Row],['# People received regular supply of hygiene items]])</f>
        <v>2249</v>
      </c>
      <c r="BJ239" s="555">
        <f>IF(WWWW[[#This Row],[HRP3]]/WWWW[[#This Row],[Total PoP ]]&gt;100%,100%,WWWW[[#This Row],[HRP3]]/WWWW[[#This Row],[Total PoP ]])</f>
        <v>1</v>
      </c>
      <c r="BK239" s="558">
        <f>1-WWWW[[#This Row],[Hygiene Coverage%]]</f>
        <v>0</v>
      </c>
      <c r="BL239" s="556">
        <f>WWWW[[#This Row],['# people reached by regular dedicated hygiene promotion]]/WWWW[[#This Row],[Total PoP ]]</f>
        <v>0</v>
      </c>
      <c r="BM23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2249</v>
      </c>
      <c r="BN239" s="557">
        <f>WWWW[[#This Row],['#_of_affected_women_and_girls_receiving_a_sufficient_quantity_of_sanitary_pads]]</f>
        <v>0</v>
      </c>
      <c r="BO239" s="611">
        <f>IF(WWWW[[#This Row],['# People with access to soap]]&gt;WWWW[[#This Row],['# People with access to Sanity Pads]],WWWW[[#This Row],['# People with access to soap]],WWWW[[#This Row],['# People with access to Sanity Pads]])</f>
        <v>2249</v>
      </c>
      <c r="BP239" s="565" t="str">
        <f>IF(OR(WWWW[[#This Row],['#of students in school]]="",WWWW[[#This Row],['#of students in school]]=0),"No","Yes")</f>
        <v>No</v>
      </c>
      <c r="BQ239" s="559" t="str">
        <f>VLOOKUP(WWWW[[#This Row],[Village  Name]],SiteDB6[[Site Name]:[Location Type 1]],9,FALSE)</f>
        <v>Village</v>
      </c>
      <c r="BR239" s="559" t="str">
        <f>VLOOKUP(WWWW[[#This Row],[Village  Name]],SiteDB6[[Site Name]:[Type of Accommodation]],10,FALSE)</f>
        <v>Village</v>
      </c>
      <c r="BS239" s="559">
        <f>VLOOKUP(WWWW[[#This Row],[Village  Name]],SiteDB6[[Site Name]:[Ethnic or GCA/NGCA]],11,FALSE)</f>
        <v>0</v>
      </c>
      <c r="BT239" s="559">
        <f>VLOOKUP(WWWW[[#This Row],[Village  Name]],SiteDB6[[Site Name]:[Lat]],12,FALSE)</f>
        <v>21.2080974578857</v>
      </c>
      <c r="BU239" s="559">
        <f>VLOOKUP(WWWW[[#This Row],[Village  Name]],SiteDB6[[Site Name]:[Long]],13,FALSE)</f>
        <v>92.308609008789105</v>
      </c>
      <c r="BV239" s="559">
        <f>VLOOKUP(WWWW[[#This Row],[Village  Name]],SiteDB6[[Site Name]:[Pcode]],3,FALSE)</f>
        <v>197841</v>
      </c>
      <c r="BW239" s="559" t="str">
        <f t="shared" si="10"/>
        <v>Covered</v>
      </c>
      <c r="BX239" s="587"/>
    </row>
    <row r="240" spans="1:76">
      <c r="A240" s="612" t="s">
        <v>2381</v>
      </c>
      <c r="B240" s="612" t="s">
        <v>233</v>
      </c>
      <c r="C240" s="457" t="s">
        <v>2727</v>
      </c>
      <c r="D240" s="457"/>
      <c r="E240" s="551" t="s">
        <v>2686</v>
      </c>
      <c r="F240" s="457" t="s">
        <v>307</v>
      </c>
      <c r="G240" s="551" t="str">
        <f>VLOOKUP(WWWW[[#This Row],[Village  Name]],SiteDB6[[Site Name]:[Location Type]],8,FALSE)</f>
        <v>Village</v>
      </c>
      <c r="H240" s="457" t="s">
        <v>565</v>
      </c>
      <c r="I240" s="611">
        <v>1162</v>
      </c>
      <c r="J240" s="611">
        <f>WWWW[[#This Row],[Total HH]]*5</f>
        <v>5810</v>
      </c>
      <c r="K240" s="461"/>
      <c r="L240" s="55"/>
      <c r="M240" s="611"/>
      <c r="N240" s="611"/>
      <c r="O240" s="611"/>
      <c r="P240" s="611"/>
      <c r="Q240" s="611"/>
      <c r="R240" s="611"/>
      <c r="S240" s="611"/>
      <c r="T240" s="643"/>
      <c r="U240" s="611"/>
      <c r="V240" s="611" t="s">
        <v>132</v>
      </c>
      <c r="W240" s="611"/>
      <c r="X240" s="611"/>
      <c r="Y240" s="611"/>
      <c r="Z240" s="611"/>
      <c r="AA240" s="611"/>
      <c r="AB240" s="643"/>
      <c r="AC240" s="611"/>
      <c r="AD240" s="611"/>
      <c r="AE240" s="611"/>
      <c r="AF240" s="611"/>
      <c r="AG240" s="611"/>
      <c r="AH240" s="611"/>
      <c r="AI240" s="611"/>
      <c r="AJ240" s="611"/>
      <c r="AK240" s="611">
        <v>1162</v>
      </c>
      <c r="AL240" s="611"/>
      <c r="AM240" s="643"/>
      <c r="AN240" s="611"/>
      <c r="AO240" s="611"/>
      <c r="AP24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0" s="565">
        <f>WWWW[[#This Row],[%Equitable and continuous access to sufficient quantity of safe drinking water]]*WWWW[[#This Row],[Total PoP ]]</f>
        <v>0</v>
      </c>
      <c r="AR24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40" s="565">
        <f>WWWW[[#This Row],[% Access to unimproved water points]]*WWWW[[#This Row],[Total PoP ]]</f>
        <v>0</v>
      </c>
      <c r="AT24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4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40" s="565">
        <f>WWWW[[#This Row],[HRP1]]/250</f>
        <v>0</v>
      </c>
      <c r="AW240" s="555">
        <f>1-WWWW[[#This Row],[% Equitable and continuous access to sufficient quantity of domestic water]]</f>
        <v>1</v>
      </c>
      <c r="AX240" s="565">
        <f>WWWW[[#This Row],[%equitable and continuous access to sufficient quantity of safe drinking and domestic water''s GAP]]*WWWW[[#This Row],[Total PoP ]]</f>
        <v>5810</v>
      </c>
      <c r="AY240" s="557">
        <f>IF(WWWW[[#This Row],[Total required water points]]-WWWW[[#This Row],['#Water points coverage]]&lt;0,0,WWWW[[#This Row],[Total required water points]]-WWWW[[#This Row],['#Water points coverage]])</f>
        <v>23</v>
      </c>
      <c r="AZ240" s="557">
        <f>ROUND(IF(WWWW[[#This Row],[Total PoP ]]&lt;250,1,WWWW[[#This Row],[Total PoP ]]/250),0)</f>
        <v>23</v>
      </c>
      <c r="BA24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40" s="565">
        <f>WWWW[[#This Row],[% people access to functioning Latrine]]*WWWW[[#This Row],[Total PoP ]]</f>
        <v>0</v>
      </c>
      <c r="BC240" s="557">
        <f>WWWW[[#This Row],['#_of_Functioning_latrines_in_school]]*50</f>
        <v>0</v>
      </c>
      <c r="BD240" s="557">
        <f>ROUND((WWWW[[#This Row],[Total PoP ]]/6),0)</f>
        <v>968</v>
      </c>
      <c r="BE240" s="557">
        <f>IF(WWWW[[#This Row],[Total required Latrines]]-(WWWW[[#This Row],['#_of_sanitary_fly-proof_HH_latrines]])&lt;0,0,WWWW[[#This Row],[Total required Latrines]]-(WWWW[[#This Row],['#_of_sanitary_fly-proof_HH_latrines]]))</f>
        <v>968</v>
      </c>
      <c r="BF240" s="558">
        <f>1-WWWW[[#This Row],[% people access to functioning Latrine]]</f>
        <v>1</v>
      </c>
      <c r="BG24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40" s="565">
        <f>IF(WWWW[[#This Row],['#_of_functional_handwashing_facilities_at_HH_level]]*6&gt;WWWW[[#This Row],[Total PoP ]],WWWW[[#This Row],[Total PoP ]],WWWW[[#This Row],['#_of_functional_handwashing_facilities_at_HH_level]]*6)</f>
        <v>0</v>
      </c>
      <c r="BI240" s="557">
        <f>IF(WWWW[[#This Row],['# people reached by regular dedicated hygiene promotion]]&gt;WWWW[[#This Row],['# People received regular supply of hygiene items]],WWWW[[#This Row],['# people reached by regular dedicated hygiene promotion]],WWWW[[#This Row],['# People received regular supply of hygiene items]])</f>
        <v>5810</v>
      </c>
      <c r="BJ240" s="555">
        <f>IF(WWWW[[#This Row],[HRP3]]/WWWW[[#This Row],[Total PoP ]]&gt;100%,100%,WWWW[[#This Row],[HRP3]]/WWWW[[#This Row],[Total PoP ]])</f>
        <v>1</v>
      </c>
      <c r="BK240" s="558">
        <f>1-WWWW[[#This Row],[Hygiene Coverage%]]</f>
        <v>0</v>
      </c>
      <c r="BL240" s="556">
        <f>WWWW[[#This Row],['# people reached by regular dedicated hygiene promotion]]/WWWW[[#This Row],[Total PoP ]]</f>
        <v>0</v>
      </c>
      <c r="BM24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5810</v>
      </c>
      <c r="BN240" s="557">
        <f>WWWW[[#This Row],['#_of_affected_women_and_girls_receiving_a_sufficient_quantity_of_sanitary_pads]]</f>
        <v>0</v>
      </c>
      <c r="BO240" s="611">
        <f>IF(WWWW[[#This Row],['# People with access to soap]]&gt;WWWW[[#This Row],['# People with access to Sanity Pads]],WWWW[[#This Row],['# People with access to soap]],WWWW[[#This Row],['# People with access to Sanity Pads]])</f>
        <v>5810</v>
      </c>
      <c r="BP240" s="565" t="str">
        <f>IF(OR(WWWW[[#This Row],['#of students in school]]="",WWWW[[#This Row],['#of students in school]]=0),"No","Yes")</f>
        <v>No</v>
      </c>
      <c r="BQ240" s="559" t="str">
        <f>VLOOKUP(WWWW[[#This Row],[Village  Name]],SiteDB6[[Site Name]:[Location Type 1]],9,FALSE)</f>
        <v>Village</v>
      </c>
      <c r="BR240" s="559" t="str">
        <f>VLOOKUP(WWWW[[#This Row],[Village  Name]],SiteDB6[[Site Name]:[Type of Accommodation]],10,FALSE)</f>
        <v>Village</v>
      </c>
      <c r="BS240" s="559" t="str">
        <f>VLOOKUP(WWWW[[#This Row],[Village  Name]],SiteDB6[[Site Name]:[Ethnic or GCA/NGCA]],11,FALSE)</f>
        <v>Muslim</v>
      </c>
      <c r="BT240" s="559">
        <f>VLOOKUP(WWWW[[#This Row],[Village  Name]],SiteDB6[[Site Name]:[Lat]],12,FALSE)</f>
        <v>20.71759033</v>
      </c>
      <c r="BU240" s="559">
        <f>VLOOKUP(WWWW[[#This Row],[Village  Name]],SiteDB6[[Site Name]:[Long]],13,FALSE)</f>
        <v>92.426422119999998</v>
      </c>
      <c r="BV240" s="559">
        <f>VLOOKUP(WWWW[[#This Row],[Village  Name]],SiteDB6[[Site Name]:[Pcode]],3,FALSE)</f>
        <v>198045</v>
      </c>
      <c r="BW240" s="559" t="str">
        <f t="shared" si="10"/>
        <v>Covered</v>
      </c>
      <c r="BX240" s="587"/>
    </row>
    <row r="241" spans="1:76">
      <c r="A241" s="612" t="s">
        <v>2381</v>
      </c>
      <c r="B241" s="612" t="s">
        <v>233</v>
      </c>
      <c r="C241" s="457" t="s">
        <v>2727</v>
      </c>
      <c r="D241" s="457"/>
      <c r="E241" s="551" t="s">
        <v>2686</v>
      </c>
      <c r="F241" s="457" t="s">
        <v>321</v>
      </c>
      <c r="G241" s="551" t="str">
        <f>VLOOKUP(WWWW[[#This Row],[Village  Name]],SiteDB6[[Site Name]:[Location Type]],8,FALSE)</f>
        <v>Village</v>
      </c>
      <c r="H241" s="457" t="s">
        <v>2717</v>
      </c>
      <c r="I241" s="611">
        <v>2749.2</v>
      </c>
      <c r="J241" s="611">
        <f>WWWW[[#This Row],[Total HH]]*5</f>
        <v>13746</v>
      </c>
      <c r="K241" s="461"/>
      <c r="L241" s="55"/>
      <c r="M241" s="611"/>
      <c r="N241" s="611"/>
      <c r="O241" s="611"/>
      <c r="P241" s="611"/>
      <c r="Q241" s="611"/>
      <c r="R241" s="611"/>
      <c r="S241" s="611"/>
      <c r="T241" s="643"/>
      <c r="U241" s="611"/>
      <c r="V241" s="611" t="s">
        <v>132</v>
      </c>
      <c r="W241" s="611"/>
      <c r="X241" s="611"/>
      <c r="Y241" s="611"/>
      <c r="Z241" s="611"/>
      <c r="AA241" s="611"/>
      <c r="AB241" s="643"/>
      <c r="AC241" s="611"/>
      <c r="AD241" s="611"/>
      <c r="AE241" s="611"/>
      <c r="AF241" s="611"/>
      <c r="AG241" s="611"/>
      <c r="AH241" s="611"/>
      <c r="AI241" s="611"/>
      <c r="AJ241" s="611"/>
      <c r="AK241" s="611">
        <v>2749.2</v>
      </c>
      <c r="AL241" s="611"/>
      <c r="AM241" s="643"/>
      <c r="AN241" s="611"/>
      <c r="AO241" s="611"/>
      <c r="AP24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1" s="565">
        <f>WWWW[[#This Row],[%Equitable and continuous access to sufficient quantity of safe drinking water]]*WWWW[[#This Row],[Total PoP ]]</f>
        <v>0</v>
      </c>
      <c r="AR24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41" s="565">
        <f>WWWW[[#This Row],[% Access to unimproved water points]]*WWWW[[#This Row],[Total PoP ]]</f>
        <v>0</v>
      </c>
      <c r="AT24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4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41" s="565">
        <f>WWWW[[#This Row],[HRP1]]/250</f>
        <v>0</v>
      </c>
      <c r="AW241" s="555">
        <f>1-WWWW[[#This Row],[% Equitable and continuous access to sufficient quantity of domestic water]]</f>
        <v>1</v>
      </c>
      <c r="AX241" s="565">
        <f>WWWW[[#This Row],[%equitable and continuous access to sufficient quantity of safe drinking and domestic water''s GAP]]*WWWW[[#This Row],[Total PoP ]]</f>
        <v>13746</v>
      </c>
      <c r="AY241" s="557">
        <f>IF(WWWW[[#This Row],[Total required water points]]-WWWW[[#This Row],['#Water points coverage]]&lt;0,0,WWWW[[#This Row],[Total required water points]]-WWWW[[#This Row],['#Water points coverage]])</f>
        <v>55</v>
      </c>
      <c r="AZ241" s="557">
        <f>ROUND(IF(WWWW[[#This Row],[Total PoP ]]&lt;250,1,WWWW[[#This Row],[Total PoP ]]/250),0)</f>
        <v>55</v>
      </c>
      <c r="BA24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41" s="565">
        <f>WWWW[[#This Row],[% people access to functioning Latrine]]*WWWW[[#This Row],[Total PoP ]]</f>
        <v>0</v>
      </c>
      <c r="BC241" s="557">
        <f>WWWW[[#This Row],['#_of_Functioning_latrines_in_school]]*50</f>
        <v>0</v>
      </c>
      <c r="BD241" s="557">
        <f>ROUND((WWWW[[#This Row],[Total PoP ]]/6),0)</f>
        <v>2291</v>
      </c>
      <c r="BE241" s="557">
        <f>IF(WWWW[[#This Row],[Total required Latrines]]-(WWWW[[#This Row],['#_of_sanitary_fly-proof_HH_latrines]])&lt;0,0,WWWW[[#This Row],[Total required Latrines]]-(WWWW[[#This Row],['#_of_sanitary_fly-proof_HH_latrines]]))</f>
        <v>2291</v>
      </c>
      <c r="BF241" s="558">
        <f>1-WWWW[[#This Row],[% people access to functioning Latrine]]</f>
        <v>1</v>
      </c>
      <c r="BG24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41" s="565">
        <f>IF(WWWW[[#This Row],['#_of_functional_handwashing_facilities_at_HH_level]]*6&gt;WWWW[[#This Row],[Total PoP ]],WWWW[[#This Row],[Total PoP ]],WWWW[[#This Row],['#_of_functional_handwashing_facilities_at_HH_level]]*6)</f>
        <v>0</v>
      </c>
      <c r="BI241" s="557">
        <f>IF(WWWW[[#This Row],['# people reached by regular dedicated hygiene promotion]]&gt;WWWW[[#This Row],['# People received regular supply of hygiene items]],WWWW[[#This Row],['# people reached by regular dedicated hygiene promotion]],WWWW[[#This Row],['# People received regular supply of hygiene items]])</f>
        <v>13746</v>
      </c>
      <c r="BJ241" s="555">
        <f>IF(WWWW[[#This Row],[HRP3]]/WWWW[[#This Row],[Total PoP ]]&gt;100%,100%,WWWW[[#This Row],[HRP3]]/WWWW[[#This Row],[Total PoP ]])</f>
        <v>1</v>
      </c>
      <c r="BK241" s="558">
        <f>1-WWWW[[#This Row],[Hygiene Coverage%]]</f>
        <v>0</v>
      </c>
      <c r="BL241" s="556">
        <f>WWWW[[#This Row],['# people reached by regular dedicated hygiene promotion]]/WWWW[[#This Row],[Total PoP ]]</f>
        <v>0</v>
      </c>
      <c r="BM24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13746</v>
      </c>
      <c r="BN241" s="557">
        <f>WWWW[[#This Row],['#_of_affected_women_and_girls_receiving_a_sufficient_quantity_of_sanitary_pads]]</f>
        <v>0</v>
      </c>
      <c r="BO241" s="611">
        <f>IF(WWWW[[#This Row],['# People with access to soap]]&gt;WWWW[[#This Row],['# People with access to Sanity Pads]],WWWW[[#This Row],['# People with access to soap]],WWWW[[#This Row],['# People with access to Sanity Pads]])</f>
        <v>13746</v>
      </c>
      <c r="BP241" s="565" t="str">
        <f>IF(OR(WWWW[[#This Row],['#of students in school]]="",WWWW[[#This Row],['#of students in school]]=0),"No","Yes")</f>
        <v>No</v>
      </c>
      <c r="BQ241" s="559" t="str">
        <f>VLOOKUP(WWWW[[#This Row],[Village  Name]],SiteDB6[[Site Name]:[Location Type 1]],9,FALSE)</f>
        <v>Village</v>
      </c>
      <c r="BR241" s="559" t="str">
        <f>VLOOKUP(WWWW[[#This Row],[Village  Name]],SiteDB6[[Site Name]:[Type of Accommodation]],10,FALSE)</f>
        <v>Village</v>
      </c>
      <c r="BS241" s="559">
        <f>VLOOKUP(WWWW[[#This Row],[Village  Name]],SiteDB6[[Site Name]:[Ethnic or GCA/NGCA]],11,FALSE)</f>
        <v>0</v>
      </c>
      <c r="BT241" s="559">
        <f>VLOOKUP(WWWW[[#This Row],[Village  Name]],SiteDB6[[Site Name]:[Lat]],12,FALSE)</f>
        <v>20.8608493804932</v>
      </c>
      <c r="BU241" s="559">
        <f>VLOOKUP(WWWW[[#This Row],[Village  Name]],SiteDB6[[Site Name]:[Long]],13,FALSE)</f>
        <v>92.539390563964801</v>
      </c>
      <c r="BV241" s="559">
        <f>VLOOKUP(WWWW[[#This Row],[Village  Name]],SiteDB6[[Site Name]:[Pcode]],3,FALSE)</f>
        <v>198326</v>
      </c>
      <c r="BW241" s="559" t="str">
        <f t="shared" si="10"/>
        <v>Covered</v>
      </c>
      <c r="BX241" s="587"/>
    </row>
    <row r="242" spans="1:76">
      <c r="A242" s="612" t="s">
        <v>2381</v>
      </c>
      <c r="B242" s="612" t="s">
        <v>2294</v>
      </c>
      <c r="C242" s="457" t="s">
        <v>2294</v>
      </c>
      <c r="D242" s="457" t="s">
        <v>233</v>
      </c>
      <c r="E242" s="551" t="s">
        <v>2687</v>
      </c>
      <c r="F242" s="457" t="s">
        <v>359</v>
      </c>
      <c r="G242" s="551" t="str">
        <f>VLOOKUP(WWWW[[#This Row],[Village  Name]],SiteDB6[[Site Name]:[Location Type]],8,FALSE)</f>
        <v>Village</v>
      </c>
      <c r="H242" s="457" t="s">
        <v>2295</v>
      </c>
      <c r="I242" s="611">
        <v>65</v>
      </c>
      <c r="J242" s="611">
        <v>323</v>
      </c>
      <c r="K242" s="461">
        <v>43540</v>
      </c>
      <c r="L242" s="55">
        <v>43906</v>
      </c>
      <c r="M242" s="611">
        <v>48</v>
      </c>
      <c r="N242" s="611">
        <v>0</v>
      </c>
      <c r="O242" s="611">
        <v>0</v>
      </c>
      <c r="P242" s="611">
        <v>4</v>
      </c>
      <c r="Q242" s="611">
        <v>1</v>
      </c>
      <c r="R242" s="611">
        <v>0</v>
      </c>
      <c r="S242" s="611">
        <v>0</v>
      </c>
      <c r="T242" s="643"/>
      <c r="U242" s="611">
        <v>65</v>
      </c>
      <c r="V242" s="611" t="s">
        <v>128</v>
      </c>
      <c r="W242" s="611">
        <v>0</v>
      </c>
      <c r="X242" s="611">
        <v>0</v>
      </c>
      <c r="Y242" s="611">
        <v>0</v>
      </c>
      <c r="Z242" s="611">
        <v>0</v>
      </c>
      <c r="AA242" s="611">
        <v>0</v>
      </c>
      <c r="AB242" s="643"/>
      <c r="AC242" s="611">
        <v>114</v>
      </c>
      <c r="AD242" s="611">
        <v>53</v>
      </c>
      <c r="AE242" s="611">
        <v>0</v>
      </c>
      <c r="AF242" s="611">
        <v>0</v>
      </c>
      <c r="AG242" s="611">
        <v>0</v>
      </c>
      <c r="AH242" s="611">
        <v>0</v>
      </c>
      <c r="AI242" s="611">
        <v>65</v>
      </c>
      <c r="AJ242" s="611">
        <v>0</v>
      </c>
      <c r="AK242" s="611"/>
      <c r="AL242" s="611"/>
      <c r="AM242" s="643"/>
      <c r="AN242" s="611"/>
      <c r="AO242" s="611"/>
      <c r="AP24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242" s="565">
        <f>WWWW[[#This Row],[%Equitable and continuous access to sufficient quantity of safe drinking water]]*WWWW[[#This Row],[Total PoP ]]</f>
        <v>323</v>
      </c>
      <c r="AR24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42" s="565">
        <f>WWWW[[#This Row],[% Access to unimproved water points]]*WWWW[[#This Row],[Total PoP ]]</f>
        <v>323</v>
      </c>
      <c r="AT24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4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AV242" s="565">
        <f>WWWW[[#This Row],[HRP1]]/250</f>
        <v>1.292</v>
      </c>
      <c r="AW242" s="555">
        <f>1-WWWW[[#This Row],[% Equitable and continuous access to sufficient quantity of domestic water]]</f>
        <v>0</v>
      </c>
      <c r="AX242" s="565">
        <f>WWWW[[#This Row],[%equitable and continuous access to sufficient quantity of safe drinking and domestic water''s GAP]]*WWWW[[#This Row],[Total PoP ]]</f>
        <v>0</v>
      </c>
      <c r="AY242" s="557">
        <f>IF(WWWW[[#This Row],[Total required water points]]-WWWW[[#This Row],['#Water points coverage]]&lt;0,0,WWWW[[#This Row],[Total required water points]]-WWWW[[#This Row],['#Water points coverage]])</f>
        <v>0</v>
      </c>
      <c r="AZ242" s="557">
        <f>ROUND(IF(WWWW[[#This Row],[Total PoP ]]&lt;250,1,WWWW[[#This Row],[Total PoP ]]/250),0)</f>
        <v>1</v>
      </c>
      <c r="BA24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242" s="565">
        <f>WWWW[[#This Row],[% people access to functioning Latrine]]*WWWW[[#This Row],[Total PoP ]]</f>
        <v>323</v>
      </c>
      <c r="BC242" s="557">
        <f>WWWW[[#This Row],['#_of_Functioning_latrines_in_school]]*50</f>
        <v>0</v>
      </c>
      <c r="BD242" s="557">
        <f>ROUND((WWWW[[#This Row],[Total PoP ]]/6),0)</f>
        <v>54</v>
      </c>
      <c r="BE242" s="557">
        <f>IF(WWWW[[#This Row],[Total required Latrines]]-(WWWW[[#This Row],['#_of_sanitary_fly-proof_HH_latrines]])&lt;0,0,WWWW[[#This Row],[Total required Latrines]]-(WWWW[[#This Row],['#_of_sanitary_fly-proof_HH_latrines]]))</f>
        <v>0</v>
      </c>
      <c r="BF242" s="558">
        <f>1-WWWW[[#This Row],[% people access to functioning Latrine]]</f>
        <v>0</v>
      </c>
      <c r="BG24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167</v>
      </c>
      <c r="BH242" s="565">
        <f>IF(WWWW[[#This Row],['#_of_functional_handwashing_facilities_at_HH_level]]*6&gt;WWWW[[#This Row],[Total PoP ]],WWWW[[#This Row],[Total PoP ]],WWWW[[#This Row],['#_of_functional_handwashing_facilities_at_HH_level]]*6)</f>
        <v>323</v>
      </c>
      <c r="BI242" s="557">
        <f>IF(WWWW[[#This Row],['# people reached by regular dedicated hygiene promotion]]&gt;WWWW[[#This Row],['# People received regular supply of hygiene items]],WWWW[[#This Row],['# people reached by regular dedicated hygiene promotion]],WWWW[[#This Row],['# People received regular supply of hygiene items]])</f>
        <v>167</v>
      </c>
      <c r="BJ242" s="555">
        <f>IF(WWWW[[#This Row],[HRP3]]/WWWW[[#This Row],[Total PoP ]]&gt;100%,100%,WWWW[[#This Row],[HRP3]]/WWWW[[#This Row],[Total PoP ]])</f>
        <v>0.51702786377708976</v>
      </c>
      <c r="BK242" s="558">
        <f>1-WWWW[[#This Row],[Hygiene Coverage%]]</f>
        <v>0.48297213622291024</v>
      </c>
      <c r="BL242" s="556">
        <f>WWWW[[#This Row],['# people reached by regular dedicated hygiene promotion]]/WWWW[[#This Row],[Total PoP ]]</f>
        <v>0.51702786377708976</v>
      </c>
      <c r="BM24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42" s="557">
        <f>WWWW[[#This Row],['#_of_affected_women_and_girls_receiving_a_sufficient_quantity_of_sanitary_pads]]</f>
        <v>0</v>
      </c>
      <c r="BO242" s="611">
        <f>IF(WWWW[[#This Row],['# People with access to soap]]&gt;WWWW[[#This Row],['# People with access to Sanity Pads]],WWWW[[#This Row],['# People with access to soap]],WWWW[[#This Row],['# People with access to Sanity Pads]])</f>
        <v>0</v>
      </c>
      <c r="BP242" s="565" t="str">
        <f>IF(OR(WWWW[[#This Row],['#of students in school]]="",WWWW[[#This Row],['#of students in school]]=0),"No","Yes")</f>
        <v>Yes</v>
      </c>
      <c r="BQ242" s="559" t="str">
        <f>VLOOKUP(WWWW[[#This Row],[Village  Name]],SiteDB6[[Site Name]:[Location Type 1]],9,FALSE)</f>
        <v>Village</v>
      </c>
      <c r="BR242" s="559" t="str">
        <f>VLOOKUP(WWWW[[#This Row],[Village  Name]],SiteDB6[[Site Name]:[Type of Accommodation]],10,FALSE)</f>
        <v>Village</v>
      </c>
      <c r="BS242" s="559" t="str">
        <f>VLOOKUP(WWWW[[#This Row],[Village  Name]],SiteDB6[[Site Name]:[Ethnic or GCA/NGCA]],11,FALSE)</f>
        <v>Rakhine</v>
      </c>
      <c r="BT242" s="559">
        <f>VLOOKUP(WWWW[[#This Row],[Village  Name]],SiteDB6[[Site Name]:[Lat]],12,FALSE)</f>
        <v>19.417640689999999</v>
      </c>
      <c r="BU242" s="559">
        <f>VLOOKUP(WWWW[[#This Row],[Village  Name]],SiteDB6[[Site Name]:[Long]],13,FALSE)</f>
        <v>93.565246579999993</v>
      </c>
      <c r="BV242" s="559">
        <f>VLOOKUP(WWWW[[#This Row],[Village  Name]],SiteDB6[[Site Name]:[Pcode]],3,FALSE)</f>
        <v>198464</v>
      </c>
      <c r="BW242" s="559" t="str">
        <f t="shared" si="9"/>
        <v>Covered</v>
      </c>
      <c r="BX242" s="587"/>
    </row>
    <row r="243" spans="1:76">
      <c r="A243" s="612" t="s">
        <v>2381</v>
      </c>
      <c r="B243" s="612" t="s">
        <v>2294</v>
      </c>
      <c r="C243" s="457" t="s">
        <v>2294</v>
      </c>
      <c r="D243" s="457" t="s">
        <v>233</v>
      </c>
      <c r="E243" s="551" t="s">
        <v>2687</v>
      </c>
      <c r="F243" s="457" t="s">
        <v>359</v>
      </c>
      <c r="G243" s="551" t="str">
        <f>VLOOKUP(WWWW[[#This Row],[Village  Name]],SiteDB6[[Site Name]:[Location Type]],8,FALSE)</f>
        <v>Village</v>
      </c>
      <c r="H243" s="457" t="s">
        <v>2576</v>
      </c>
      <c r="I243" s="611">
        <v>275</v>
      </c>
      <c r="J243" s="611">
        <v>1018</v>
      </c>
      <c r="K243" s="461">
        <v>43540</v>
      </c>
      <c r="L243" s="55">
        <v>43906</v>
      </c>
      <c r="M243" s="611"/>
      <c r="N243" s="611"/>
      <c r="O243" s="611"/>
      <c r="P243" s="611"/>
      <c r="Q243" s="611"/>
      <c r="R243" s="611"/>
      <c r="S243" s="611"/>
      <c r="T243" s="643"/>
      <c r="U243" s="611"/>
      <c r="V243" s="611" t="s">
        <v>41</v>
      </c>
      <c r="W243" s="611"/>
      <c r="X243" s="611"/>
      <c r="Y243" s="611"/>
      <c r="Z243" s="611"/>
      <c r="AA243" s="611"/>
      <c r="AB243" s="643"/>
      <c r="AC243" s="611"/>
      <c r="AD243" s="611"/>
      <c r="AE243" s="611"/>
      <c r="AF243" s="611"/>
      <c r="AG243" s="611"/>
      <c r="AH243" s="611"/>
      <c r="AI243" s="611">
        <v>0</v>
      </c>
      <c r="AJ243" s="611">
        <v>0</v>
      </c>
      <c r="AK243" s="611"/>
      <c r="AL243" s="611"/>
      <c r="AM243" s="643"/>
      <c r="AN243" s="611"/>
      <c r="AO243" s="611"/>
      <c r="AP24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3" s="565">
        <f>WWWW[[#This Row],[%Equitable and continuous access to sufficient quantity of safe drinking water]]*WWWW[[#This Row],[Total PoP ]]</f>
        <v>0</v>
      </c>
      <c r="AR24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43" s="565">
        <f>WWWW[[#This Row],[% Access to unimproved water points]]*WWWW[[#This Row],[Total PoP ]]</f>
        <v>0</v>
      </c>
      <c r="AT24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4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43" s="565">
        <f>WWWW[[#This Row],[HRP1]]/250</f>
        <v>0</v>
      </c>
      <c r="AW243" s="555">
        <f>1-WWWW[[#This Row],[% Equitable and continuous access to sufficient quantity of domestic water]]</f>
        <v>1</v>
      </c>
      <c r="AX243" s="565">
        <f>WWWW[[#This Row],[%equitable and continuous access to sufficient quantity of safe drinking and domestic water''s GAP]]*WWWW[[#This Row],[Total PoP ]]</f>
        <v>1018</v>
      </c>
      <c r="AY243" s="557">
        <f>IF(WWWW[[#This Row],[Total required water points]]-WWWW[[#This Row],['#Water points coverage]]&lt;0,0,WWWW[[#This Row],[Total required water points]]-WWWW[[#This Row],['#Water points coverage]])</f>
        <v>4</v>
      </c>
      <c r="AZ243" s="557">
        <f>ROUND(IF(WWWW[[#This Row],[Total PoP ]]&lt;250,1,WWWW[[#This Row],[Total PoP ]]/250),0)</f>
        <v>4</v>
      </c>
      <c r="BA24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43" s="565">
        <f>WWWW[[#This Row],[% people access to functioning Latrine]]*WWWW[[#This Row],[Total PoP ]]</f>
        <v>0</v>
      </c>
      <c r="BC243" s="557">
        <f>WWWW[[#This Row],['#_of_Functioning_latrines_in_school]]*50</f>
        <v>0</v>
      </c>
      <c r="BD243" s="557">
        <f>ROUND((WWWW[[#This Row],[Total PoP ]]/6),0)</f>
        <v>170</v>
      </c>
      <c r="BE243" s="557">
        <f>IF(WWWW[[#This Row],[Total required Latrines]]-(WWWW[[#This Row],['#_of_sanitary_fly-proof_HH_latrines]])&lt;0,0,WWWW[[#This Row],[Total required Latrines]]-(WWWW[[#This Row],['#_of_sanitary_fly-proof_HH_latrines]]))</f>
        <v>170</v>
      </c>
      <c r="BF243" s="558">
        <f>1-WWWW[[#This Row],[% people access to functioning Latrine]]</f>
        <v>1</v>
      </c>
      <c r="BG24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43" s="565">
        <f>IF(WWWW[[#This Row],['#_of_functional_handwashing_facilities_at_HH_level]]*6&gt;WWWW[[#This Row],[Total PoP ]],WWWW[[#This Row],[Total PoP ]],WWWW[[#This Row],['#_of_functional_handwashing_facilities_at_HH_level]]*6)</f>
        <v>0</v>
      </c>
      <c r="BI243" s="557">
        <f>IF(WWWW[[#This Row],['# people reached by regular dedicated hygiene promotion]]&gt;WWWW[[#This Row],['# People received regular supply of hygiene items]],WWWW[[#This Row],['# people reached by regular dedicated hygiene promotion]],WWWW[[#This Row],['# People received regular supply of hygiene items]])</f>
        <v>0</v>
      </c>
      <c r="BJ243" s="555">
        <f>IF(WWWW[[#This Row],[HRP3]]/WWWW[[#This Row],[Total PoP ]]&gt;100%,100%,WWWW[[#This Row],[HRP3]]/WWWW[[#This Row],[Total PoP ]])</f>
        <v>0</v>
      </c>
      <c r="BK243" s="558">
        <f>1-WWWW[[#This Row],[Hygiene Coverage%]]</f>
        <v>1</v>
      </c>
      <c r="BL243" s="556">
        <f>WWWW[[#This Row],['# people reached by regular dedicated hygiene promotion]]/WWWW[[#This Row],[Total PoP ]]</f>
        <v>0</v>
      </c>
      <c r="BM24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43" s="557">
        <f>WWWW[[#This Row],['#_of_affected_women_and_girls_receiving_a_sufficient_quantity_of_sanitary_pads]]</f>
        <v>0</v>
      </c>
      <c r="BO243" s="611">
        <f>IF(WWWW[[#This Row],['# People with access to soap]]&gt;WWWW[[#This Row],['# People with access to Sanity Pads]],WWWW[[#This Row],['# People with access to soap]],WWWW[[#This Row],['# People with access to Sanity Pads]])</f>
        <v>0</v>
      </c>
      <c r="BP243" s="565" t="str">
        <f>IF(OR(WWWW[[#This Row],['#of students in school]]="",WWWW[[#This Row],['#of students in school]]=0),"No","Yes")</f>
        <v>No</v>
      </c>
      <c r="BQ243" s="559" t="str">
        <f>VLOOKUP(WWWW[[#This Row],[Village  Name]],SiteDB6[[Site Name]:[Location Type 1]],9,FALSE)</f>
        <v>Village</v>
      </c>
      <c r="BR243" s="559" t="str">
        <f>VLOOKUP(WWWW[[#This Row],[Village  Name]],SiteDB6[[Site Name]:[Type of Accommodation]],10,FALSE)</f>
        <v>Village</v>
      </c>
      <c r="BS243" s="559" t="str">
        <f>VLOOKUP(WWWW[[#This Row],[Village  Name]],SiteDB6[[Site Name]:[Ethnic or GCA/NGCA]],11,FALSE)</f>
        <v>Rakhine</v>
      </c>
      <c r="BT243" s="559">
        <f>VLOOKUP(WWWW[[#This Row],[Village  Name]],SiteDB6[[Site Name]:[Lat]],12,FALSE)</f>
        <v>0</v>
      </c>
      <c r="BU243" s="559">
        <f>VLOOKUP(WWWW[[#This Row],[Village  Name]],SiteDB6[[Site Name]:[Long]],13,FALSE)</f>
        <v>0</v>
      </c>
      <c r="BV243" s="559">
        <f>VLOOKUP(WWWW[[#This Row],[Village  Name]],SiteDB6[[Site Name]:[Pcode]],3,FALSE)</f>
        <v>198475</v>
      </c>
      <c r="BW243" s="559" t="str">
        <f t="shared" si="9"/>
        <v>Covered</v>
      </c>
      <c r="BX243" s="587"/>
    </row>
    <row r="244" spans="1:76">
      <c r="A244" s="612" t="s">
        <v>2381</v>
      </c>
      <c r="B244" s="612" t="s">
        <v>2294</v>
      </c>
      <c r="C244" s="457" t="s">
        <v>2294</v>
      </c>
      <c r="D244" s="457" t="s">
        <v>233</v>
      </c>
      <c r="E244" s="551" t="s">
        <v>2687</v>
      </c>
      <c r="F244" s="457" t="s">
        <v>359</v>
      </c>
      <c r="G244" s="551" t="str">
        <f>VLOOKUP(WWWW[[#This Row],[Village  Name]],SiteDB6[[Site Name]:[Location Type]],8,FALSE)</f>
        <v>Village</v>
      </c>
      <c r="H244" s="457" t="s">
        <v>2577</v>
      </c>
      <c r="I244" s="611">
        <v>76</v>
      </c>
      <c r="J244" s="611">
        <v>276</v>
      </c>
      <c r="K244" s="461">
        <v>43540</v>
      </c>
      <c r="L244" s="55">
        <v>43906</v>
      </c>
      <c r="M244" s="611"/>
      <c r="N244" s="611"/>
      <c r="O244" s="611"/>
      <c r="P244" s="611"/>
      <c r="Q244" s="611"/>
      <c r="R244" s="611"/>
      <c r="S244" s="611"/>
      <c r="T244" s="643"/>
      <c r="U244" s="611"/>
      <c r="V244" s="611" t="s">
        <v>41</v>
      </c>
      <c r="W244" s="611"/>
      <c r="X244" s="611"/>
      <c r="Y244" s="611"/>
      <c r="Z244" s="611"/>
      <c r="AA244" s="611"/>
      <c r="AB244" s="643"/>
      <c r="AC244" s="611"/>
      <c r="AD244" s="611"/>
      <c r="AE244" s="611"/>
      <c r="AF244" s="611"/>
      <c r="AG244" s="611"/>
      <c r="AH244" s="611"/>
      <c r="AI244" s="611">
        <v>0</v>
      </c>
      <c r="AJ244" s="611">
        <v>0</v>
      </c>
      <c r="AK244" s="611"/>
      <c r="AL244" s="611"/>
      <c r="AM244" s="643"/>
      <c r="AN244" s="611"/>
      <c r="AO244" s="611"/>
      <c r="AP24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4" s="565">
        <f>WWWW[[#This Row],[%Equitable and continuous access to sufficient quantity of safe drinking water]]*WWWW[[#This Row],[Total PoP ]]</f>
        <v>0</v>
      </c>
      <c r="AR24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44" s="565">
        <f>WWWW[[#This Row],[% Access to unimproved water points]]*WWWW[[#This Row],[Total PoP ]]</f>
        <v>0</v>
      </c>
      <c r="AT24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4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44" s="565">
        <f>WWWW[[#This Row],[HRP1]]/250</f>
        <v>0</v>
      </c>
      <c r="AW244" s="555">
        <f>1-WWWW[[#This Row],[% Equitable and continuous access to sufficient quantity of domestic water]]</f>
        <v>1</v>
      </c>
      <c r="AX244" s="565">
        <f>WWWW[[#This Row],[%equitable and continuous access to sufficient quantity of safe drinking and domestic water''s GAP]]*WWWW[[#This Row],[Total PoP ]]</f>
        <v>276</v>
      </c>
      <c r="AY244" s="557">
        <f>IF(WWWW[[#This Row],[Total required water points]]-WWWW[[#This Row],['#Water points coverage]]&lt;0,0,WWWW[[#This Row],[Total required water points]]-WWWW[[#This Row],['#Water points coverage]])</f>
        <v>1</v>
      </c>
      <c r="AZ244" s="557">
        <f>ROUND(IF(WWWW[[#This Row],[Total PoP ]]&lt;250,1,WWWW[[#This Row],[Total PoP ]]/250),0)</f>
        <v>1</v>
      </c>
      <c r="BA24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44" s="565">
        <f>WWWW[[#This Row],[% people access to functioning Latrine]]*WWWW[[#This Row],[Total PoP ]]</f>
        <v>0</v>
      </c>
      <c r="BC244" s="557">
        <f>WWWW[[#This Row],['#_of_Functioning_latrines_in_school]]*50</f>
        <v>0</v>
      </c>
      <c r="BD244" s="557">
        <f>ROUND((WWWW[[#This Row],[Total PoP ]]/6),0)</f>
        <v>46</v>
      </c>
      <c r="BE244" s="557">
        <f>IF(WWWW[[#This Row],[Total required Latrines]]-(WWWW[[#This Row],['#_of_sanitary_fly-proof_HH_latrines]])&lt;0,0,WWWW[[#This Row],[Total required Latrines]]-(WWWW[[#This Row],['#_of_sanitary_fly-proof_HH_latrines]]))</f>
        <v>46</v>
      </c>
      <c r="BF244" s="558">
        <f>1-WWWW[[#This Row],[% people access to functioning Latrine]]</f>
        <v>1</v>
      </c>
      <c r="BG24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44" s="565">
        <f>IF(WWWW[[#This Row],['#_of_functional_handwashing_facilities_at_HH_level]]*6&gt;WWWW[[#This Row],[Total PoP ]],WWWW[[#This Row],[Total PoP ]],WWWW[[#This Row],['#_of_functional_handwashing_facilities_at_HH_level]]*6)</f>
        <v>0</v>
      </c>
      <c r="BI244" s="557">
        <f>IF(WWWW[[#This Row],['# people reached by regular dedicated hygiene promotion]]&gt;WWWW[[#This Row],['# People received regular supply of hygiene items]],WWWW[[#This Row],['# people reached by regular dedicated hygiene promotion]],WWWW[[#This Row],['# People received regular supply of hygiene items]])</f>
        <v>0</v>
      </c>
      <c r="BJ244" s="555">
        <f>IF(WWWW[[#This Row],[HRP3]]/WWWW[[#This Row],[Total PoP ]]&gt;100%,100%,WWWW[[#This Row],[HRP3]]/WWWW[[#This Row],[Total PoP ]])</f>
        <v>0</v>
      </c>
      <c r="BK244" s="558">
        <f>1-WWWW[[#This Row],[Hygiene Coverage%]]</f>
        <v>1</v>
      </c>
      <c r="BL244" s="556">
        <f>WWWW[[#This Row],['# people reached by regular dedicated hygiene promotion]]/WWWW[[#This Row],[Total PoP ]]</f>
        <v>0</v>
      </c>
      <c r="BM24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44" s="557">
        <f>WWWW[[#This Row],['#_of_affected_women_and_girls_receiving_a_sufficient_quantity_of_sanitary_pads]]</f>
        <v>0</v>
      </c>
      <c r="BO244" s="611">
        <f>IF(WWWW[[#This Row],['# People with access to soap]]&gt;WWWW[[#This Row],['# People with access to Sanity Pads]],WWWW[[#This Row],['# People with access to soap]],WWWW[[#This Row],['# People with access to Sanity Pads]])</f>
        <v>0</v>
      </c>
      <c r="BP244" s="565" t="str">
        <f>IF(OR(WWWW[[#This Row],['#of students in school]]="",WWWW[[#This Row],['#of students in school]]=0),"No","Yes")</f>
        <v>No</v>
      </c>
      <c r="BQ244" s="559" t="str">
        <f>VLOOKUP(WWWW[[#This Row],[Village  Name]],SiteDB6[[Site Name]:[Location Type 1]],9,FALSE)</f>
        <v>Village</v>
      </c>
      <c r="BR244" s="559" t="str">
        <f>VLOOKUP(WWWW[[#This Row],[Village  Name]],SiteDB6[[Site Name]:[Type of Accommodation]],10,FALSE)</f>
        <v>Village</v>
      </c>
      <c r="BS244" s="559" t="str">
        <f>VLOOKUP(WWWW[[#This Row],[Village  Name]],SiteDB6[[Site Name]:[Ethnic or GCA/NGCA]],11,FALSE)</f>
        <v>Rakhine</v>
      </c>
      <c r="BT244" s="559">
        <f>VLOOKUP(WWWW[[#This Row],[Village  Name]],SiteDB6[[Site Name]:[Lat]],12,FALSE)</f>
        <v>0</v>
      </c>
      <c r="BU244" s="559">
        <f>VLOOKUP(WWWW[[#This Row],[Village  Name]],SiteDB6[[Site Name]:[Long]],13,FALSE)</f>
        <v>0</v>
      </c>
      <c r="BV244" s="559">
        <f>VLOOKUP(WWWW[[#This Row],[Village  Name]],SiteDB6[[Site Name]:[Pcode]],3,FALSE)</f>
        <v>198476</v>
      </c>
      <c r="BW244" s="559" t="str">
        <f t="shared" si="9"/>
        <v>Covered</v>
      </c>
      <c r="BX244" s="587"/>
    </row>
    <row r="245" spans="1:76">
      <c r="A245" s="612" t="s">
        <v>2381</v>
      </c>
      <c r="B245" s="612" t="s">
        <v>2294</v>
      </c>
      <c r="C245" s="457" t="s">
        <v>2294</v>
      </c>
      <c r="D245" s="457" t="s">
        <v>233</v>
      </c>
      <c r="E245" s="551" t="s">
        <v>2687</v>
      </c>
      <c r="F245" s="457" t="s">
        <v>359</v>
      </c>
      <c r="G245" s="551" t="str">
        <f>VLOOKUP(WWWW[[#This Row],[Village  Name]],SiteDB6[[Site Name]:[Location Type]],8,FALSE)</f>
        <v>Village</v>
      </c>
      <c r="H245" s="457" t="s">
        <v>2578</v>
      </c>
      <c r="I245" s="611">
        <v>251</v>
      </c>
      <c r="J245" s="611">
        <v>970</v>
      </c>
      <c r="K245" s="461">
        <v>43540</v>
      </c>
      <c r="L245" s="55">
        <v>43906</v>
      </c>
      <c r="M245" s="611"/>
      <c r="N245" s="611"/>
      <c r="O245" s="611"/>
      <c r="P245" s="611"/>
      <c r="Q245" s="611"/>
      <c r="R245" s="611"/>
      <c r="S245" s="611"/>
      <c r="T245" s="643"/>
      <c r="U245" s="611"/>
      <c r="V245" s="611" t="s">
        <v>41</v>
      </c>
      <c r="W245" s="611">
        <v>5</v>
      </c>
      <c r="X245" s="611"/>
      <c r="Y245" s="611"/>
      <c r="Z245" s="611"/>
      <c r="AA245" s="611"/>
      <c r="AB245" s="643"/>
      <c r="AC245" s="611"/>
      <c r="AD245" s="611"/>
      <c r="AE245" s="611"/>
      <c r="AF245" s="611"/>
      <c r="AG245" s="611"/>
      <c r="AH245" s="611"/>
      <c r="AI245" s="611">
        <v>0</v>
      </c>
      <c r="AJ245" s="611">
        <v>0</v>
      </c>
      <c r="AK245" s="611"/>
      <c r="AL245" s="611"/>
      <c r="AM245" s="643"/>
      <c r="AN245" s="611"/>
      <c r="AO245" s="611"/>
      <c r="AP24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5" s="565">
        <f>WWWW[[#This Row],[%Equitable and continuous access to sufficient quantity of safe drinking water]]*WWWW[[#This Row],[Total PoP ]]</f>
        <v>0</v>
      </c>
      <c r="AR24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45" s="565">
        <f>WWWW[[#This Row],[% Access to unimproved water points]]*WWWW[[#This Row],[Total PoP ]]</f>
        <v>0</v>
      </c>
      <c r="AT24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4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45" s="565">
        <f>WWWW[[#This Row],[HRP1]]/250</f>
        <v>0</v>
      </c>
      <c r="AW245" s="555">
        <f>1-WWWW[[#This Row],[% Equitable and continuous access to sufficient quantity of domestic water]]</f>
        <v>1</v>
      </c>
      <c r="AX245" s="565">
        <f>WWWW[[#This Row],[%equitable and continuous access to sufficient quantity of safe drinking and domestic water''s GAP]]*WWWW[[#This Row],[Total PoP ]]</f>
        <v>970</v>
      </c>
      <c r="AY245" s="557">
        <f>IF(WWWW[[#This Row],[Total required water points]]-WWWW[[#This Row],['#Water points coverage]]&lt;0,0,WWWW[[#This Row],[Total required water points]]-WWWW[[#This Row],['#Water points coverage]])</f>
        <v>4</v>
      </c>
      <c r="AZ245" s="557">
        <f>ROUND(IF(WWWW[[#This Row],[Total PoP ]]&lt;250,1,WWWW[[#This Row],[Total PoP ]]/250),0)</f>
        <v>4</v>
      </c>
      <c r="BA245"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0.25773195876288657</v>
      </c>
      <c r="BB245" s="565">
        <f>WWWW[[#This Row],[% people access to functioning Latrine]]*WWWW[[#This Row],[Total PoP ]]</f>
        <v>249.99999999999997</v>
      </c>
      <c r="BC245" s="557">
        <f>WWWW[[#This Row],['#_of_Functioning_latrines_in_school]]*50</f>
        <v>250</v>
      </c>
      <c r="BD245" s="557">
        <f>ROUND((WWWW[[#This Row],[Total PoP ]]/6),0)</f>
        <v>162</v>
      </c>
      <c r="BE245" s="557">
        <f>IF(WWWW[[#This Row],[Total required Latrines]]-(WWWW[[#This Row],['#_of_sanitary_fly-proof_HH_latrines]])&lt;0,0,WWWW[[#This Row],[Total required Latrines]]-(WWWW[[#This Row],['#_of_sanitary_fly-proof_HH_latrines]]))</f>
        <v>162</v>
      </c>
      <c r="BF245" s="558">
        <f>1-WWWW[[#This Row],[% people access to functioning Latrine]]</f>
        <v>0.74226804123711343</v>
      </c>
      <c r="BG24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45" s="565">
        <f>IF(WWWW[[#This Row],['#_of_functional_handwashing_facilities_at_HH_level]]*6&gt;WWWW[[#This Row],[Total PoP ]],WWWW[[#This Row],[Total PoP ]],WWWW[[#This Row],['#_of_functional_handwashing_facilities_at_HH_level]]*6)</f>
        <v>0</v>
      </c>
      <c r="BI245" s="557">
        <f>IF(WWWW[[#This Row],['# people reached by regular dedicated hygiene promotion]]&gt;WWWW[[#This Row],['# People received regular supply of hygiene items]],WWWW[[#This Row],['# people reached by regular dedicated hygiene promotion]],WWWW[[#This Row],['# People received regular supply of hygiene items]])</f>
        <v>0</v>
      </c>
      <c r="BJ245" s="555">
        <f>IF(WWWW[[#This Row],[HRP3]]/WWWW[[#This Row],[Total PoP ]]&gt;100%,100%,WWWW[[#This Row],[HRP3]]/WWWW[[#This Row],[Total PoP ]])</f>
        <v>0</v>
      </c>
      <c r="BK245" s="558">
        <f>1-WWWW[[#This Row],[Hygiene Coverage%]]</f>
        <v>1</v>
      </c>
      <c r="BL245" s="556">
        <f>WWWW[[#This Row],['# people reached by regular dedicated hygiene promotion]]/WWWW[[#This Row],[Total PoP ]]</f>
        <v>0</v>
      </c>
      <c r="BM24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45" s="557">
        <f>WWWW[[#This Row],['#_of_affected_women_and_girls_receiving_a_sufficient_quantity_of_sanitary_pads]]</f>
        <v>0</v>
      </c>
      <c r="BO245" s="611">
        <f>IF(WWWW[[#This Row],['# People with access to soap]]&gt;WWWW[[#This Row],['# People with access to Sanity Pads]],WWWW[[#This Row],['# People with access to soap]],WWWW[[#This Row],['# People with access to Sanity Pads]])</f>
        <v>0</v>
      </c>
      <c r="BP245" s="565" t="str">
        <f>IF(OR(WWWW[[#This Row],['#of students in school]]="",WWWW[[#This Row],['#of students in school]]=0),"No","Yes")</f>
        <v>No</v>
      </c>
      <c r="BQ245" s="559" t="str">
        <f>VLOOKUP(WWWW[[#This Row],[Village  Name]],SiteDB6[[Site Name]:[Location Type 1]],9,FALSE)</f>
        <v>Village</v>
      </c>
      <c r="BR245" s="559" t="str">
        <f>VLOOKUP(WWWW[[#This Row],[Village  Name]],SiteDB6[[Site Name]:[Type of Accommodation]],10,FALSE)</f>
        <v>Village</v>
      </c>
      <c r="BS245" s="559" t="str">
        <f>VLOOKUP(WWWW[[#This Row],[Village  Name]],SiteDB6[[Site Name]:[Ethnic or GCA/NGCA]],11,FALSE)</f>
        <v>Rakhine</v>
      </c>
      <c r="BT245" s="559">
        <f>VLOOKUP(WWWW[[#This Row],[Village  Name]],SiteDB6[[Site Name]:[Lat]],12,FALSE)</f>
        <v>0</v>
      </c>
      <c r="BU245" s="559">
        <f>VLOOKUP(WWWW[[#This Row],[Village  Name]],SiteDB6[[Site Name]:[Long]],13,FALSE)</f>
        <v>0</v>
      </c>
      <c r="BV245" s="559">
        <f>VLOOKUP(WWWW[[#This Row],[Village  Name]],SiteDB6[[Site Name]:[Pcode]],3,FALSE)</f>
        <v>198508</v>
      </c>
      <c r="BW245" s="559" t="str">
        <f t="shared" si="9"/>
        <v>Covered</v>
      </c>
      <c r="BX245" s="587"/>
    </row>
    <row r="246" spans="1:76">
      <c r="A246" s="612" t="s">
        <v>2381</v>
      </c>
      <c r="B246" s="612" t="s">
        <v>2294</v>
      </c>
      <c r="C246" s="457" t="s">
        <v>2294</v>
      </c>
      <c r="D246" s="457" t="s">
        <v>233</v>
      </c>
      <c r="E246" s="551" t="s">
        <v>2687</v>
      </c>
      <c r="F246" s="457" t="s">
        <v>359</v>
      </c>
      <c r="G246" s="551" t="str">
        <f>VLOOKUP(WWWW[[#This Row],[Village  Name]],SiteDB6[[Site Name]:[Location Type]],8,FALSE)</f>
        <v>Village</v>
      </c>
      <c r="H246" s="457" t="s">
        <v>2579</v>
      </c>
      <c r="I246" s="611">
        <v>152</v>
      </c>
      <c r="J246" s="611">
        <v>864</v>
      </c>
      <c r="K246" s="461">
        <v>43540</v>
      </c>
      <c r="L246" s="55">
        <v>43906</v>
      </c>
      <c r="M246" s="611"/>
      <c r="N246" s="611"/>
      <c r="O246" s="611"/>
      <c r="P246" s="611"/>
      <c r="Q246" s="611"/>
      <c r="R246" s="611"/>
      <c r="S246" s="611"/>
      <c r="T246" s="643"/>
      <c r="U246" s="611"/>
      <c r="V246" s="611" t="s">
        <v>41</v>
      </c>
      <c r="W246" s="611"/>
      <c r="X246" s="611"/>
      <c r="Y246" s="611"/>
      <c r="Z246" s="611"/>
      <c r="AA246" s="611"/>
      <c r="AB246" s="643"/>
      <c r="AC246" s="611"/>
      <c r="AD246" s="611"/>
      <c r="AE246" s="611"/>
      <c r="AF246" s="611"/>
      <c r="AG246" s="611"/>
      <c r="AH246" s="611"/>
      <c r="AI246" s="611">
        <v>0</v>
      </c>
      <c r="AJ246" s="611">
        <v>0</v>
      </c>
      <c r="AK246" s="611"/>
      <c r="AL246" s="611"/>
      <c r="AM246" s="643"/>
      <c r="AN246" s="611"/>
      <c r="AO246" s="611"/>
      <c r="AP24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6" s="565">
        <f>WWWW[[#This Row],[%Equitable and continuous access to sufficient quantity of safe drinking water]]*WWWW[[#This Row],[Total PoP ]]</f>
        <v>0</v>
      </c>
      <c r="AR24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46" s="565">
        <f>WWWW[[#This Row],[% Access to unimproved water points]]*WWWW[[#This Row],[Total PoP ]]</f>
        <v>0</v>
      </c>
      <c r="AT24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4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46" s="565">
        <f>WWWW[[#This Row],[HRP1]]/250</f>
        <v>0</v>
      </c>
      <c r="AW246" s="555">
        <f>1-WWWW[[#This Row],[% Equitable and continuous access to sufficient quantity of domestic water]]</f>
        <v>1</v>
      </c>
      <c r="AX246" s="565">
        <f>WWWW[[#This Row],[%equitable and continuous access to sufficient quantity of safe drinking and domestic water''s GAP]]*WWWW[[#This Row],[Total PoP ]]</f>
        <v>864</v>
      </c>
      <c r="AY246" s="557">
        <f>IF(WWWW[[#This Row],[Total required water points]]-WWWW[[#This Row],['#Water points coverage]]&lt;0,0,WWWW[[#This Row],[Total required water points]]-WWWW[[#This Row],['#Water points coverage]])</f>
        <v>3</v>
      </c>
      <c r="AZ246" s="557">
        <f>ROUND(IF(WWWW[[#This Row],[Total PoP ]]&lt;250,1,WWWW[[#This Row],[Total PoP ]]/250),0)</f>
        <v>3</v>
      </c>
      <c r="BA24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46" s="565">
        <f>WWWW[[#This Row],[% people access to functioning Latrine]]*WWWW[[#This Row],[Total PoP ]]</f>
        <v>0</v>
      </c>
      <c r="BC246" s="557">
        <f>WWWW[[#This Row],['#_of_Functioning_latrines_in_school]]*50</f>
        <v>0</v>
      </c>
      <c r="BD246" s="557">
        <f>ROUND((WWWW[[#This Row],[Total PoP ]]/6),0)</f>
        <v>144</v>
      </c>
      <c r="BE246" s="557">
        <f>IF(WWWW[[#This Row],[Total required Latrines]]-(WWWW[[#This Row],['#_of_sanitary_fly-proof_HH_latrines]])&lt;0,0,WWWW[[#This Row],[Total required Latrines]]-(WWWW[[#This Row],['#_of_sanitary_fly-proof_HH_latrines]]))</f>
        <v>144</v>
      </c>
      <c r="BF246" s="558">
        <f>1-WWWW[[#This Row],[% people access to functioning Latrine]]</f>
        <v>1</v>
      </c>
      <c r="BG24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46" s="565">
        <f>IF(WWWW[[#This Row],['#_of_functional_handwashing_facilities_at_HH_level]]*6&gt;WWWW[[#This Row],[Total PoP ]],WWWW[[#This Row],[Total PoP ]],WWWW[[#This Row],['#_of_functional_handwashing_facilities_at_HH_level]]*6)</f>
        <v>0</v>
      </c>
      <c r="BI246" s="557">
        <f>IF(WWWW[[#This Row],['# people reached by regular dedicated hygiene promotion]]&gt;WWWW[[#This Row],['# People received regular supply of hygiene items]],WWWW[[#This Row],['# people reached by regular dedicated hygiene promotion]],WWWW[[#This Row],['# People received regular supply of hygiene items]])</f>
        <v>0</v>
      </c>
      <c r="BJ246" s="555">
        <f>IF(WWWW[[#This Row],[HRP3]]/WWWW[[#This Row],[Total PoP ]]&gt;100%,100%,WWWW[[#This Row],[HRP3]]/WWWW[[#This Row],[Total PoP ]])</f>
        <v>0</v>
      </c>
      <c r="BK246" s="558">
        <f>1-WWWW[[#This Row],[Hygiene Coverage%]]</f>
        <v>1</v>
      </c>
      <c r="BL246" s="556">
        <f>WWWW[[#This Row],['# people reached by regular dedicated hygiene promotion]]/WWWW[[#This Row],[Total PoP ]]</f>
        <v>0</v>
      </c>
      <c r="BM24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46" s="557">
        <f>WWWW[[#This Row],['#_of_affected_women_and_girls_receiving_a_sufficient_quantity_of_sanitary_pads]]</f>
        <v>0</v>
      </c>
      <c r="BO246" s="611">
        <f>IF(WWWW[[#This Row],['# People with access to soap]]&gt;WWWW[[#This Row],['# People with access to Sanity Pads]],WWWW[[#This Row],['# People with access to soap]],WWWW[[#This Row],['# People with access to Sanity Pads]])</f>
        <v>0</v>
      </c>
      <c r="BP246" s="565" t="str">
        <f>IF(OR(WWWW[[#This Row],['#of students in school]]="",WWWW[[#This Row],['#of students in school]]=0),"No","Yes")</f>
        <v>No</v>
      </c>
      <c r="BQ246" s="559" t="str">
        <f>VLOOKUP(WWWW[[#This Row],[Village  Name]],SiteDB6[[Site Name]:[Location Type 1]],9,FALSE)</f>
        <v>Village</v>
      </c>
      <c r="BR246" s="559" t="str">
        <f>VLOOKUP(WWWW[[#This Row],[Village  Name]],SiteDB6[[Site Name]:[Type of Accommodation]],10,FALSE)</f>
        <v>Village</v>
      </c>
      <c r="BS246" s="559" t="str">
        <f>VLOOKUP(WWWW[[#This Row],[Village  Name]],SiteDB6[[Site Name]:[Ethnic or GCA/NGCA]],11,FALSE)</f>
        <v>Rakhine</v>
      </c>
      <c r="BT246" s="559">
        <f>VLOOKUP(WWWW[[#This Row],[Village  Name]],SiteDB6[[Site Name]:[Lat]],12,FALSE)</f>
        <v>0</v>
      </c>
      <c r="BU246" s="559">
        <f>VLOOKUP(WWWW[[#This Row],[Village  Name]],SiteDB6[[Site Name]:[Long]],13,FALSE)</f>
        <v>0</v>
      </c>
      <c r="BV246" s="559">
        <f>VLOOKUP(WWWW[[#This Row],[Village  Name]],SiteDB6[[Site Name]:[Pcode]],3,FALSE)</f>
        <v>198667</v>
      </c>
      <c r="BW246" s="559" t="str">
        <f t="shared" si="9"/>
        <v>Covered</v>
      </c>
      <c r="BX246" s="587"/>
    </row>
    <row r="247" spans="1:76">
      <c r="A247" s="612" t="s">
        <v>2381</v>
      </c>
      <c r="B247" s="612" t="s">
        <v>336</v>
      </c>
      <c r="C247" s="457" t="s">
        <v>336</v>
      </c>
      <c r="D247" s="457" t="s">
        <v>329</v>
      </c>
      <c r="E247" s="551" t="s">
        <v>2687</v>
      </c>
      <c r="F247" s="457" t="s">
        <v>404</v>
      </c>
      <c r="G247" s="551" t="str">
        <f>VLOOKUP(WWWW[[#This Row],[Village  Name]],SiteDB6[[Site Name]:[Location Type]],8,FALSE)</f>
        <v>Village</v>
      </c>
      <c r="H247" s="457" t="s">
        <v>2592</v>
      </c>
      <c r="I247" s="611">
        <v>74</v>
      </c>
      <c r="J247" s="611">
        <v>427</v>
      </c>
      <c r="K247" s="461"/>
      <c r="L247" s="55">
        <v>44439</v>
      </c>
      <c r="M247" s="611">
        <v>81</v>
      </c>
      <c r="N247" s="611"/>
      <c r="O247" s="611"/>
      <c r="P247" s="611"/>
      <c r="Q247" s="611">
        <v>1</v>
      </c>
      <c r="R247" s="611"/>
      <c r="S247" s="611"/>
      <c r="T247" s="643"/>
      <c r="U247" s="611"/>
      <c r="V247" s="611" t="s">
        <v>128</v>
      </c>
      <c r="W247" s="611">
        <v>1</v>
      </c>
      <c r="X247" s="611"/>
      <c r="Y247" s="611"/>
      <c r="Z247" s="611"/>
      <c r="AA247" s="611"/>
      <c r="AB247" s="643"/>
      <c r="AC247" s="611"/>
      <c r="AD247" s="611"/>
      <c r="AE247" s="611"/>
      <c r="AF247" s="611"/>
      <c r="AG247" s="611"/>
      <c r="AH247" s="611"/>
      <c r="AI247" s="611"/>
      <c r="AJ247" s="611"/>
      <c r="AK247" s="611"/>
      <c r="AL247" s="611"/>
      <c r="AM247" s="643"/>
      <c r="AN247" s="611"/>
      <c r="AO247" s="611"/>
      <c r="AP24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7" s="565">
        <f>WWWW[[#This Row],[%Equitable and continuous access to sufficient quantity of safe drinking water]]*WWWW[[#This Row],[Total PoP ]]</f>
        <v>0</v>
      </c>
      <c r="AR24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47" s="565">
        <f>WWWW[[#This Row],[% Access to unimproved water points]]*WWWW[[#This Row],[Total PoP ]]</f>
        <v>427</v>
      </c>
      <c r="AT24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4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427</v>
      </c>
      <c r="AV247" s="565">
        <f>WWWW[[#This Row],[HRP1]]/250</f>
        <v>1.708</v>
      </c>
      <c r="AW247" s="555">
        <f>1-WWWW[[#This Row],[% Equitable and continuous access to sufficient quantity of domestic water]]</f>
        <v>0</v>
      </c>
      <c r="AX247" s="565">
        <f>WWWW[[#This Row],[%equitable and continuous access to sufficient quantity of safe drinking and domestic water''s GAP]]*WWWW[[#This Row],[Total PoP ]]</f>
        <v>0</v>
      </c>
      <c r="AY247" s="557">
        <f>IF(WWWW[[#This Row],[Total required water points]]-WWWW[[#This Row],['#Water points coverage]]&lt;0,0,WWWW[[#This Row],[Total required water points]]-WWWW[[#This Row],['#Water points coverage]])</f>
        <v>0.29200000000000004</v>
      </c>
      <c r="AZ247" s="557">
        <f>ROUND(IF(WWWW[[#This Row],[Total PoP ]]&lt;250,1,WWWW[[#This Row],[Total PoP ]]/250),0)</f>
        <v>2</v>
      </c>
      <c r="BA247"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0.117096018735363</v>
      </c>
      <c r="BB247" s="565">
        <f>WWWW[[#This Row],[% people access to functioning Latrine]]*WWWW[[#This Row],[Total PoP ]]</f>
        <v>50</v>
      </c>
      <c r="BC247" s="557">
        <f>WWWW[[#This Row],['#_of_Functioning_latrines_in_school]]*50</f>
        <v>50</v>
      </c>
      <c r="BD247" s="557">
        <f>ROUND((WWWW[[#This Row],[Total PoP ]]/6),0)</f>
        <v>71</v>
      </c>
      <c r="BE247" s="557">
        <f>IF(WWWW[[#This Row],[Total required Latrines]]-(WWWW[[#This Row],['#_of_sanitary_fly-proof_HH_latrines]])&lt;0,0,WWWW[[#This Row],[Total required Latrines]]-(WWWW[[#This Row],['#_of_sanitary_fly-proof_HH_latrines]]))</f>
        <v>71</v>
      </c>
      <c r="BF247" s="558">
        <f>1-WWWW[[#This Row],[% people access to functioning Latrine]]</f>
        <v>0.88290398126463698</v>
      </c>
      <c r="BG24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47" s="565">
        <f>IF(WWWW[[#This Row],['#_of_functional_handwashing_facilities_at_HH_level]]*6&gt;WWWW[[#This Row],[Total PoP ]],WWWW[[#This Row],[Total PoP ]],WWWW[[#This Row],['#_of_functional_handwashing_facilities_at_HH_level]]*6)</f>
        <v>0</v>
      </c>
      <c r="BI247" s="557">
        <f>IF(WWWW[[#This Row],['# people reached by regular dedicated hygiene promotion]]&gt;WWWW[[#This Row],['# People received regular supply of hygiene items]],WWWW[[#This Row],['# people reached by regular dedicated hygiene promotion]],WWWW[[#This Row],['# People received regular supply of hygiene items]])</f>
        <v>0</v>
      </c>
      <c r="BJ247" s="555">
        <f>IF(WWWW[[#This Row],[HRP3]]/WWWW[[#This Row],[Total PoP ]]&gt;100%,100%,WWWW[[#This Row],[HRP3]]/WWWW[[#This Row],[Total PoP ]])</f>
        <v>0</v>
      </c>
      <c r="BK247" s="558">
        <f>1-WWWW[[#This Row],[Hygiene Coverage%]]</f>
        <v>1</v>
      </c>
      <c r="BL247" s="556">
        <f>WWWW[[#This Row],['# people reached by regular dedicated hygiene promotion]]/WWWW[[#This Row],[Total PoP ]]</f>
        <v>0</v>
      </c>
      <c r="BM24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47" s="557">
        <f>WWWW[[#This Row],['#_of_affected_women_and_girls_receiving_a_sufficient_quantity_of_sanitary_pads]]</f>
        <v>0</v>
      </c>
      <c r="BO247" s="611">
        <f>IF(WWWW[[#This Row],['# People with access to soap]]&gt;WWWW[[#This Row],['# People with access to Sanity Pads]],WWWW[[#This Row],['# People with access to soap]],WWWW[[#This Row],['# People with access to Sanity Pads]])</f>
        <v>0</v>
      </c>
      <c r="BP247" s="565" t="str">
        <f>IF(OR(WWWW[[#This Row],['#of students in school]]="",WWWW[[#This Row],['#of students in school]]=0),"No","Yes")</f>
        <v>Yes</v>
      </c>
      <c r="BQ247" s="559" t="str">
        <f>VLOOKUP(WWWW[[#This Row],[Village  Name]],SiteDB6[[Site Name]:[Location Type 1]],9,FALSE)</f>
        <v>Village</v>
      </c>
      <c r="BR247" s="559" t="str">
        <f>VLOOKUP(WWWW[[#This Row],[Village  Name]],SiteDB6[[Site Name]:[Type of Accommodation]],10,FALSE)</f>
        <v>Village</v>
      </c>
      <c r="BS247" s="559" t="str">
        <f>VLOOKUP(WWWW[[#This Row],[Village  Name]],SiteDB6[[Site Name]:[Ethnic or GCA/NGCA]],11,FALSE)</f>
        <v>Rakhine</v>
      </c>
      <c r="BT247" s="559">
        <f>VLOOKUP(WWWW[[#This Row],[Village  Name]],SiteDB6[[Site Name]:[Lat]],12,FALSE)</f>
        <v>0</v>
      </c>
      <c r="BU247" s="559">
        <f>VLOOKUP(WWWW[[#This Row],[Village  Name]],SiteDB6[[Site Name]:[Long]],13,FALSE)</f>
        <v>0</v>
      </c>
      <c r="BV247" s="559">
        <f>VLOOKUP(WWWW[[#This Row],[Village  Name]],SiteDB6[[Site Name]:[Pcode]],3,FALSE)</f>
        <v>197461</v>
      </c>
      <c r="BW247" s="559" t="str">
        <f t="shared" si="9"/>
        <v>Covered</v>
      </c>
      <c r="BX247" s="587"/>
    </row>
    <row r="248" spans="1:76">
      <c r="A248" s="612" t="s">
        <v>2381</v>
      </c>
      <c r="B248" s="612" t="s">
        <v>336</v>
      </c>
      <c r="C248" s="457" t="s">
        <v>336</v>
      </c>
      <c r="D248" s="457" t="s">
        <v>329</v>
      </c>
      <c r="E248" s="551" t="s">
        <v>2687</v>
      </c>
      <c r="F248" s="457" t="s">
        <v>404</v>
      </c>
      <c r="G248" s="551" t="str">
        <f>VLOOKUP(WWWW[[#This Row],[Village  Name]],SiteDB6[[Site Name]:[Location Type]],8,FALSE)</f>
        <v>Village</v>
      </c>
      <c r="H248" s="457" t="s">
        <v>2584</v>
      </c>
      <c r="I248" s="611">
        <v>211</v>
      </c>
      <c r="J248" s="611">
        <v>1006</v>
      </c>
      <c r="K248" s="461"/>
      <c r="L248" s="55">
        <v>44439</v>
      </c>
      <c r="M248" s="611">
        <v>143</v>
      </c>
      <c r="N248" s="611"/>
      <c r="O248" s="611"/>
      <c r="P248" s="611"/>
      <c r="Q248" s="611">
        <v>1</v>
      </c>
      <c r="R248" s="611"/>
      <c r="S248" s="611"/>
      <c r="T248" s="643"/>
      <c r="U248" s="611"/>
      <c r="V248" s="611" t="s">
        <v>128</v>
      </c>
      <c r="W248" s="611">
        <v>2</v>
      </c>
      <c r="X248" s="611"/>
      <c r="Y248" s="611"/>
      <c r="Z248" s="611"/>
      <c r="AA248" s="611"/>
      <c r="AB248" s="643"/>
      <c r="AC248" s="611"/>
      <c r="AD248" s="611"/>
      <c r="AE248" s="611"/>
      <c r="AF248" s="611"/>
      <c r="AG248" s="611"/>
      <c r="AH248" s="611"/>
      <c r="AI248" s="611"/>
      <c r="AJ248" s="611"/>
      <c r="AK248" s="611"/>
      <c r="AL248" s="611"/>
      <c r="AM248" s="643"/>
      <c r="AN248" s="611"/>
      <c r="AO248" s="611"/>
      <c r="AP24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8" s="565">
        <f>WWWW[[#This Row],[%Equitable and continuous access to sufficient quantity of safe drinking water]]*WWWW[[#This Row],[Total PoP ]]</f>
        <v>0</v>
      </c>
      <c r="AR24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48" s="565">
        <f>WWWW[[#This Row],[% Access to unimproved water points]]*WWWW[[#This Row],[Total PoP ]]</f>
        <v>1006</v>
      </c>
      <c r="AT24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4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1006</v>
      </c>
      <c r="AV248" s="565">
        <f>WWWW[[#This Row],[HRP1]]/250</f>
        <v>4.024</v>
      </c>
      <c r="AW248" s="555">
        <f>1-WWWW[[#This Row],[% Equitable and continuous access to sufficient quantity of domestic water]]</f>
        <v>0</v>
      </c>
      <c r="AX248" s="565">
        <f>WWWW[[#This Row],[%equitable and continuous access to sufficient quantity of safe drinking and domestic water''s GAP]]*WWWW[[#This Row],[Total PoP ]]</f>
        <v>0</v>
      </c>
      <c r="AY248" s="557">
        <f>IF(WWWW[[#This Row],[Total required water points]]-WWWW[[#This Row],['#Water points coverage]]&lt;0,0,WWWW[[#This Row],[Total required water points]]-WWWW[[#This Row],['#Water points coverage]])</f>
        <v>0</v>
      </c>
      <c r="AZ248" s="557">
        <f>ROUND(IF(WWWW[[#This Row],[Total PoP ]]&lt;250,1,WWWW[[#This Row],[Total PoP ]]/250),0)</f>
        <v>4</v>
      </c>
      <c r="BA248"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9.9403578528827044E-2</v>
      </c>
      <c r="BB248" s="565">
        <f>WWWW[[#This Row],[% people access to functioning Latrine]]*WWWW[[#This Row],[Total PoP ]]</f>
        <v>100</v>
      </c>
      <c r="BC248" s="557">
        <f>WWWW[[#This Row],['#_of_Functioning_latrines_in_school]]*50</f>
        <v>100</v>
      </c>
      <c r="BD248" s="557">
        <f>ROUND((WWWW[[#This Row],[Total PoP ]]/6),0)</f>
        <v>168</v>
      </c>
      <c r="BE248" s="557">
        <f>IF(WWWW[[#This Row],[Total required Latrines]]-(WWWW[[#This Row],['#_of_sanitary_fly-proof_HH_latrines]])&lt;0,0,WWWW[[#This Row],[Total required Latrines]]-(WWWW[[#This Row],['#_of_sanitary_fly-proof_HH_latrines]]))</f>
        <v>168</v>
      </c>
      <c r="BF248" s="558">
        <f>1-WWWW[[#This Row],[% people access to functioning Latrine]]</f>
        <v>0.90059642147117291</v>
      </c>
      <c r="BG24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48" s="565">
        <f>IF(WWWW[[#This Row],['#_of_functional_handwashing_facilities_at_HH_level]]*6&gt;WWWW[[#This Row],[Total PoP ]],WWWW[[#This Row],[Total PoP ]],WWWW[[#This Row],['#_of_functional_handwashing_facilities_at_HH_level]]*6)</f>
        <v>0</v>
      </c>
      <c r="BI248" s="557">
        <f>IF(WWWW[[#This Row],['# people reached by regular dedicated hygiene promotion]]&gt;WWWW[[#This Row],['# People received regular supply of hygiene items]],WWWW[[#This Row],['# people reached by regular dedicated hygiene promotion]],WWWW[[#This Row],['# People received regular supply of hygiene items]])</f>
        <v>0</v>
      </c>
      <c r="BJ248" s="555">
        <f>IF(WWWW[[#This Row],[HRP3]]/WWWW[[#This Row],[Total PoP ]]&gt;100%,100%,WWWW[[#This Row],[HRP3]]/WWWW[[#This Row],[Total PoP ]])</f>
        <v>0</v>
      </c>
      <c r="BK248" s="558">
        <f>1-WWWW[[#This Row],[Hygiene Coverage%]]</f>
        <v>1</v>
      </c>
      <c r="BL248" s="556">
        <f>WWWW[[#This Row],['# people reached by regular dedicated hygiene promotion]]/WWWW[[#This Row],[Total PoP ]]</f>
        <v>0</v>
      </c>
      <c r="BM24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48" s="557">
        <f>WWWW[[#This Row],['#_of_affected_women_and_girls_receiving_a_sufficient_quantity_of_sanitary_pads]]</f>
        <v>0</v>
      </c>
      <c r="BO248" s="611">
        <f>IF(WWWW[[#This Row],['# People with access to soap]]&gt;WWWW[[#This Row],['# People with access to Sanity Pads]],WWWW[[#This Row],['# People with access to soap]],WWWW[[#This Row],['# People with access to Sanity Pads]])</f>
        <v>0</v>
      </c>
      <c r="BP248" s="565" t="str">
        <f>IF(OR(WWWW[[#This Row],['#of students in school]]="",WWWW[[#This Row],['#of students in school]]=0),"No","Yes")</f>
        <v>Yes</v>
      </c>
      <c r="BQ248" s="559" t="str">
        <f>VLOOKUP(WWWW[[#This Row],[Village  Name]],SiteDB6[[Site Name]:[Location Type 1]],9,FALSE)</f>
        <v>Village</v>
      </c>
      <c r="BR248" s="559" t="str">
        <f>VLOOKUP(WWWW[[#This Row],[Village  Name]],SiteDB6[[Site Name]:[Type of Accommodation]],10,FALSE)</f>
        <v>Village</v>
      </c>
      <c r="BS248" s="559" t="str">
        <f>VLOOKUP(WWWW[[#This Row],[Village  Name]],SiteDB6[[Site Name]:[Ethnic or GCA/NGCA]],11,FALSE)</f>
        <v>Rakhine</v>
      </c>
      <c r="BT248" s="559">
        <f>VLOOKUP(WWWW[[#This Row],[Village  Name]],SiteDB6[[Site Name]:[Lat]],12,FALSE)</f>
        <v>0</v>
      </c>
      <c r="BU248" s="559">
        <f>VLOOKUP(WWWW[[#This Row],[Village  Name]],SiteDB6[[Site Name]:[Long]],13,FALSE)</f>
        <v>0</v>
      </c>
      <c r="BV248" s="559">
        <f>VLOOKUP(WWWW[[#This Row],[Village  Name]],SiteDB6[[Site Name]:[Pcode]],3,FALSE)</f>
        <v>197441</v>
      </c>
      <c r="BW248" s="559" t="str">
        <f t="shared" si="9"/>
        <v>Covered</v>
      </c>
      <c r="BX248" s="587"/>
    </row>
    <row r="249" spans="1:76">
      <c r="A249" s="612" t="s">
        <v>2381</v>
      </c>
      <c r="B249" s="612" t="s">
        <v>336</v>
      </c>
      <c r="C249" s="457" t="s">
        <v>336</v>
      </c>
      <c r="D249" s="457" t="s">
        <v>329</v>
      </c>
      <c r="E249" s="551" t="s">
        <v>2687</v>
      </c>
      <c r="F249" s="457" t="s">
        <v>404</v>
      </c>
      <c r="G249" s="551" t="str">
        <f>VLOOKUP(WWWW[[#This Row],[Village  Name]],SiteDB6[[Site Name]:[Location Type]],8,FALSE)</f>
        <v>Village</v>
      </c>
      <c r="H249" s="457" t="s">
        <v>2583</v>
      </c>
      <c r="I249" s="611">
        <v>169</v>
      </c>
      <c r="J249" s="611">
        <v>776</v>
      </c>
      <c r="K249" s="461"/>
      <c r="L249" s="55">
        <v>44439</v>
      </c>
      <c r="M249" s="611">
        <v>114</v>
      </c>
      <c r="N249" s="611"/>
      <c r="O249" s="611"/>
      <c r="P249" s="611"/>
      <c r="Q249" s="611">
        <v>1</v>
      </c>
      <c r="R249" s="611"/>
      <c r="S249" s="611"/>
      <c r="T249" s="643"/>
      <c r="U249" s="611"/>
      <c r="V249" s="611" t="s">
        <v>128</v>
      </c>
      <c r="W249" s="611">
        <v>2</v>
      </c>
      <c r="X249" s="611"/>
      <c r="Y249" s="611"/>
      <c r="Z249" s="611"/>
      <c r="AA249" s="611"/>
      <c r="AB249" s="643"/>
      <c r="AC249" s="611"/>
      <c r="AD249" s="611"/>
      <c r="AE249" s="611"/>
      <c r="AF249" s="611"/>
      <c r="AG249" s="611"/>
      <c r="AH249" s="611"/>
      <c r="AI249" s="611"/>
      <c r="AJ249" s="611"/>
      <c r="AK249" s="611"/>
      <c r="AL249" s="611"/>
      <c r="AM249" s="643"/>
      <c r="AN249" s="611"/>
      <c r="AO249" s="611"/>
      <c r="AP24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49" s="565">
        <f>WWWW[[#This Row],[%Equitable and continuous access to sufficient quantity of safe drinking water]]*WWWW[[#This Row],[Total PoP ]]</f>
        <v>0</v>
      </c>
      <c r="AR24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49" s="565">
        <f>WWWW[[#This Row],[% Access to unimproved water points]]*WWWW[[#This Row],[Total PoP ]]</f>
        <v>776</v>
      </c>
      <c r="AT24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4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776</v>
      </c>
      <c r="AV249" s="565">
        <f>WWWW[[#This Row],[HRP1]]/250</f>
        <v>3.1040000000000001</v>
      </c>
      <c r="AW249" s="555">
        <f>1-WWWW[[#This Row],[% Equitable and continuous access to sufficient quantity of domestic water]]</f>
        <v>0</v>
      </c>
      <c r="AX249" s="565">
        <f>WWWW[[#This Row],[%equitable and continuous access to sufficient quantity of safe drinking and domestic water''s GAP]]*WWWW[[#This Row],[Total PoP ]]</f>
        <v>0</v>
      </c>
      <c r="AY249" s="557">
        <f>IF(WWWW[[#This Row],[Total required water points]]-WWWW[[#This Row],['#Water points coverage]]&lt;0,0,WWWW[[#This Row],[Total required water points]]-WWWW[[#This Row],['#Water points coverage]])</f>
        <v>0</v>
      </c>
      <c r="AZ249" s="557">
        <f>ROUND(IF(WWWW[[#This Row],[Total PoP ]]&lt;250,1,WWWW[[#This Row],[Total PoP ]]/250),0)</f>
        <v>3</v>
      </c>
      <c r="BA249"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0.12886597938144329</v>
      </c>
      <c r="BB249" s="565">
        <f>WWWW[[#This Row],[% people access to functioning Latrine]]*WWWW[[#This Row],[Total PoP ]]</f>
        <v>99.999999999999986</v>
      </c>
      <c r="BC249" s="557">
        <f>WWWW[[#This Row],['#_of_Functioning_latrines_in_school]]*50</f>
        <v>100</v>
      </c>
      <c r="BD249" s="557">
        <f>ROUND((WWWW[[#This Row],[Total PoP ]]/6),0)</f>
        <v>129</v>
      </c>
      <c r="BE249" s="557">
        <f>IF(WWWW[[#This Row],[Total required Latrines]]-(WWWW[[#This Row],['#_of_sanitary_fly-proof_HH_latrines]])&lt;0,0,WWWW[[#This Row],[Total required Latrines]]-(WWWW[[#This Row],['#_of_sanitary_fly-proof_HH_latrines]]))</f>
        <v>129</v>
      </c>
      <c r="BF249" s="558">
        <f>1-WWWW[[#This Row],[% people access to functioning Latrine]]</f>
        <v>0.87113402061855671</v>
      </c>
      <c r="BG24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49" s="565">
        <f>IF(WWWW[[#This Row],['#_of_functional_handwashing_facilities_at_HH_level]]*6&gt;WWWW[[#This Row],[Total PoP ]],WWWW[[#This Row],[Total PoP ]],WWWW[[#This Row],['#_of_functional_handwashing_facilities_at_HH_level]]*6)</f>
        <v>0</v>
      </c>
      <c r="BI249" s="557">
        <f>IF(WWWW[[#This Row],['# people reached by regular dedicated hygiene promotion]]&gt;WWWW[[#This Row],['# People received regular supply of hygiene items]],WWWW[[#This Row],['# people reached by regular dedicated hygiene promotion]],WWWW[[#This Row],['# People received regular supply of hygiene items]])</f>
        <v>0</v>
      </c>
      <c r="BJ249" s="555">
        <f>IF(WWWW[[#This Row],[HRP3]]/WWWW[[#This Row],[Total PoP ]]&gt;100%,100%,WWWW[[#This Row],[HRP3]]/WWWW[[#This Row],[Total PoP ]])</f>
        <v>0</v>
      </c>
      <c r="BK249" s="558">
        <f>1-WWWW[[#This Row],[Hygiene Coverage%]]</f>
        <v>1</v>
      </c>
      <c r="BL249" s="556">
        <f>WWWW[[#This Row],['# people reached by regular dedicated hygiene promotion]]/WWWW[[#This Row],[Total PoP ]]</f>
        <v>0</v>
      </c>
      <c r="BM24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49" s="557">
        <f>WWWW[[#This Row],['#_of_affected_women_and_girls_receiving_a_sufficient_quantity_of_sanitary_pads]]</f>
        <v>0</v>
      </c>
      <c r="BO249" s="611">
        <f>IF(WWWW[[#This Row],['# People with access to soap]]&gt;WWWW[[#This Row],['# People with access to Sanity Pads]],WWWW[[#This Row],['# People with access to soap]],WWWW[[#This Row],['# People with access to Sanity Pads]])</f>
        <v>0</v>
      </c>
      <c r="BP249" s="565" t="str">
        <f>IF(OR(WWWW[[#This Row],['#of students in school]]="",WWWW[[#This Row],['#of students in school]]=0),"No","Yes")</f>
        <v>Yes</v>
      </c>
      <c r="BQ249" s="559" t="str">
        <f>VLOOKUP(WWWW[[#This Row],[Village  Name]],SiteDB6[[Site Name]:[Location Type 1]],9,FALSE)</f>
        <v>Village</v>
      </c>
      <c r="BR249" s="559" t="str">
        <f>VLOOKUP(WWWW[[#This Row],[Village  Name]],SiteDB6[[Site Name]:[Type of Accommodation]],10,FALSE)</f>
        <v>Village</v>
      </c>
      <c r="BS249" s="559" t="str">
        <f>VLOOKUP(WWWW[[#This Row],[Village  Name]],SiteDB6[[Site Name]:[Ethnic or GCA/NGCA]],11,FALSE)</f>
        <v>Rakhine</v>
      </c>
      <c r="BT249" s="559">
        <f>VLOOKUP(WWWW[[#This Row],[Village  Name]],SiteDB6[[Site Name]:[Lat]],12,FALSE)</f>
        <v>0</v>
      </c>
      <c r="BU249" s="559">
        <f>VLOOKUP(WWWW[[#This Row],[Village  Name]],SiteDB6[[Site Name]:[Long]],13,FALSE)</f>
        <v>0</v>
      </c>
      <c r="BV249" s="559">
        <f>VLOOKUP(WWWW[[#This Row],[Village  Name]],SiteDB6[[Site Name]:[Pcode]],3,FALSE)</f>
        <v>197450</v>
      </c>
      <c r="BW249" s="559" t="str">
        <f t="shared" si="9"/>
        <v>Covered</v>
      </c>
      <c r="BX249" s="587"/>
    </row>
    <row r="250" spans="1:76">
      <c r="A250" s="612" t="s">
        <v>2381</v>
      </c>
      <c r="B250" s="612" t="s">
        <v>336</v>
      </c>
      <c r="C250" s="457" t="s">
        <v>336</v>
      </c>
      <c r="D250" s="457" t="s">
        <v>329</v>
      </c>
      <c r="E250" s="551" t="s">
        <v>2687</v>
      </c>
      <c r="F250" s="457" t="s">
        <v>404</v>
      </c>
      <c r="G250" s="551" t="str">
        <f>VLOOKUP(WWWW[[#This Row],[Village  Name]],SiteDB6[[Site Name]:[Location Type]],8,FALSE)</f>
        <v>Village</v>
      </c>
      <c r="H250" s="457" t="s">
        <v>2593</v>
      </c>
      <c r="I250" s="611">
        <v>50</v>
      </c>
      <c r="J250" s="611">
        <v>265</v>
      </c>
      <c r="K250" s="461"/>
      <c r="L250" s="55">
        <v>44439</v>
      </c>
      <c r="M250" s="611">
        <v>0</v>
      </c>
      <c r="N250" s="611"/>
      <c r="O250" s="611"/>
      <c r="P250" s="611"/>
      <c r="Q250" s="611">
        <v>1</v>
      </c>
      <c r="R250" s="611"/>
      <c r="S250" s="611"/>
      <c r="T250" s="643"/>
      <c r="U250" s="611"/>
      <c r="V250" s="611" t="s">
        <v>132</v>
      </c>
      <c r="W250" s="611"/>
      <c r="X250" s="611"/>
      <c r="Y250" s="611"/>
      <c r="Z250" s="611"/>
      <c r="AA250" s="611"/>
      <c r="AB250" s="643"/>
      <c r="AC250" s="611"/>
      <c r="AD250" s="611"/>
      <c r="AE250" s="611"/>
      <c r="AF250" s="611"/>
      <c r="AG250" s="611"/>
      <c r="AH250" s="611"/>
      <c r="AI250" s="611"/>
      <c r="AJ250" s="611"/>
      <c r="AK250" s="611"/>
      <c r="AL250" s="611"/>
      <c r="AM250" s="643"/>
      <c r="AN250" s="611"/>
      <c r="AO250" s="611"/>
      <c r="AP25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0" s="565">
        <f>WWWW[[#This Row],[%Equitable and continuous access to sufficient quantity of safe drinking water]]*WWWW[[#This Row],[Total PoP ]]</f>
        <v>0</v>
      </c>
      <c r="AR25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50" s="565">
        <f>WWWW[[#This Row],[% Access to unimproved water points]]*WWWW[[#This Row],[Total PoP ]]</f>
        <v>265</v>
      </c>
      <c r="AT25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5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v>
      </c>
      <c r="AV250" s="565">
        <f>WWWW[[#This Row],[HRP1]]/250</f>
        <v>1.06</v>
      </c>
      <c r="AW250" s="555">
        <f>1-WWWW[[#This Row],[% Equitable and continuous access to sufficient quantity of domestic water]]</f>
        <v>0</v>
      </c>
      <c r="AX250" s="565">
        <f>WWWW[[#This Row],[%equitable and continuous access to sufficient quantity of safe drinking and domestic water''s GAP]]*WWWW[[#This Row],[Total PoP ]]</f>
        <v>0</v>
      </c>
      <c r="AY250" s="557">
        <f>IF(WWWW[[#This Row],[Total required water points]]-WWWW[[#This Row],['#Water points coverage]]&lt;0,0,WWWW[[#This Row],[Total required water points]]-WWWW[[#This Row],['#Water points coverage]])</f>
        <v>0</v>
      </c>
      <c r="AZ250" s="557">
        <f>ROUND(IF(WWWW[[#This Row],[Total PoP ]]&lt;250,1,WWWW[[#This Row],[Total PoP ]]/250),0)</f>
        <v>1</v>
      </c>
      <c r="BA25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50" s="565">
        <f>WWWW[[#This Row],[% people access to functioning Latrine]]*WWWW[[#This Row],[Total PoP ]]</f>
        <v>0</v>
      </c>
      <c r="BC250" s="557">
        <f>WWWW[[#This Row],['#_of_Functioning_latrines_in_school]]*50</f>
        <v>0</v>
      </c>
      <c r="BD250" s="557">
        <f>ROUND((WWWW[[#This Row],[Total PoP ]]/6),0)</f>
        <v>44</v>
      </c>
      <c r="BE250" s="557">
        <f>IF(WWWW[[#This Row],[Total required Latrines]]-(WWWW[[#This Row],['#_of_sanitary_fly-proof_HH_latrines]])&lt;0,0,WWWW[[#This Row],[Total required Latrines]]-(WWWW[[#This Row],['#_of_sanitary_fly-proof_HH_latrines]]))</f>
        <v>44</v>
      </c>
      <c r="BF250" s="558">
        <f>1-WWWW[[#This Row],[% people access to functioning Latrine]]</f>
        <v>1</v>
      </c>
      <c r="BG25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0" s="565">
        <f>IF(WWWW[[#This Row],['#_of_functional_handwashing_facilities_at_HH_level]]*6&gt;WWWW[[#This Row],[Total PoP ]],WWWW[[#This Row],[Total PoP ]],WWWW[[#This Row],['#_of_functional_handwashing_facilities_at_HH_level]]*6)</f>
        <v>0</v>
      </c>
      <c r="BI250" s="557">
        <f>IF(WWWW[[#This Row],['# people reached by regular dedicated hygiene promotion]]&gt;WWWW[[#This Row],['# People received regular supply of hygiene items]],WWWW[[#This Row],['# people reached by regular dedicated hygiene promotion]],WWWW[[#This Row],['# People received regular supply of hygiene items]])</f>
        <v>0</v>
      </c>
      <c r="BJ250" s="555">
        <f>IF(WWWW[[#This Row],[HRP3]]/WWWW[[#This Row],[Total PoP ]]&gt;100%,100%,WWWW[[#This Row],[HRP3]]/WWWW[[#This Row],[Total PoP ]])</f>
        <v>0</v>
      </c>
      <c r="BK250" s="558">
        <f>1-WWWW[[#This Row],[Hygiene Coverage%]]</f>
        <v>1</v>
      </c>
      <c r="BL250" s="556">
        <f>WWWW[[#This Row],['# people reached by regular dedicated hygiene promotion]]/WWWW[[#This Row],[Total PoP ]]</f>
        <v>0</v>
      </c>
      <c r="BM25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0" s="557">
        <f>WWWW[[#This Row],['#_of_affected_women_and_girls_receiving_a_sufficient_quantity_of_sanitary_pads]]</f>
        <v>0</v>
      </c>
      <c r="BO250" s="611">
        <f>IF(WWWW[[#This Row],['# People with access to soap]]&gt;WWWW[[#This Row],['# People with access to Sanity Pads]],WWWW[[#This Row],['# People with access to soap]],WWWW[[#This Row],['# People with access to Sanity Pads]])</f>
        <v>0</v>
      </c>
      <c r="BP250" s="565" t="str">
        <f>IF(OR(WWWW[[#This Row],['#of students in school]]="",WWWW[[#This Row],['#of students in school]]=0),"No","Yes")</f>
        <v>No</v>
      </c>
      <c r="BQ250" s="559" t="str">
        <f>VLOOKUP(WWWW[[#This Row],[Village  Name]],SiteDB6[[Site Name]:[Location Type 1]],9,FALSE)</f>
        <v>Village</v>
      </c>
      <c r="BR250" s="559" t="str">
        <f>VLOOKUP(WWWW[[#This Row],[Village  Name]],SiteDB6[[Site Name]:[Type of Accommodation]],10,FALSE)</f>
        <v>Village</v>
      </c>
      <c r="BS250" s="559" t="str">
        <f>VLOOKUP(WWWW[[#This Row],[Village  Name]],SiteDB6[[Site Name]:[Ethnic or GCA/NGCA]],11,FALSE)</f>
        <v>Rakhine</v>
      </c>
      <c r="BT250" s="559">
        <f>VLOOKUP(WWWW[[#This Row],[Village  Name]],SiteDB6[[Site Name]:[Lat]],12,FALSE)</f>
        <v>0</v>
      </c>
      <c r="BU250" s="559">
        <f>VLOOKUP(WWWW[[#This Row],[Village  Name]],SiteDB6[[Site Name]:[Long]],13,FALSE)</f>
        <v>0</v>
      </c>
      <c r="BV250" s="559">
        <f>VLOOKUP(WWWW[[#This Row],[Village  Name]],SiteDB6[[Site Name]:[Pcode]],3,FALSE)</f>
        <v>197463</v>
      </c>
      <c r="BW250" s="559" t="str">
        <f t="shared" si="9"/>
        <v>Covered</v>
      </c>
      <c r="BX250" s="587"/>
    </row>
    <row r="251" spans="1:76">
      <c r="A251" s="612" t="s">
        <v>2381</v>
      </c>
      <c r="B251" s="612" t="s">
        <v>336</v>
      </c>
      <c r="C251" s="457" t="s">
        <v>336</v>
      </c>
      <c r="D251" s="457" t="s">
        <v>329</v>
      </c>
      <c r="E251" s="551" t="s">
        <v>2687</v>
      </c>
      <c r="F251" s="457" t="s">
        <v>404</v>
      </c>
      <c r="G251" s="551" t="str">
        <f>VLOOKUP(WWWW[[#This Row],[Village  Name]],SiteDB6[[Site Name]:[Location Type]],8,FALSE)</f>
        <v>Village</v>
      </c>
      <c r="H251" s="457" t="s">
        <v>2587</v>
      </c>
      <c r="I251" s="611">
        <v>168</v>
      </c>
      <c r="J251" s="611">
        <v>1614</v>
      </c>
      <c r="K251" s="461"/>
      <c r="L251" s="55">
        <v>44439</v>
      </c>
      <c r="M251" s="611">
        <v>102</v>
      </c>
      <c r="N251" s="611"/>
      <c r="O251" s="611"/>
      <c r="P251" s="611"/>
      <c r="Q251" s="611">
        <v>0</v>
      </c>
      <c r="R251" s="611"/>
      <c r="S251" s="611"/>
      <c r="T251" s="643"/>
      <c r="U251" s="611"/>
      <c r="V251" s="611" t="s">
        <v>128</v>
      </c>
      <c r="W251" s="611">
        <v>1</v>
      </c>
      <c r="X251" s="611"/>
      <c r="Y251" s="611"/>
      <c r="Z251" s="611"/>
      <c r="AA251" s="611"/>
      <c r="AB251" s="643"/>
      <c r="AC251" s="611"/>
      <c r="AD251" s="611"/>
      <c r="AE251" s="611"/>
      <c r="AF251" s="611"/>
      <c r="AG251" s="611"/>
      <c r="AH251" s="611"/>
      <c r="AI251" s="611"/>
      <c r="AJ251" s="611"/>
      <c r="AK251" s="611"/>
      <c r="AL251" s="611"/>
      <c r="AM251" s="643"/>
      <c r="AN251" s="611"/>
      <c r="AO251" s="611"/>
      <c r="AP25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1" s="565">
        <f>WWWW[[#This Row],[%Equitable and continuous access to sufficient quantity of safe drinking water]]*WWWW[[#This Row],[Total PoP ]]</f>
        <v>0</v>
      </c>
      <c r="AR25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51" s="565">
        <f>WWWW[[#This Row],[% Access to unimproved water points]]*WWWW[[#This Row],[Total PoP ]]</f>
        <v>0</v>
      </c>
      <c r="AT25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5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51" s="565">
        <f>WWWW[[#This Row],[HRP1]]/250</f>
        <v>0</v>
      </c>
      <c r="AW251" s="555">
        <f>1-WWWW[[#This Row],[% Equitable and continuous access to sufficient quantity of domestic water]]</f>
        <v>1</v>
      </c>
      <c r="AX251" s="565">
        <f>WWWW[[#This Row],[%equitable and continuous access to sufficient quantity of safe drinking and domestic water''s GAP]]*WWWW[[#This Row],[Total PoP ]]</f>
        <v>1614</v>
      </c>
      <c r="AY251" s="557">
        <f>IF(WWWW[[#This Row],[Total required water points]]-WWWW[[#This Row],['#Water points coverage]]&lt;0,0,WWWW[[#This Row],[Total required water points]]-WWWW[[#This Row],['#Water points coverage]])</f>
        <v>6</v>
      </c>
      <c r="AZ251" s="557">
        <f>ROUND(IF(WWWW[[#This Row],[Total PoP ]]&lt;250,1,WWWW[[#This Row],[Total PoP ]]/250),0)</f>
        <v>6</v>
      </c>
      <c r="BA251"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3.0978934324659233E-2</v>
      </c>
      <c r="BB251" s="565">
        <f>WWWW[[#This Row],[% people access to functioning Latrine]]*WWWW[[#This Row],[Total PoP ]]</f>
        <v>50</v>
      </c>
      <c r="BC251" s="557">
        <f>WWWW[[#This Row],['#_of_Functioning_latrines_in_school]]*50</f>
        <v>50</v>
      </c>
      <c r="BD251" s="557">
        <f>ROUND((WWWW[[#This Row],[Total PoP ]]/6),0)</f>
        <v>269</v>
      </c>
      <c r="BE251" s="557">
        <f>IF(WWWW[[#This Row],[Total required Latrines]]-(WWWW[[#This Row],['#_of_sanitary_fly-proof_HH_latrines]])&lt;0,0,WWWW[[#This Row],[Total required Latrines]]-(WWWW[[#This Row],['#_of_sanitary_fly-proof_HH_latrines]]))</f>
        <v>269</v>
      </c>
      <c r="BF251" s="558">
        <f>1-WWWW[[#This Row],[% people access to functioning Latrine]]</f>
        <v>0.96902106567534074</v>
      </c>
      <c r="BG25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1" s="565">
        <f>IF(WWWW[[#This Row],['#_of_functional_handwashing_facilities_at_HH_level]]*6&gt;WWWW[[#This Row],[Total PoP ]],WWWW[[#This Row],[Total PoP ]],WWWW[[#This Row],['#_of_functional_handwashing_facilities_at_HH_level]]*6)</f>
        <v>0</v>
      </c>
      <c r="BI251" s="557">
        <f>IF(WWWW[[#This Row],['# people reached by regular dedicated hygiene promotion]]&gt;WWWW[[#This Row],['# People received regular supply of hygiene items]],WWWW[[#This Row],['# people reached by regular dedicated hygiene promotion]],WWWW[[#This Row],['# People received regular supply of hygiene items]])</f>
        <v>0</v>
      </c>
      <c r="BJ251" s="555">
        <f>IF(WWWW[[#This Row],[HRP3]]/WWWW[[#This Row],[Total PoP ]]&gt;100%,100%,WWWW[[#This Row],[HRP3]]/WWWW[[#This Row],[Total PoP ]])</f>
        <v>0</v>
      </c>
      <c r="BK251" s="558">
        <f>1-WWWW[[#This Row],[Hygiene Coverage%]]</f>
        <v>1</v>
      </c>
      <c r="BL251" s="556">
        <f>WWWW[[#This Row],['# people reached by regular dedicated hygiene promotion]]/WWWW[[#This Row],[Total PoP ]]</f>
        <v>0</v>
      </c>
      <c r="BM25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1" s="557">
        <f>WWWW[[#This Row],['#_of_affected_women_and_girls_receiving_a_sufficient_quantity_of_sanitary_pads]]</f>
        <v>0</v>
      </c>
      <c r="BO251" s="611">
        <f>IF(WWWW[[#This Row],['# People with access to soap]]&gt;WWWW[[#This Row],['# People with access to Sanity Pads]],WWWW[[#This Row],['# People with access to soap]],WWWW[[#This Row],['# People with access to Sanity Pads]])</f>
        <v>0</v>
      </c>
      <c r="BP251" s="565" t="str">
        <f>IF(OR(WWWW[[#This Row],['#of students in school]]="",WWWW[[#This Row],['#of students in school]]=0),"No","Yes")</f>
        <v>Yes</v>
      </c>
      <c r="BQ251" s="559" t="str">
        <f>VLOOKUP(WWWW[[#This Row],[Village  Name]],SiteDB6[[Site Name]:[Location Type 1]],9,FALSE)</f>
        <v>Village</v>
      </c>
      <c r="BR251" s="559" t="str">
        <f>VLOOKUP(WWWW[[#This Row],[Village  Name]],SiteDB6[[Site Name]:[Type of Accommodation]],10,FALSE)</f>
        <v>Village</v>
      </c>
      <c r="BS251" s="559" t="str">
        <f>VLOOKUP(WWWW[[#This Row],[Village  Name]],SiteDB6[[Site Name]:[Ethnic or GCA/NGCA]],11,FALSE)</f>
        <v>Rakhine</v>
      </c>
      <c r="BT251" s="559">
        <f>VLOOKUP(WWWW[[#This Row],[Village  Name]],SiteDB6[[Site Name]:[Lat]],12,FALSE)</f>
        <v>0</v>
      </c>
      <c r="BU251" s="559">
        <f>VLOOKUP(WWWW[[#This Row],[Village  Name]],SiteDB6[[Site Name]:[Long]],13,FALSE)</f>
        <v>0</v>
      </c>
      <c r="BV251" s="559">
        <f>VLOOKUP(WWWW[[#This Row],[Village  Name]],SiteDB6[[Site Name]:[Pcode]],3,FALSE)</f>
        <v>197404</v>
      </c>
      <c r="BW251" s="559" t="str">
        <f t="shared" si="9"/>
        <v>Covered</v>
      </c>
      <c r="BX251" s="587"/>
    </row>
    <row r="252" spans="1:76">
      <c r="A252" s="612" t="s">
        <v>2381</v>
      </c>
      <c r="B252" s="612" t="s">
        <v>336</v>
      </c>
      <c r="C252" s="457" t="s">
        <v>336</v>
      </c>
      <c r="D252" s="457" t="s">
        <v>329</v>
      </c>
      <c r="E252" s="551" t="s">
        <v>2687</v>
      </c>
      <c r="F252" s="457" t="s">
        <v>404</v>
      </c>
      <c r="G252" s="551" t="str">
        <f>VLOOKUP(WWWW[[#This Row],[Village  Name]],SiteDB6[[Site Name]:[Location Type]],8,FALSE)</f>
        <v>Village</v>
      </c>
      <c r="H252" s="457" t="s">
        <v>2591</v>
      </c>
      <c r="I252" s="611">
        <v>370</v>
      </c>
      <c r="J252" s="611">
        <v>1711</v>
      </c>
      <c r="K252" s="461"/>
      <c r="L252" s="55">
        <v>44439</v>
      </c>
      <c r="M252" s="611">
        <v>400</v>
      </c>
      <c r="N252" s="611"/>
      <c r="O252" s="611"/>
      <c r="P252" s="611"/>
      <c r="Q252" s="611">
        <v>0</v>
      </c>
      <c r="R252" s="611"/>
      <c r="S252" s="611"/>
      <c r="T252" s="643"/>
      <c r="U252" s="611"/>
      <c r="V252" s="611" t="s">
        <v>128</v>
      </c>
      <c r="W252" s="611">
        <v>2</v>
      </c>
      <c r="X252" s="611"/>
      <c r="Y252" s="611"/>
      <c r="Z252" s="611"/>
      <c r="AA252" s="611"/>
      <c r="AB252" s="643"/>
      <c r="AC252" s="611"/>
      <c r="AD252" s="611"/>
      <c r="AE252" s="611"/>
      <c r="AF252" s="611"/>
      <c r="AG252" s="611"/>
      <c r="AH252" s="611"/>
      <c r="AI252" s="611"/>
      <c r="AJ252" s="611"/>
      <c r="AK252" s="611"/>
      <c r="AL252" s="611"/>
      <c r="AM252" s="643"/>
      <c r="AN252" s="611"/>
      <c r="AO252" s="611"/>
      <c r="AP25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2" s="565">
        <f>WWWW[[#This Row],[%Equitable and continuous access to sufficient quantity of safe drinking water]]*WWWW[[#This Row],[Total PoP ]]</f>
        <v>0</v>
      </c>
      <c r="AR25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52" s="565">
        <f>WWWW[[#This Row],[% Access to unimproved water points]]*WWWW[[#This Row],[Total PoP ]]</f>
        <v>0</v>
      </c>
      <c r="AT25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5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52" s="565">
        <f>WWWW[[#This Row],[HRP1]]/250</f>
        <v>0</v>
      </c>
      <c r="AW252" s="555">
        <f>1-WWWW[[#This Row],[% Equitable and continuous access to sufficient quantity of domestic water]]</f>
        <v>1</v>
      </c>
      <c r="AX252" s="565">
        <f>WWWW[[#This Row],[%equitable and continuous access to sufficient quantity of safe drinking and domestic water''s GAP]]*WWWW[[#This Row],[Total PoP ]]</f>
        <v>1711</v>
      </c>
      <c r="AY252" s="557">
        <f>IF(WWWW[[#This Row],[Total required water points]]-WWWW[[#This Row],['#Water points coverage]]&lt;0,0,WWWW[[#This Row],[Total required water points]]-WWWW[[#This Row],['#Water points coverage]])</f>
        <v>7</v>
      </c>
      <c r="AZ252" s="557">
        <f>ROUND(IF(WWWW[[#This Row],[Total PoP ]]&lt;250,1,WWWW[[#This Row],[Total PoP ]]/250),0)</f>
        <v>7</v>
      </c>
      <c r="BA252"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5.8445353594389245E-2</v>
      </c>
      <c r="BB252" s="565">
        <f>WWWW[[#This Row],[% people access to functioning Latrine]]*WWWW[[#This Row],[Total PoP ]]</f>
        <v>100</v>
      </c>
      <c r="BC252" s="557">
        <f>WWWW[[#This Row],['#_of_Functioning_latrines_in_school]]*50</f>
        <v>100</v>
      </c>
      <c r="BD252" s="557">
        <f>ROUND((WWWW[[#This Row],[Total PoP ]]/6),0)</f>
        <v>285</v>
      </c>
      <c r="BE252" s="557">
        <f>IF(WWWW[[#This Row],[Total required Latrines]]-(WWWW[[#This Row],['#_of_sanitary_fly-proof_HH_latrines]])&lt;0,0,WWWW[[#This Row],[Total required Latrines]]-(WWWW[[#This Row],['#_of_sanitary_fly-proof_HH_latrines]]))</f>
        <v>285</v>
      </c>
      <c r="BF252" s="558">
        <f>1-WWWW[[#This Row],[% people access to functioning Latrine]]</f>
        <v>0.94155464640561071</v>
      </c>
      <c r="BG25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2" s="565">
        <f>IF(WWWW[[#This Row],['#_of_functional_handwashing_facilities_at_HH_level]]*6&gt;WWWW[[#This Row],[Total PoP ]],WWWW[[#This Row],[Total PoP ]],WWWW[[#This Row],['#_of_functional_handwashing_facilities_at_HH_level]]*6)</f>
        <v>0</v>
      </c>
      <c r="BI252" s="557">
        <f>IF(WWWW[[#This Row],['# people reached by regular dedicated hygiene promotion]]&gt;WWWW[[#This Row],['# People received regular supply of hygiene items]],WWWW[[#This Row],['# people reached by regular dedicated hygiene promotion]],WWWW[[#This Row],['# People received regular supply of hygiene items]])</f>
        <v>0</v>
      </c>
      <c r="BJ252" s="555">
        <f>IF(WWWW[[#This Row],[HRP3]]/WWWW[[#This Row],[Total PoP ]]&gt;100%,100%,WWWW[[#This Row],[HRP3]]/WWWW[[#This Row],[Total PoP ]])</f>
        <v>0</v>
      </c>
      <c r="BK252" s="558">
        <f>1-WWWW[[#This Row],[Hygiene Coverage%]]</f>
        <v>1</v>
      </c>
      <c r="BL252" s="556">
        <f>WWWW[[#This Row],['# people reached by regular dedicated hygiene promotion]]/WWWW[[#This Row],[Total PoP ]]</f>
        <v>0</v>
      </c>
      <c r="BM25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2" s="557">
        <f>WWWW[[#This Row],['#_of_affected_women_and_girls_receiving_a_sufficient_quantity_of_sanitary_pads]]</f>
        <v>0</v>
      </c>
      <c r="BO252" s="611">
        <f>IF(WWWW[[#This Row],['# People with access to soap]]&gt;WWWW[[#This Row],['# People with access to Sanity Pads]],WWWW[[#This Row],['# People with access to soap]],WWWW[[#This Row],['# People with access to Sanity Pads]])</f>
        <v>0</v>
      </c>
      <c r="BP252" s="565" t="str">
        <f>IF(OR(WWWW[[#This Row],['#of students in school]]="",WWWW[[#This Row],['#of students in school]]=0),"No","Yes")</f>
        <v>Yes</v>
      </c>
      <c r="BQ252" s="559" t="str">
        <f>VLOOKUP(WWWW[[#This Row],[Village  Name]],SiteDB6[[Site Name]:[Location Type 1]],9,FALSE)</f>
        <v>Village</v>
      </c>
      <c r="BR252" s="559" t="str">
        <f>VLOOKUP(WWWW[[#This Row],[Village  Name]],SiteDB6[[Site Name]:[Type of Accommodation]],10,FALSE)</f>
        <v>Village</v>
      </c>
      <c r="BS252" s="559" t="str">
        <f>VLOOKUP(WWWW[[#This Row],[Village  Name]],SiteDB6[[Site Name]:[Ethnic or GCA/NGCA]],11,FALSE)</f>
        <v>Rakhine</v>
      </c>
      <c r="BT252" s="559">
        <f>VLOOKUP(WWWW[[#This Row],[Village  Name]],SiteDB6[[Site Name]:[Lat]],12,FALSE)</f>
        <v>0</v>
      </c>
      <c r="BU252" s="559">
        <f>VLOOKUP(WWWW[[#This Row],[Village  Name]],SiteDB6[[Site Name]:[Long]],13,FALSE)</f>
        <v>0</v>
      </c>
      <c r="BV252" s="559">
        <f>VLOOKUP(WWWW[[#This Row],[Village  Name]],SiteDB6[[Site Name]:[Pcode]],3,FALSE)</f>
        <v>197464</v>
      </c>
      <c r="BW252" s="559" t="str">
        <f t="shared" si="9"/>
        <v>Covered</v>
      </c>
      <c r="BX252" s="587"/>
    </row>
    <row r="253" spans="1:76">
      <c r="A253" s="612" t="s">
        <v>2381</v>
      </c>
      <c r="B253" s="612" t="s">
        <v>336</v>
      </c>
      <c r="C253" s="457" t="s">
        <v>336</v>
      </c>
      <c r="D253" s="457" t="s">
        <v>329</v>
      </c>
      <c r="E253" s="551" t="s">
        <v>2687</v>
      </c>
      <c r="F253" s="457" t="s">
        <v>404</v>
      </c>
      <c r="G253" s="551" t="str">
        <f>VLOOKUP(WWWW[[#This Row],[Village  Name]],SiteDB6[[Site Name]:[Location Type]],8,FALSE)</f>
        <v>Village</v>
      </c>
      <c r="H253" s="457" t="s">
        <v>2590</v>
      </c>
      <c r="I253" s="611">
        <v>436</v>
      </c>
      <c r="J253" s="611">
        <v>2287</v>
      </c>
      <c r="K253" s="461"/>
      <c r="L253" s="55">
        <v>44439</v>
      </c>
      <c r="M253" s="611">
        <v>495</v>
      </c>
      <c r="N253" s="611"/>
      <c r="O253" s="611"/>
      <c r="P253" s="611"/>
      <c r="Q253" s="611">
        <v>1</v>
      </c>
      <c r="R253" s="611"/>
      <c r="S253" s="611"/>
      <c r="T253" s="643"/>
      <c r="U253" s="611"/>
      <c r="V253" s="611" t="s">
        <v>128</v>
      </c>
      <c r="W253" s="611">
        <v>4</v>
      </c>
      <c r="X253" s="611"/>
      <c r="Y253" s="611"/>
      <c r="Z253" s="611"/>
      <c r="AA253" s="611"/>
      <c r="AB253" s="643"/>
      <c r="AC253" s="611"/>
      <c r="AD253" s="611"/>
      <c r="AE253" s="611"/>
      <c r="AF253" s="611"/>
      <c r="AG253" s="611"/>
      <c r="AH253" s="611"/>
      <c r="AI253" s="611"/>
      <c r="AJ253" s="611"/>
      <c r="AK253" s="611"/>
      <c r="AL253" s="611"/>
      <c r="AM253" s="643"/>
      <c r="AN253" s="611"/>
      <c r="AO253" s="611"/>
      <c r="AP25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3" s="565">
        <f>WWWW[[#This Row],[%Equitable and continuous access to sufficient quantity of safe drinking water]]*WWWW[[#This Row],[Total PoP ]]</f>
        <v>0</v>
      </c>
      <c r="AR25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53" s="565">
        <f>WWWW[[#This Row],[% Access to unimproved water points]]*WWWW[[#This Row],[Total PoP ]]</f>
        <v>2287</v>
      </c>
      <c r="AT25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5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2287</v>
      </c>
      <c r="AV253" s="565">
        <f>WWWW[[#This Row],[HRP1]]/250</f>
        <v>9.1479999999999997</v>
      </c>
      <c r="AW253" s="555">
        <f>1-WWWW[[#This Row],[% Equitable and continuous access to sufficient quantity of domestic water]]</f>
        <v>0</v>
      </c>
      <c r="AX253" s="565">
        <f>WWWW[[#This Row],[%equitable and continuous access to sufficient quantity of safe drinking and domestic water''s GAP]]*WWWW[[#This Row],[Total PoP ]]</f>
        <v>0</v>
      </c>
      <c r="AY253" s="557">
        <f>IF(WWWW[[#This Row],[Total required water points]]-WWWW[[#This Row],['#Water points coverage]]&lt;0,0,WWWW[[#This Row],[Total required water points]]-WWWW[[#This Row],['#Water points coverage]])</f>
        <v>0</v>
      </c>
      <c r="AZ253" s="557">
        <f>ROUND(IF(WWWW[[#This Row],[Total PoP ]]&lt;250,1,WWWW[[#This Row],[Total PoP ]]/250),0)</f>
        <v>9</v>
      </c>
      <c r="BA253"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8.7450808919982512E-2</v>
      </c>
      <c r="BB253" s="565">
        <f>WWWW[[#This Row],[% people access to functioning Latrine]]*WWWW[[#This Row],[Total PoP ]]</f>
        <v>200</v>
      </c>
      <c r="BC253" s="557">
        <f>WWWW[[#This Row],['#_of_Functioning_latrines_in_school]]*50</f>
        <v>200</v>
      </c>
      <c r="BD253" s="557">
        <f>ROUND((WWWW[[#This Row],[Total PoP ]]/6),0)</f>
        <v>381</v>
      </c>
      <c r="BE253" s="557">
        <f>IF(WWWW[[#This Row],[Total required Latrines]]-(WWWW[[#This Row],['#_of_sanitary_fly-proof_HH_latrines]])&lt;0,0,WWWW[[#This Row],[Total required Latrines]]-(WWWW[[#This Row],['#_of_sanitary_fly-proof_HH_latrines]]))</f>
        <v>381</v>
      </c>
      <c r="BF253" s="558">
        <f>1-WWWW[[#This Row],[% people access to functioning Latrine]]</f>
        <v>0.91254919108001753</v>
      </c>
      <c r="BG25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3" s="565">
        <f>IF(WWWW[[#This Row],['#_of_functional_handwashing_facilities_at_HH_level]]*6&gt;WWWW[[#This Row],[Total PoP ]],WWWW[[#This Row],[Total PoP ]],WWWW[[#This Row],['#_of_functional_handwashing_facilities_at_HH_level]]*6)</f>
        <v>0</v>
      </c>
      <c r="BI253" s="557">
        <f>IF(WWWW[[#This Row],['# people reached by regular dedicated hygiene promotion]]&gt;WWWW[[#This Row],['# People received regular supply of hygiene items]],WWWW[[#This Row],['# people reached by regular dedicated hygiene promotion]],WWWW[[#This Row],['# People received regular supply of hygiene items]])</f>
        <v>0</v>
      </c>
      <c r="BJ253" s="555">
        <f>IF(WWWW[[#This Row],[HRP3]]/WWWW[[#This Row],[Total PoP ]]&gt;100%,100%,WWWW[[#This Row],[HRP3]]/WWWW[[#This Row],[Total PoP ]])</f>
        <v>0</v>
      </c>
      <c r="BK253" s="558">
        <f>1-WWWW[[#This Row],[Hygiene Coverage%]]</f>
        <v>1</v>
      </c>
      <c r="BL253" s="556">
        <f>WWWW[[#This Row],['# people reached by regular dedicated hygiene promotion]]/WWWW[[#This Row],[Total PoP ]]</f>
        <v>0</v>
      </c>
      <c r="BM25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3" s="557">
        <f>WWWW[[#This Row],['#_of_affected_women_and_girls_receiving_a_sufficient_quantity_of_sanitary_pads]]</f>
        <v>0</v>
      </c>
      <c r="BO253" s="611">
        <f>IF(WWWW[[#This Row],['# People with access to soap]]&gt;WWWW[[#This Row],['# People with access to Sanity Pads]],WWWW[[#This Row],['# People with access to soap]],WWWW[[#This Row],['# People with access to Sanity Pads]])</f>
        <v>0</v>
      </c>
      <c r="BP253" s="565" t="str">
        <f>IF(OR(WWWW[[#This Row],['#of students in school]]="",WWWW[[#This Row],['#of students in school]]=0),"No","Yes")</f>
        <v>Yes</v>
      </c>
      <c r="BQ253" s="559" t="str">
        <f>VLOOKUP(WWWW[[#This Row],[Village  Name]],SiteDB6[[Site Name]:[Location Type 1]],9,FALSE)</f>
        <v>Village</v>
      </c>
      <c r="BR253" s="559" t="str">
        <f>VLOOKUP(WWWW[[#This Row],[Village  Name]],SiteDB6[[Site Name]:[Type of Accommodation]],10,FALSE)</f>
        <v>Village</v>
      </c>
      <c r="BS253" s="559" t="str">
        <f>VLOOKUP(WWWW[[#This Row],[Village  Name]],SiteDB6[[Site Name]:[Ethnic or GCA/NGCA]],11,FALSE)</f>
        <v>Rakhine</v>
      </c>
      <c r="BT253" s="559">
        <f>VLOOKUP(WWWW[[#This Row],[Village  Name]],SiteDB6[[Site Name]:[Lat]],12,FALSE)</f>
        <v>0</v>
      </c>
      <c r="BU253" s="559">
        <f>VLOOKUP(WWWW[[#This Row],[Village  Name]],SiteDB6[[Site Name]:[Long]],13,FALSE)</f>
        <v>0</v>
      </c>
      <c r="BV253" s="559">
        <f>VLOOKUP(WWWW[[#This Row],[Village  Name]],SiteDB6[[Site Name]:[Pcode]],3,FALSE)</f>
        <v>197460</v>
      </c>
      <c r="BW253" s="559" t="str">
        <f t="shared" si="9"/>
        <v>Covered</v>
      </c>
      <c r="BX253" s="587"/>
    </row>
    <row r="254" spans="1:76">
      <c r="A254" s="612" t="s">
        <v>2381</v>
      </c>
      <c r="B254" s="612" t="s">
        <v>336</v>
      </c>
      <c r="C254" s="457" t="s">
        <v>336</v>
      </c>
      <c r="D254" s="457" t="s">
        <v>329</v>
      </c>
      <c r="E254" s="551" t="s">
        <v>2687</v>
      </c>
      <c r="F254" s="457" t="s">
        <v>404</v>
      </c>
      <c r="G254" s="551" t="str">
        <f>VLOOKUP(WWWW[[#This Row],[Village  Name]],SiteDB6[[Site Name]:[Location Type]],8,FALSE)</f>
        <v>Village</v>
      </c>
      <c r="H254" s="457" t="s">
        <v>2581</v>
      </c>
      <c r="I254" s="611">
        <v>215</v>
      </c>
      <c r="J254" s="611">
        <v>959</v>
      </c>
      <c r="K254" s="461"/>
      <c r="L254" s="55">
        <v>44439</v>
      </c>
      <c r="M254" s="611">
        <v>123</v>
      </c>
      <c r="N254" s="611"/>
      <c r="O254" s="611"/>
      <c r="P254" s="611"/>
      <c r="Q254" s="611">
        <v>1</v>
      </c>
      <c r="R254" s="611"/>
      <c r="S254" s="611"/>
      <c r="T254" s="643"/>
      <c r="U254" s="611"/>
      <c r="V254" s="611" t="s">
        <v>128</v>
      </c>
      <c r="W254" s="611">
        <v>1</v>
      </c>
      <c r="X254" s="611"/>
      <c r="Y254" s="611"/>
      <c r="Z254" s="611"/>
      <c r="AA254" s="611"/>
      <c r="AB254" s="643"/>
      <c r="AC254" s="611"/>
      <c r="AD254" s="611"/>
      <c r="AE254" s="611"/>
      <c r="AF254" s="611"/>
      <c r="AG254" s="611"/>
      <c r="AH254" s="611"/>
      <c r="AI254" s="611"/>
      <c r="AJ254" s="611"/>
      <c r="AK254" s="611"/>
      <c r="AL254" s="611"/>
      <c r="AM254" s="643"/>
      <c r="AN254" s="611"/>
      <c r="AO254" s="611"/>
      <c r="AP25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4" s="565">
        <f>WWWW[[#This Row],[%Equitable and continuous access to sufficient quantity of safe drinking water]]*WWWW[[#This Row],[Total PoP ]]</f>
        <v>0</v>
      </c>
      <c r="AR25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54" s="565">
        <f>WWWW[[#This Row],[% Access to unimproved water points]]*WWWW[[#This Row],[Total PoP ]]</f>
        <v>959</v>
      </c>
      <c r="AT25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5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AV254" s="565">
        <f>WWWW[[#This Row],[HRP1]]/250</f>
        <v>3.8359999999999999</v>
      </c>
      <c r="AW254" s="555">
        <f>1-WWWW[[#This Row],[% Equitable and continuous access to sufficient quantity of domestic water]]</f>
        <v>0</v>
      </c>
      <c r="AX254" s="565">
        <f>WWWW[[#This Row],[%equitable and continuous access to sufficient quantity of safe drinking and domestic water''s GAP]]*WWWW[[#This Row],[Total PoP ]]</f>
        <v>0</v>
      </c>
      <c r="AY254" s="557">
        <f>IF(WWWW[[#This Row],[Total required water points]]-WWWW[[#This Row],['#Water points coverage]]&lt;0,0,WWWW[[#This Row],[Total required water points]]-WWWW[[#This Row],['#Water points coverage]])</f>
        <v>0.16400000000000015</v>
      </c>
      <c r="AZ254" s="557">
        <f>ROUND(IF(WWWW[[#This Row],[Total PoP ]]&lt;250,1,WWWW[[#This Row],[Total PoP ]]/250),0)</f>
        <v>4</v>
      </c>
      <c r="BA254"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5.213764337851929E-2</v>
      </c>
      <c r="BB254" s="565">
        <f>WWWW[[#This Row],[% people access to functioning Latrine]]*WWWW[[#This Row],[Total PoP ]]</f>
        <v>50</v>
      </c>
      <c r="BC254" s="557">
        <f>WWWW[[#This Row],['#_of_Functioning_latrines_in_school]]*50</f>
        <v>50</v>
      </c>
      <c r="BD254" s="557">
        <f>ROUND((WWWW[[#This Row],[Total PoP ]]/6),0)</f>
        <v>160</v>
      </c>
      <c r="BE254" s="557">
        <f>IF(WWWW[[#This Row],[Total required Latrines]]-(WWWW[[#This Row],['#_of_sanitary_fly-proof_HH_latrines]])&lt;0,0,WWWW[[#This Row],[Total required Latrines]]-(WWWW[[#This Row],['#_of_sanitary_fly-proof_HH_latrines]]))</f>
        <v>160</v>
      </c>
      <c r="BF254" s="558">
        <f>1-WWWW[[#This Row],[% people access to functioning Latrine]]</f>
        <v>0.94786235662148066</v>
      </c>
      <c r="BG25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4" s="565">
        <f>IF(WWWW[[#This Row],['#_of_functional_handwashing_facilities_at_HH_level]]*6&gt;WWWW[[#This Row],[Total PoP ]],WWWW[[#This Row],[Total PoP ]],WWWW[[#This Row],['#_of_functional_handwashing_facilities_at_HH_level]]*6)</f>
        <v>0</v>
      </c>
      <c r="BI254" s="557">
        <f>IF(WWWW[[#This Row],['# people reached by regular dedicated hygiene promotion]]&gt;WWWW[[#This Row],['# People received regular supply of hygiene items]],WWWW[[#This Row],['# people reached by regular dedicated hygiene promotion]],WWWW[[#This Row],['# People received regular supply of hygiene items]])</f>
        <v>0</v>
      </c>
      <c r="BJ254" s="555">
        <f>IF(WWWW[[#This Row],[HRP3]]/WWWW[[#This Row],[Total PoP ]]&gt;100%,100%,WWWW[[#This Row],[HRP3]]/WWWW[[#This Row],[Total PoP ]])</f>
        <v>0</v>
      </c>
      <c r="BK254" s="558">
        <f>1-WWWW[[#This Row],[Hygiene Coverage%]]</f>
        <v>1</v>
      </c>
      <c r="BL254" s="556">
        <f>WWWW[[#This Row],['# people reached by regular dedicated hygiene promotion]]/WWWW[[#This Row],[Total PoP ]]</f>
        <v>0</v>
      </c>
      <c r="BM25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4" s="557">
        <f>WWWW[[#This Row],['#_of_affected_women_and_girls_receiving_a_sufficient_quantity_of_sanitary_pads]]</f>
        <v>0</v>
      </c>
      <c r="BO254" s="611">
        <f>IF(WWWW[[#This Row],['# People with access to soap]]&gt;WWWW[[#This Row],['# People with access to Sanity Pads]],WWWW[[#This Row],['# People with access to soap]],WWWW[[#This Row],['# People with access to Sanity Pads]])</f>
        <v>0</v>
      </c>
      <c r="BP254" s="565" t="str">
        <f>IF(OR(WWWW[[#This Row],['#of students in school]]="",WWWW[[#This Row],['#of students in school]]=0),"No","Yes")</f>
        <v>Yes</v>
      </c>
      <c r="BQ254" s="559" t="str">
        <f>VLOOKUP(WWWW[[#This Row],[Village  Name]],SiteDB6[[Site Name]:[Location Type 1]],9,FALSE)</f>
        <v>Village</v>
      </c>
      <c r="BR254" s="559" t="str">
        <f>VLOOKUP(WWWW[[#This Row],[Village  Name]],SiteDB6[[Site Name]:[Type of Accommodation]],10,FALSE)</f>
        <v>Village</v>
      </c>
      <c r="BS254" s="559" t="str">
        <f>VLOOKUP(WWWW[[#This Row],[Village  Name]],SiteDB6[[Site Name]:[Ethnic or GCA/NGCA]],11,FALSE)</f>
        <v>Rakhine</v>
      </c>
      <c r="BT254" s="559">
        <f>VLOOKUP(WWWW[[#This Row],[Village  Name]],SiteDB6[[Site Name]:[Lat]],12,FALSE)</f>
        <v>0</v>
      </c>
      <c r="BU254" s="559">
        <f>VLOOKUP(WWWW[[#This Row],[Village  Name]],SiteDB6[[Site Name]:[Long]],13,FALSE)</f>
        <v>0</v>
      </c>
      <c r="BV254" s="559">
        <f>VLOOKUP(WWWW[[#This Row],[Village  Name]],SiteDB6[[Site Name]:[Pcode]],3,FALSE)</f>
        <v>197449</v>
      </c>
      <c r="BW254" s="559" t="str">
        <f t="shared" si="9"/>
        <v>Covered</v>
      </c>
      <c r="BX254" s="587"/>
    </row>
    <row r="255" spans="1:76">
      <c r="A255" s="612" t="s">
        <v>2381</v>
      </c>
      <c r="B255" s="612" t="s">
        <v>336</v>
      </c>
      <c r="C255" s="457" t="s">
        <v>336</v>
      </c>
      <c r="D255" s="457" t="s">
        <v>329</v>
      </c>
      <c r="E255" s="551" t="s">
        <v>2687</v>
      </c>
      <c r="F255" s="457" t="s">
        <v>404</v>
      </c>
      <c r="G255" s="551" t="str">
        <f>VLOOKUP(WWWW[[#This Row],[Village  Name]],SiteDB6[[Site Name]:[Location Type]],8,FALSE)</f>
        <v>Village</v>
      </c>
      <c r="H255" s="457" t="s">
        <v>2594</v>
      </c>
      <c r="I255" s="611">
        <v>19</v>
      </c>
      <c r="J255" s="611">
        <v>92</v>
      </c>
      <c r="K255" s="461"/>
      <c r="L255" s="55">
        <v>44439</v>
      </c>
      <c r="M255" s="611">
        <v>0</v>
      </c>
      <c r="N255" s="611"/>
      <c r="O255" s="611"/>
      <c r="P255" s="611"/>
      <c r="Q255" s="611">
        <v>0</v>
      </c>
      <c r="R255" s="611"/>
      <c r="S255" s="611"/>
      <c r="T255" s="643"/>
      <c r="U255" s="611"/>
      <c r="V255" s="611" t="s">
        <v>132</v>
      </c>
      <c r="W255" s="611"/>
      <c r="X255" s="611"/>
      <c r="Y255" s="611"/>
      <c r="Z255" s="611"/>
      <c r="AA255" s="611"/>
      <c r="AB255" s="643"/>
      <c r="AC255" s="611"/>
      <c r="AD255" s="611"/>
      <c r="AE255" s="611"/>
      <c r="AF255" s="611"/>
      <c r="AG255" s="611"/>
      <c r="AH255" s="611"/>
      <c r="AI255" s="611"/>
      <c r="AJ255" s="611"/>
      <c r="AK255" s="611"/>
      <c r="AL255" s="611"/>
      <c r="AM255" s="643"/>
      <c r="AN255" s="611"/>
      <c r="AO255" s="611"/>
      <c r="AP25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5" s="565">
        <f>WWWW[[#This Row],[%Equitable and continuous access to sufficient quantity of safe drinking water]]*WWWW[[#This Row],[Total PoP ]]</f>
        <v>0</v>
      </c>
      <c r="AR25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55" s="565">
        <f>WWWW[[#This Row],[% Access to unimproved water points]]*WWWW[[#This Row],[Total PoP ]]</f>
        <v>0</v>
      </c>
      <c r="AT25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5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55" s="565">
        <f>WWWW[[#This Row],[HRP1]]/250</f>
        <v>0</v>
      </c>
      <c r="AW255" s="555">
        <f>1-WWWW[[#This Row],[% Equitable and continuous access to sufficient quantity of domestic water]]</f>
        <v>1</v>
      </c>
      <c r="AX255" s="565">
        <f>WWWW[[#This Row],[%equitable and continuous access to sufficient quantity of safe drinking and domestic water''s GAP]]*WWWW[[#This Row],[Total PoP ]]</f>
        <v>92</v>
      </c>
      <c r="AY255" s="557">
        <f>IF(WWWW[[#This Row],[Total required water points]]-WWWW[[#This Row],['#Water points coverage]]&lt;0,0,WWWW[[#This Row],[Total required water points]]-WWWW[[#This Row],['#Water points coverage]])</f>
        <v>1</v>
      </c>
      <c r="AZ255" s="557">
        <f>ROUND(IF(WWWW[[#This Row],[Total PoP ]]&lt;250,1,WWWW[[#This Row],[Total PoP ]]/250),0)</f>
        <v>1</v>
      </c>
      <c r="BA25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55" s="565">
        <f>WWWW[[#This Row],[% people access to functioning Latrine]]*WWWW[[#This Row],[Total PoP ]]</f>
        <v>0</v>
      </c>
      <c r="BC255" s="557">
        <f>WWWW[[#This Row],['#_of_Functioning_latrines_in_school]]*50</f>
        <v>0</v>
      </c>
      <c r="BD255" s="557">
        <f>ROUND((WWWW[[#This Row],[Total PoP ]]/6),0)</f>
        <v>15</v>
      </c>
      <c r="BE255" s="557">
        <f>IF(WWWW[[#This Row],[Total required Latrines]]-(WWWW[[#This Row],['#_of_sanitary_fly-proof_HH_latrines]])&lt;0,0,WWWW[[#This Row],[Total required Latrines]]-(WWWW[[#This Row],['#_of_sanitary_fly-proof_HH_latrines]]))</f>
        <v>15</v>
      </c>
      <c r="BF255" s="558">
        <f>1-WWWW[[#This Row],[% people access to functioning Latrine]]</f>
        <v>1</v>
      </c>
      <c r="BG25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5" s="565">
        <f>IF(WWWW[[#This Row],['#_of_functional_handwashing_facilities_at_HH_level]]*6&gt;WWWW[[#This Row],[Total PoP ]],WWWW[[#This Row],[Total PoP ]],WWWW[[#This Row],['#_of_functional_handwashing_facilities_at_HH_level]]*6)</f>
        <v>0</v>
      </c>
      <c r="BI255" s="557">
        <f>IF(WWWW[[#This Row],['# people reached by regular dedicated hygiene promotion]]&gt;WWWW[[#This Row],['# People received regular supply of hygiene items]],WWWW[[#This Row],['# people reached by regular dedicated hygiene promotion]],WWWW[[#This Row],['# People received regular supply of hygiene items]])</f>
        <v>0</v>
      </c>
      <c r="BJ255" s="555">
        <f>IF(WWWW[[#This Row],[HRP3]]/WWWW[[#This Row],[Total PoP ]]&gt;100%,100%,WWWW[[#This Row],[HRP3]]/WWWW[[#This Row],[Total PoP ]])</f>
        <v>0</v>
      </c>
      <c r="BK255" s="558">
        <f>1-WWWW[[#This Row],[Hygiene Coverage%]]</f>
        <v>1</v>
      </c>
      <c r="BL255" s="556">
        <f>WWWW[[#This Row],['# people reached by regular dedicated hygiene promotion]]/WWWW[[#This Row],[Total PoP ]]</f>
        <v>0</v>
      </c>
      <c r="BM25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5" s="557">
        <f>WWWW[[#This Row],['#_of_affected_women_and_girls_receiving_a_sufficient_quantity_of_sanitary_pads]]</f>
        <v>0</v>
      </c>
      <c r="BO255" s="611">
        <f>IF(WWWW[[#This Row],['# People with access to soap]]&gt;WWWW[[#This Row],['# People with access to Sanity Pads]],WWWW[[#This Row],['# People with access to soap]],WWWW[[#This Row],['# People with access to Sanity Pads]])</f>
        <v>0</v>
      </c>
      <c r="BP255" s="565" t="str">
        <f>IF(OR(WWWW[[#This Row],['#of students in school]]="",WWWW[[#This Row],['#of students in school]]=0),"No","Yes")</f>
        <v>No</v>
      </c>
      <c r="BQ255" s="559" t="str">
        <f>VLOOKUP(WWWW[[#This Row],[Village  Name]],SiteDB6[[Site Name]:[Location Type 1]],9,FALSE)</f>
        <v>Village</v>
      </c>
      <c r="BR255" s="559" t="str">
        <f>VLOOKUP(WWWW[[#This Row],[Village  Name]],SiteDB6[[Site Name]:[Type of Accommodation]],10,FALSE)</f>
        <v>Village</v>
      </c>
      <c r="BS255" s="559" t="str">
        <f>VLOOKUP(WWWW[[#This Row],[Village  Name]],SiteDB6[[Site Name]:[Ethnic or GCA/NGCA]],11,FALSE)</f>
        <v>Rakhine</v>
      </c>
      <c r="BT255" s="559">
        <f>VLOOKUP(WWWW[[#This Row],[Village  Name]],SiteDB6[[Site Name]:[Lat]],12,FALSE)</f>
        <v>0</v>
      </c>
      <c r="BU255" s="559">
        <f>VLOOKUP(WWWW[[#This Row],[Village  Name]],SiteDB6[[Site Name]:[Long]],13,FALSE)</f>
        <v>0</v>
      </c>
      <c r="BV255" s="559">
        <f>VLOOKUP(WWWW[[#This Row],[Village  Name]],SiteDB6[[Site Name]:[Pcode]],3,FALSE)</f>
        <v>197462</v>
      </c>
      <c r="BW255" s="559" t="str">
        <f t="shared" si="9"/>
        <v>Covered</v>
      </c>
      <c r="BX255" s="587"/>
    </row>
    <row r="256" spans="1:76">
      <c r="A256" s="612" t="s">
        <v>2381</v>
      </c>
      <c r="B256" s="612" t="s">
        <v>336</v>
      </c>
      <c r="C256" s="457" t="s">
        <v>336</v>
      </c>
      <c r="D256" s="457" t="s">
        <v>329</v>
      </c>
      <c r="E256" s="551" t="s">
        <v>2687</v>
      </c>
      <c r="F256" s="457" t="s">
        <v>404</v>
      </c>
      <c r="G256" s="551" t="str">
        <f>VLOOKUP(WWWW[[#This Row],[Village  Name]],SiteDB6[[Site Name]:[Location Type]],8,FALSE)</f>
        <v>Village</v>
      </c>
      <c r="H256" s="457" t="s">
        <v>2585</v>
      </c>
      <c r="I256" s="611">
        <v>147</v>
      </c>
      <c r="J256" s="611">
        <v>601</v>
      </c>
      <c r="K256" s="461"/>
      <c r="L256" s="55">
        <v>44439</v>
      </c>
      <c r="M256" s="611">
        <v>112</v>
      </c>
      <c r="N256" s="611"/>
      <c r="O256" s="611"/>
      <c r="P256" s="611"/>
      <c r="Q256" s="611">
        <v>1</v>
      </c>
      <c r="R256" s="611"/>
      <c r="S256" s="611"/>
      <c r="T256" s="643"/>
      <c r="U256" s="611">
        <v>147</v>
      </c>
      <c r="V256" s="611" t="s">
        <v>128</v>
      </c>
      <c r="W256" s="611">
        <v>1</v>
      </c>
      <c r="X256" s="611"/>
      <c r="Y256" s="611"/>
      <c r="Z256" s="611"/>
      <c r="AA256" s="611"/>
      <c r="AB256" s="643"/>
      <c r="AC256" s="611"/>
      <c r="AD256" s="611"/>
      <c r="AE256" s="611"/>
      <c r="AF256" s="611"/>
      <c r="AG256" s="611"/>
      <c r="AH256" s="611"/>
      <c r="AI256" s="611"/>
      <c r="AJ256" s="611"/>
      <c r="AK256" s="611"/>
      <c r="AL256" s="611"/>
      <c r="AM256" s="643"/>
      <c r="AN256" s="611"/>
      <c r="AO256" s="611"/>
      <c r="AP25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6" s="565">
        <f>WWWW[[#This Row],[%Equitable and continuous access to sufficient quantity of safe drinking water]]*WWWW[[#This Row],[Total PoP ]]</f>
        <v>0</v>
      </c>
      <c r="AR25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56" s="565">
        <f>WWWW[[#This Row],[% Access to unimproved water points]]*WWWW[[#This Row],[Total PoP ]]</f>
        <v>601</v>
      </c>
      <c r="AT25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5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v>
      </c>
      <c r="AV256" s="565">
        <f>WWWW[[#This Row],[HRP1]]/250</f>
        <v>2.4039999999999999</v>
      </c>
      <c r="AW256" s="555">
        <f>1-WWWW[[#This Row],[% Equitable and continuous access to sufficient quantity of domestic water]]</f>
        <v>0</v>
      </c>
      <c r="AX256" s="565">
        <f>WWWW[[#This Row],[%equitable and continuous access to sufficient quantity of safe drinking and domestic water''s GAP]]*WWWW[[#This Row],[Total PoP ]]</f>
        <v>0</v>
      </c>
      <c r="AY256" s="557">
        <f>IF(WWWW[[#This Row],[Total required water points]]-WWWW[[#This Row],['#Water points coverage]]&lt;0,0,WWWW[[#This Row],[Total required water points]]-WWWW[[#This Row],['#Water points coverage]])</f>
        <v>0</v>
      </c>
      <c r="AZ256" s="557">
        <f>ROUND(IF(WWWW[[#This Row],[Total PoP ]]&lt;250,1,WWWW[[#This Row],[Total PoP ]]/250),0)</f>
        <v>2</v>
      </c>
      <c r="BA256"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256" s="565">
        <f>WWWW[[#This Row],[% people access to functioning Latrine]]*WWWW[[#This Row],[Total PoP ]]</f>
        <v>601</v>
      </c>
      <c r="BC256" s="557">
        <f>WWWW[[#This Row],['#_of_Functioning_latrines_in_school]]*50</f>
        <v>50</v>
      </c>
      <c r="BD256" s="557">
        <f>ROUND((WWWW[[#This Row],[Total PoP ]]/6),0)</f>
        <v>100</v>
      </c>
      <c r="BE256" s="557">
        <f>IF(WWWW[[#This Row],[Total required Latrines]]-(WWWW[[#This Row],['#_of_sanitary_fly-proof_HH_latrines]])&lt;0,0,WWWW[[#This Row],[Total required Latrines]]-(WWWW[[#This Row],['#_of_sanitary_fly-proof_HH_latrines]]))</f>
        <v>0</v>
      </c>
      <c r="BF256" s="558">
        <f>1-WWWW[[#This Row],[% people access to functioning Latrine]]</f>
        <v>0</v>
      </c>
      <c r="BG25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6" s="565">
        <f>IF(WWWW[[#This Row],['#_of_functional_handwashing_facilities_at_HH_level]]*6&gt;WWWW[[#This Row],[Total PoP ]],WWWW[[#This Row],[Total PoP ]],WWWW[[#This Row],['#_of_functional_handwashing_facilities_at_HH_level]]*6)</f>
        <v>0</v>
      </c>
      <c r="BI256" s="557">
        <f>IF(WWWW[[#This Row],['# people reached by regular dedicated hygiene promotion]]&gt;WWWW[[#This Row],['# People received regular supply of hygiene items]],WWWW[[#This Row],['# people reached by regular dedicated hygiene promotion]],WWWW[[#This Row],['# People received regular supply of hygiene items]])</f>
        <v>0</v>
      </c>
      <c r="BJ256" s="555">
        <f>IF(WWWW[[#This Row],[HRP3]]/WWWW[[#This Row],[Total PoP ]]&gt;100%,100%,WWWW[[#This Row],[HRP3]]/WWWW[[#This Row],[Total PoP ]])</f>
        <v>0</v>
      </c>
      <c r="BK256" s="558">
        <f>1-WWWW[[#This Row],[Hygiene Coverage%]]</f>
        <v>1</v>
      </c>
      <c r="BL256" s="556">
        <f>WWWW[[#This Row],['# people reached by regular dedicated hygiene promotion]]/WWWW[[#This Row],[Total PoP ]]</f>
        <v>0</v>
      </c>
      <c r="BM25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6" s="557">
        <f>WWWW[[#This Row],['#_of_affected_women_and_girls_receiving_a_sufficient_quantity_of_sanitary_pads]]</f>
        <v>0</v>
      </c>
      <c r="BO256" s="611">
        <f>IF(WWWW[[#This Row],['# People with access to soap]]&gt;WWWW[[#This Row],['# People with access to Sanity Pads]],WWWW[[#This Row],['# People with access to soap]],WWWW[[#This Row],['# People with access to Sanity Pads]])</f>
        <v>0</v>
      </c>
      <c r="BP256" s="565" t="str">
        <f>IF(OR(WWWW[[#This Row],['#of students in school]]="",WWWW[[#This Row],['#of students in school]]=0),"No","Yes")</f>
        <v>Yes</v>
      </c>
      <c r="BQ256" s="559" t="str">
        <f>VLOOKUP(WWWW[[#This Row],[Village  Name]],SiteDB6[[Site Name]:[Location Type 1]],9,FALSE)</f>
        <v>Village</v>
      </c>
      <c r="BR256" s="559" t="str">
        <f>VLOOKUP(WWWW[[#This Row],[Village  Name]],SiteDB6[[Site Name]:[Type of Accommodation]],10,FALSE)</f>
        <v>Village</v>
      </c>
      <c r="BS256" s="559" t="str">
        <f>VLOOKUP(WWWW[[#This Row],[Village  Name]],SiteDB6[[Site Name]:[Ethnic or GCA/NGCA]],11,FALSE)</f>
        <v>KhaMi</v>
      </c>
      <c r="BT256" s="559">
        <f>VLOOKUP(WWWW[[#This Row],[Village  Name]],SiteDB6[[Site Name]:[Lat]],12,FALSE)</f>
        <v>0</v>
      </c>
      <c r="BU256" s="559">
        <f>VLOOKUP(WWWW[[#This Row],[Village  Name]],SiteDB6[[Site Name]:[Long]],13,FALSE)</f>
        <v>0</v>
      </c>
      <c r="BV256" s="559">
        <f>VLOOKUP(WWWW[[#This Row],[Village  Name]],SiteDB6[[Site Name]:[Pcode]],3,FALSE)</f>
        <v>197442</v>
      </c>
      <c r="BW256" s="559" t="str">
        <f t="shared" ref="BW256:BW318" si="11">IF(C256="none","Notcovered","Covered")</f>
        <v>Covered</v>
      </c>
      <c r="BX256" s="587"/>
    </row>
    <row r="257" spans="1:76">
      <c r="A257" s="612" t="s">
        <v>2381</v>
      </c>
      <c r="B257" s="612" t="s">
        <v>336</v>
      </c>
      <c r="C257" s="457" t="s">
        <v>336</v>
      </c>
      <c r="D257" s="457" t="s">
        <v>329</v>
      </c>
      <c r="E257" s="551" t="s">
        <v>2687</v>
      </c>
      <c r="F257" s="457" t="s">
        <v>404</v>
      </c>
      <c r="G257" s="551" t="str">
        <f>VLOOKUP(WWWW[[#This Row],[Village  Name]],SiteDB6[[Site Name]:[Location Type]],8,FALSE)</f>
        <v>Village</v>
      </c>
      <c r="H257" s="457" t="s">
        <v>2586</v>
      </c>
      <c r="I257" s="611">
        <v>284</v>
      </c>
      <c r="J257" s="611">
        <v>1292</v>
      </c>
      <c r="K257" s="461"/>
      <c r="L257" s="55">
        <v>44439</v>
      </c>
      <c r="M257" s="611">
        <v>425</v>
      </c>
      <c r="N257" s="611"/>
      <c r="O257" s="611"/>
      <c r="P257" s="611"/>
      <c r="Q257" s="611">
        <v>2</v>
      </c>
      <c r="R257" s="611"/>
      <c r="S257" s="611"/>
      <c r="T257" s="643"/>
      <c r="U257" s="611"/>
      <c r="V257" s="611" t="s">
        <v>128</v>
      </c>
      <c r="W257" s="611">
        <v>10</v>
      </c>
      <c r="X257" s="611"/>
      <c r="Y257" s="611"/>
      <c r="Z257" s="611"/>
      <c r="AA257" s="611"/>
      <c r="AB257" s="643"/>
      <c r="AC257" s="611"/>
      <c r="AD257" s="611"/>
      <c r="AE257" s="611"/>
      <c r="AF257" s="611"/>
      <c r="AG257" s="611"/>
      <c r="AH257" s="611"/>
      <c r="AI257" s="611"/>
      <c r="AJ257" s="611"/>
      <c r="AK257" s="611"/>
      <c r="AL257" s="611"/>
      <c r="AM257" s="643"/>
      <c r="AN257" s="611"/>
      <c r="AO257" s="611"/>
      <c r="AP25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7" s="565">
        <f>WWWW[[#This Row],[%Equitable and continuous access to sufficient quantity of safe drinking water]]*WWWW[[#This Row],[Total PoP ]]</f>
        <v>0</v>
      </c>
      <c r="AR25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57" s="565">
        <f>WWWW[[#This Row],[% Access to unimproved water points]]*WWWW[[#This Row],[Total PoP ]]</f>
        <v>1292</v>
      </c>
      <c r="AT25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5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1292</v>
      </c>
      <c r="AV257" s="565">
        <f>WWWW[[#This Row],[HRP1]]/250</f>
        <v>5.1680000000000001</v>
      </c>
      <c r="AW257" s="555">
        <f>1-WWWW[[#This Row],[% Equitable and continuous access to sufficient quantity of domestic water]]</f>
        <v>0</v>
      </c>
      <c r="AX257" s="565">
        <f>WWWW[[#This Row],[%equitable and continuous access to sufficient quantity of safe drinking and domestic water''s GAP]]*WWWW[[#This Row],[Total PoP ]]</f>
        <v>0</v>
      </c>
      <c r="AY257" s="557">
        <f>IF(WWWW[[#This Row],[Total required water points]]-WWWW[[#This Row],['#Water points coverage]]&lt;0,0,WWWW[[#This Row],[Total required water points]]-WWWW[[#This Row],['#Water points coverage]])</f>
        <v>0</v>
      </c>
      <c r="AZ257" s="557">
        <f>ROUND(IF(WWWW[[#This Row],[Total PoP ]]&lt;250,1,WWWW[[#This Row],[Total PoP ]]/250),0)</f>
        <v>5</v>
      </c>
      <c r="BA257"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0.38699690402476783</v>
      </c>
      <c r="BB257" s="565">
        <f>WWWW[[#This Row],[% people access to functioning Latrine]]*WWWW[[#This Row],[Total PoP ]]</f>
        <v>500.00000000000006</v>
      </c>
      <c r="BC257" s="557">
        <f>WWWW[[#This Row],['#_of_Functioning_latrines_in_school]]*50</f>
        <v>500</v>
      </c>
      <c r="BD257" s="557">
        <f>ROUND((WWWW[[#This Row],[Total PoP ]]/6),0)</f>
        <v>215</v>
      </c>
      <c r="BE257" s="557">
        <f>IF(WWWW[[#This Row],[Total required Latrines]]-(WWWW[[#This Row],['#_of_sanitary_fly-proof_HH_latrines]])&lt;0,0,WWWW[[#This Row],[Total required Latrines]]-(WWWW[[#This Row],['#_of_sanitary_fly-proof_HH_latrines]]))</f>
        <v>215</v>
      </c>
      <c r="BF257" s="558">
        <f>1-WWWW[[#This Row],[% people access to functioning Latrine]]</f>
        <v>0.61300309597523217</v>
      </c>
      <c r="BG25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7" s="565">
        <f>IF(WWWW[[#This Row],['#_of_functional_handwashing_facilities_at_HH_level]]*6&gt;WWWW[[#This Row],[Total PoP ]],WWWW[[#This Row],[Total PoP ]],WWWW[[#This Row],['#_of_functional_handwashing_facilities_at_HH_level]]*6)</f>
        <v>0</v>
      </c>
      <c r="BI257" s="557">
        <f>IF(WWWW[[#This Row],['# people reached by regular dedicated hygiene promotion]]&gt;WWWW[[#This Row],['# People received regular supply of hygiene items]],WWWW[[#This Row],['# people reached by regular dedicated hygiene promotion]],WWWW[[#This Row],['# People received regular supply of hygiene items]])</f>
        <v>0</v>
      </c>
      <c r="BJ257" s="555">
        <f>IF(WWWW[[#This Row],[HRP3]]/WWWW[[#This Row],[Total PoP ]]&gt;100%,100%,WWWW[[#This Row],[HRP3]]/WWWW[[#This Row],[Total PoP ]])</f>
        <v>0</v>
      </c>
      <c r="BK257" s="558">
        <f>1-WWWW[[#This Row],[Hygiene Coverage%]]</f>
        <v>1</v>
      </c>
      <c r="BL257" s="556">
        <f>WWWW[[#This Row],['# people reached by regular dedicated hygiene promotion]]/WWWW[[#This Row],[Total PoP ]]</f>
        <v>0</v>
      </c>
      <c r="BM25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7" s="557">
        <f>WWWW[[#This Row],['#_of_affected_women_and_girls_receiving_a_sufficient_quantity_of_sanitary_pads]]</f>
        <v>0</v>
      </c>
      <c r="BO257" s="611">
        <f>IF(WWWW[[#This Row],['# People with access to soap]]&gt;WWWW[[#This Row],['# People with access to Sanity Pads]],WWWW[[#This Row],['# People with access to soap]],WWWW[[#This Row],['# People with access to Sanity Pads]])</f>
        <v>0</v>
      </c>
      <c r="BP257" s="565" t="str">
        <f>IF(OR(WWWW[[#This Row],['#of students in school]]="",WWWW[[#This Row],['#of students in school]]=0),"No","Yes")</f>
        <v>Yes</v>
      </c>
      <c r="BQ257" s="559" t="str">
        <f>VLOOKUP(WWWW[[#This Row],[Village  Name]],SiteDB6[[Site Name]:[Location Type 1]],9,FALSE)</f>
        <v>Village</v>
      </c>
      <c r="BR257" s="559" t="str">
        <f>VLOOKUP(WWWW[[#This Row],[Village  Name]],SiteDB6[[Site Name]:[Type of Accommodation]],10,FALSE)</f>
        <v>Village</v>
      </c>
      <c r="BS257" s="559" t="str">
        <f>VLOOKUP(WWWW[[#This Row],[Village  Name]],SiteDB6[[Site Name]:[Ethnic or GCA/NGCA]],11,FALSE)</f>
        <v>Rakhine</v>
      </c>
      <c r="BT257" s="559">
        <f>VLOOKUP(WWWW[[#This Row],[Village  Name]],SiteDB6[[Site Name]:[Lat]],12,FALSE)</f>
        <v>0</v>
      </c>
      <c r="BU257" s="559">
        <f>VLOOKUP(WWWW[[#This Row],[Village  Name]],SiteDB6[[Site Name]:[Long]],13,FALSE)</f>
        <v>0</v>
      </c>
      <c r="BV257" s="559">
        <f>VLOOKUP(WWWW[[#This Row],[Village  Name]],SiteDB6[[Site Name]:[Pcode]],3,FALSE)</f>
        <v>197405</v>
      </c>
      <c r="BW257" s="559" t="str">
        <f t="shared" si="11"/>
        <v>Covered</v>
      </c>
      <c r="BX257" s="587"/>
    </row>
    <row r="258" spans="1:76">
      <c r="A258" s="612" t="s">
        <v>2381</v>
      </c>
      <c r="B258" s="612" t="s">
        <v>336</v>
      </c>
      <c r="C258" s="457" t="s">
        <v>336</v>
      </c>
      <c r="D258" s="457" t="s">
        <v>329</v>
      </c>
      <c r="E258" s="551" t="s">
        <v>2687</v>
      </c>
      <c r="F258" s="457" t="s">
        <v>404</v>
      </c>
      <c r="G258" s="551" t="str">
        <f>VLOOKUP(WWWW[[#This Row],[Village  Name]],SiteDB6[[Site Name]:[Location Type]],8,FALSE)</f>
        <v>Village</v>
      </c>
      <c r="H258" s="457" t="s">
        <v>2589</v>
      </c>
      <c r="I258" s="611">
        <v>173</v>
      </c>
      <c r="J258" s="611">
        <v>354</v>
      </c>
      <c r="K258" s="461"/>
      <c r="L258" s="55">
        <v>44439</v>
      </c>
      <c r="M258" s="611">
        <v>132</v>
      </c>
      <c r="N258" s="611"/>
      <c r="O258" s="611"/>
      <c r="P258" s="611"/>
      <c r="Q258" s="611">
        <v>1</v>
      </c>
      <c r="R258" s="611"/>
      <c r="S258" s="611"/>
      <c r="T258" s="643"/>
      <c r="U258" s="611"/>
      <c r="V258" s="611" t="s">
        <v>128</v>
      </c>
      <c r="W258" s="611">
        <v>0</v>
      </c>
      <c r="X258" s="611"/>
      <c r="Y258" s="611"/>
      <c r="Z258" s="611"/>
      <c r="AA258" s="611"/>
      <c r="AB258" s="643"/>
      <c r="AC258" s="611"/>
      <c r="AD258" s="611"/>
      <c r="AE258" s="611"/>
      <c r="AF258" s="611"/>
      <c r="AG258" s="611"/>
      <c r="AH258" s="611"/>
      <c r="AI258" s="611"/>
      <c r="AJ258" s="611"/>
      <c r="AK258" s="611"/>
      <c r="AL258" s="611"/>
      <c r="AM258" s="643"/>
      <c r="AN258" s="611"/>
      <c r="AO258" s="611"/>
      <c r="AP25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8" s="565">
        <f>WWWW[[#This Row],[%Equitable and continuous access to sufficient quantity of safe drinking water]]*WWWW[[#This Row],[Total PoP ]]</f>
        <v>0</v>
      </c>
      <c r="AR25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58" s="565">
        <f>WWWW[[#This Row],[% Access to unimproved water points]]*WWWW[[#This Row],[Total PoP ]]</f>
        <v>354</v>
      </c>
      <c r="AT25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5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354</v>
      </c>
      <c r="AV258" s="565">
        <f>WWWW[[#This Row],[HRP1]]/250</f>
        <v>1.4159999999999999</v>
      </c>
      <c r="AW258" s="555">
        <f>1-WWWW[[#This Row],[% Equitable and continuous access to sufficient quantity of domestic water]]</f>
        <v>0</v>
      </c>
      <c r="AX258" s="565">
        <f>WWWW[[#This Row],[%equitable and continuous access to sufficient quantity of safe drinking and domestic water''s GAP]]*WWWW[[#This Row],[Total PoP ]]</f>
        <v>0</v>
      </c>
      <c r="AY258" s="557">
        <f>IF(WWWW[[#This Row],[Total required water points]]-WWWW[[#This Row],['#Water points coverage]]&lt;0,0,WWWW[[#This Row],[Total required water points]]-WWWW[[#This Row],['#Water points coverage]])</f>
        <v>0</v>
      </c>
      <c r="AZ258" s="557">
        <f>ROUND(IF(WWWW[[#This Row],[Total PoP ]]&lt;250,1,WWWW[[#This Row],[Total PoP ]]/250),0)</f>
        <v>1</v>
      </c>
      <c r="BA25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58" s="565">
        <f>WWWW[[#This Row],[% people access to functioning Latrine]]*WWWW[[#This Row],[Total PoP ]]</f>
        <v>0</v>
      </c>
      <c r="BC258" s="557">
        <f>WWWW[[#This Row],['#_of_Functioning_latrines_in_school]]*50</f>
        <v>0</v>
      </c>
      <c r="BD258" s="557">
        <f>ROUND((WWWW[[#This Row],[Total PoP ]]/6),0)</f>
        <v>59</v>
      </c>
      <c r="BE258" s="557">
        <f>IF(WWWW[[#This Row],[Total required Latrines]]-(WWWW[[#This Row],['#_of_sanitary_fly-proof_HH_latrines]])&lt;0,0,WWWW[[#This Row],[Total required Latrines]]-(WWWW[[#This Row],['#_of_sanitary_fly-proof_HH_latrines]]))</f>
        <v>59</v>
      </c>
      <c r="BF258" s="558">
        <f>1-WWWW[[#This Row],[% people access to functioning Latrine]]</f>
        <v>1</v>
      </c>
      <c r="BG25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8" s="565">
        <f>IF(WWWW[[#This Row],['#_of_functional_handwashing_facilities_at_HH_level]]*6&gt;WWWW[[#This Row],[Total PoP ]],WWWW[[#This Row],[Total PoP ]],WWWW[[#This Row],['#_of_functional_handwashing_facilities_at_HH_level]]*6)</f>
        <v>0</v>
      </c>
      <c r="BI258" s="557">
        <f>IF(WWWW[[#This Row],['# people reached by regular dedicated hygiene promotion]]&gt;WWWW[[#This Row],['# People received regular supply of hygiene items]],WWWW[[#This Row],['# people reached by regular dedicated hygiene promotion]],WWWW[[#This Row],['# People received regular supply of hygiene items]])</f>
        <v>0</v>
      </c>
      <c r="BJ258" s="555">
        <f>IF(WWWW[[#This Row],[HRP3]]/WWWW[[#This Row],[Total PoP ]]&gt;100%,100%,WWWW[[#This Row],[HRP3]]/WWWW[[#This Row],[Total PoP ]])</f>
        <v>0</v>
      </c>
      <c r="BK258" s="558">
        <f>1-WWWW[[#This Row],[Hygiene Coverage%]]</f>
        <v>1</v>
      </c>
      <c r="BL258" s="556">
        <f>WWWW[[#This Row],['# people reached by regular dedicated hygiene promotion]]/WWWW[[#This Row],[Total PoP ]]</f>
        <v>0</v>
      </c>
      <c r="BM25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8" s="557">
        <f>WWWW[[#This Row],['#_of_affected_women_and_girls_receiving_a_sufficient_quantity_of_sanitary_pads]]</f>
        <v>0</v>
      </c>
      <c r="BO258" s="611">
        <f>IF(WWWW[[#This Row],['# People with access to soap]]&gt;WWWW[[#This Row],['# People with access to Sanity Pads]],WWWW[[#This Row],['# People with access to soap]],WWWW[[#This Row],['# People with access to Sanity Pads]])</f>
        <v>0</v>
      </c>
      <c r="BP258" s="565" t="str">
        <f>IF(OR(WWWW[[#This Row],['#of students in school]]="",WWWW[[#This Row],['#of students in school]]=0),"No","Yes")</f>
        <v>Yes</v>
      </c>
      <c r="BQ258" s="559" t="str">
        <f>VLOOKUP(WWWW[[#This Row],[Village  Name]],SiteDB6[[Site Name]:[Location Type 1]],9,FALSE)</f>
        <v>Village</v>
      </c>
      <c r="BR258" s="559" t="str">
        <f>VLOOKUP(WWWW[[#This Row],[Village  Name]],SiteDB6[[Site Name]:[Type of Accommodation]],10,FALSE)</f>
        <v>Village</v>
      </c>
      <c r="BS258" s="559" t="str">
        <f>VLOOKUP(WWWW[[#This Row],[Village  Name]],SiteDB6[[Site Name]:[Ethnic or GCA/NGCA]],11,FALSE)</f>
        <v>Rakhine</v>
      </c>
      <c r="BT258" s="559">
        <f>VLOOKUP(WWWW[[#This Row],[Village  Name]],SiteDB6[[Site Name]:[Lat]],12,FALSE)</f>
        <v>0</v>
      </c>
      <c r="BU258" s="559">
        <f>VLOOKUP(WWWW[[#This Row],[Village  Name]],SiteDB6[[Site Name]:[Long]],13,FALSE)</f>
        <v>0</v>
      </c>
      <c r="BV258" s="559">
        <f>VLOOKUP(WWWW[[#This Row],[Village  Name]],SiteDB6[[Site Name]:[Pcode]],3,FALSE)</f>
        <v>197403</v>
      </c>
      <c r="BW258" s="559" t="str">
        <f t="shared" si="11"/>
        <v>Covered</v>
      </c>
      <c r="BX258" s="587"/>
    </row>
    <row r="259" spans="1:76">
      <c r="A259" s="612" t="s">
        <v>2381</v>
      </c>
      <c r="B259" s="612" t="s">
        <v>336</v>
      </c>
      <c r="C259" s="457" t="s">
        <v>336</v>
      </c>
      <c r="D259" s="457" t="s">
        <v>329</v>
      </c>
      <c r="E259" s="551" t="s">
        <v>2687</v>
      </c>
      <c r="F259" s="457" t="s">
        <v>404</v>
      </c>
      <c r="G259" s="551" t="str">
        <f>VLOOKUP(WWWW[[#This Row],[Village  Name]],SiteDB6[[Site Name]:[Location Type]],8,FALSE)</f>
        <v>Village</v>
      </c>
      <c r="H259" s="457" t="s">
        <v>2588</v>
      </c>
      <c r="I259" s="611">
        <v>66</v>
      </c>
      <c r="J259" s="611">
        <v>1018</v>
      </c>
      <c r="K259" s="461"/>
      <c r="L259" s="55">
        <v>44439</v>
      </c>
      <c r="M259" s="611">
        <v>34</v>
      </c>
      <c r="N259" s="611"/>
      <c r="O259" s="611"/>
      <c r="P259" s="611"/>
      <c r="Q259" s="611">
        <v>2</v>
      </c>
      <c r="R259" s="611"/>
      <c r="S259" s="611"/>
      <c r="T259" s="643"/>
      <c r="U259" s="611"/>
      <c r="V259" s="611" t="s">
        <v>128</v>
      </c>
      <c r="W259" s="611">
        <v>3</v>
      </c>
      <c r="X259" s="611"/>
      <c r="Y259" s="611"/>
      <c r="Z259" s="611"/>
      <c r="AA259" s="611"/>
      <c r="AB259" s="643"/>
      <c r="AC259" s="611"/>
      <c r="AD259" s="611"/>
      <c r="AE259" s="611"/>
      <c r="AF259" s="611"/>
      <c r="AG259" s="611"/>
      <c r="AH259" s="611"/>
      <c r="AI259" s="611"/>
      <c r="AJ259" s="611"/>
      <c r="AK259" s="611"/>
      <c r="AL259" s="611"/>
      <c r="AM259" s="643"/>
      <c r="AN259" s="611"/>
      <c r="AO259" s="611"/>
      <c r="AP25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59" s="565">
        <f>WWWW[[#This Row],[%Equitable and continuous access to sufficient quantity of safe drinking water]]*WWWW[[#This Row],[Total PoP ]]</f>
        <v>0</v>
      </c>
      <c r="AR25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59" s="565">
        <f>WWWW[[#This Row],[% Access to unimproved water points]]*WWWW[[#This Row],[Total PoP ]]</f>
        <v>1018</v>
      </c>
      <c r="AT25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5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1018</v>
      </c>
      <c r="AV259" s="565">
        <f>WWWW[[#This Row],[HRP1]]/250</f>
        <v>4.0720000000000001</v>
      </c>
      <c r="AW259" s="555">
        <f>1-WWWW[[#This Row],[% Equitable and continuous access to sufficient quantity of domestic water]]</f>
        <v>0</v>
      </c>
      <c r="AX259" s="565">
        <f>WWWW[[#This Row],[%equitable and continuous access to sufficient quantity of safe drinking and domestic water''s GAP]]*WWWW[[#This Row],[Total PoP ]]</f>
        <v>0</v>
      </c>
      <c r="AY259" s="557">
        <f>IF(WWWW[[#This Row],[Total required water points]]-WWWW[[#This Row],['#Water points coverage]]&lt;0,0,WWWW[[#This Row],[Total required water points]]-WWWW[[#This Row],['#Water points coverage]])</f>
        <v>0</v>
      </c>
      <c r="AZ259" s="557">
        <f>ROUND(IF(WWWW[[#This Row],[Total PoP ]]&lt;250,1,WWWW[[#This Row],[Total PoP ]]/250),0)</f>
        <v>4</v>
      </c>
      <c r="BA259"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0.14734774066797643</v>
      </c>
      <c r="BB259" s="565">
        <f>WWWW[[#This Row],[% people access to functioning Latrine]]*WWWW[[#This Row],[Total PoP ]]</f>
        <v>150</v>
      </c>
      <c r="BC259" s="557">
        <f>WWWW[[#This Row],['#_of_Functioning_latrines_in_school]]*50</f>
        <v>150</v>
      </c>
      <c r="BD259" s="557">
        <f>ROUND((WWWW[[#This Row],[Total PoP ]]/6),0)</f>
        <v>170</v>
      </c>
      <c r="BE259" s="557">
        <f>IF(WWWW[[#This Row],[Total required Latrines]]-(WWWW[[#This Row],['#_of_sanitary_fly-proof_HH_latrines]])&lt;0,0,WWWW[[#This Row],[Total required Latrines]]-(WWWW[[#This Row],['#_of_sanitary_fly-proof_HH_latrines]]))</f>
        <v>170</v>
      </c>
      <c r="BF259" s="558">
        <f>1-WWWW[[#This Row],[% people access to functioning Latrine]]</f>
        <v>0.8526522593320236</v>
      </c>
      <c r="BG25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59" s="565">
        <f>IF(WWWW[[#This Row],['#_of_functional_handwashing_facilities_at_HH_level]]*6&gt;WWWW[[#This Row],[Total PoP ]],WWWW[[#This Row],[Total PoP ]],WWWW[[#This Row],['#_of_functional_handwashing_facilities_at_HH_level]]*6)</f>
        <v>0</v>
      </c>
      <c r="BI259" s="557">
        <f>IF(WWWW[[#This Row],['# people reached by regular dedicated hygiene promotion]]&gt;WWWW[[#This Row],['# People received regular supply of hygiene items]],WWWW[[#This Row],['# people reached by regular dedicated hygiene promotion]],WWWW[[#This Row],['# People received regular supply of hygiene items]])</f>
        <v>0</v>
      </c>
      <c r="BJ259" s="555">
        <f>IF(WWWW[[#This Row],[HRP3]]/WWWW[[#This Row],[Total PoP ]]&gt;100%,100%,WWWW[[#This Row],[HRP3]]/WWWW[[#This Row],[Total PoP ]])</f>
        <v>0</v>
      </c>
      <c r="BK259" s="558">
        <f>1-WWWW[[#This Row],[Hygiene Coverage%]]</f>
        <v>1</v>
      </c>
      <c r="BL259" s="556">
        <f>WWWW[[#This Row],['# people reached by regular dedicated hygiene promotion]]/WWWW[[#This Row],[Total PoP ]]</f>
        <v>0</v>
      </c>
      <c r="BM25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59" s="557">
        <f>WWWW[[#This Row],['#_of_affected_women_and_girls_receiving_a_sufficient_quantity_of_sanitary_pads]]</f>
        <v>0</v>
      </c>
      <c r="BO259" s="611">
        <f>IF(WWWW[[#This Row],['# People with access to soap]]&gt;WWWW[[#This Row],['# People with access to Sanity Pads]],WWWW[[#This Row],['# People with access to soap]],WWWW[[#This Row],['# People with access to Sanity Pads]])</f>
        <v>0</v>
      </c>
      <c r="BP259" s="565" t="str">
        <f>IF(OR(WWWW[[#This Row],['#of students in school]]="",WWWW[[#This Row],['#of students in school]]=0),"No","Yes")</f>
        <v>Yes</v>
      </c>
      <c r="BQ259" s="559" t="str">
        <f>VLOOKUP(WWWW[[#This Row],[Village  Name]],SiteDB6[[Site Name]:[Location Type 1]],9,FALSE)</f>
        <v>Village</v>
      </c>
      <c r="BR259" s="559" t="str">
        <f>VLOOKUP(WWWW[[#This Row],[Village  Name]],SiteDB6[[Site Name]:[Type of Accommodation]],10,FALSE)</f>
        <v>Village</v>
      </c>
      <c r="BS259" s="559" t="str">
        <f>VLOOKUP(WWWW[[#This Row],[Village  Name]],SiteDB6[[Site Name]:[Ethnic or GCA/NGCA]],11,FALSE)</f>
        <v>Rakhine</v>
      </c>
      <c r="BT259" s="559">
        <f>VLOOKUP(WWWW[[#This Row],[Village  Name]],SiteDB6[[Site Name]:[Lat]],12,FALSE)</f>
        <v>20.260679244995099</v>
      </c>
      <c r="BU259" s="559">
        <f>VLOOKUP(WWWW[[#This Row],[Village  Name]],SiteDB6[[Site Name]:[Long]],13,FALSE)</f>
        <v>93.051597595214801</v>
      </c>
      <c r="BV259" s="559">
        <f>VLOOKUP(WWWW[[#This Row],[Village  Name]],SiteDB6[[Site Name]:[Pcode]],3,FALSE)</f>
        <v>197401</v>
      </c>
      <c r="BW259" s="559" t="str">
        <f t="shared" si="11"/>
        <v>Covered</v>
      </c>
      <c r="BX259" s="587"/>
    </row>
    <row r="260" spans="1:76">
      <c r="A260" s="612" t="s">
        <v>2381</v>
      </c>
      <c r="B260" s="612" t="s">
        <v>336</v>
      </c>
      <c r="C260" s="457" t="s">
        <v>336</v>
      </c>
      <c r="D260" s="457" t="s">
        <v>329</v>
      </c>
      <c r="E260" s="551" t="s">
        <v>2687</v>
      </c>
      <c r="F260" s="457" t="s">
        <v>404</v>
      </c>
      <c r="G260" s="551" t="str">
        <f>VLOOKUP(WWWW[[#This Row],[Village  Name]],SiteDB6[[Site Name]:[Location Type]],8,FALSE)</f>
        <v>Village</v>
      </c>
      <c r="H260" s="457" t="s">
        <v>2582</v>
      </c>
      <c r="I260" s="611">
        <v>207</v>
      </c>
      <c r="J260" s="611">
        <v>957</v>
      </c>
      <c r="K260" s="461"/>
      <c r="L260" s="55">
        <v>44439</v>
      </c>
      <c r="M260" s="611">
        <v>153</v>
      </c>
      <c r="N260" s="611"/>
      <c r="O260" s="611"/>
      <c r="P260" s="611"/>
      <c r="Q260" s="611">
        <v>1</v>
      </c>
      <c r="R260" s="611"/>
      <c r="S260" s="611"/>
      <c r="T260" s="643"/>
      <c r="U260" s="611"/>
      <c r="V260" s="611" t="s">
        <v>128</v>
      </c>
      <c r="W260" s="611">
        <v>2</v>
      </c>
      <c r="X260" s="611"/>
      <c r="Y260" s="611"/>
      <c r="Z260" s="611"/>
      <c r="AA260" s="611"/>
      <c r="AB260" s="643"/>
      <c r="AC260" s="611"/>
      <c r="AD260" s="611"/>
      <c r="AE260" s="611"/>
      <c r="AF260" s="611"/>
      <c r="AG260" s="611"/>
      <c r="AH260" s="611"/>
      <c r="AI260" s="611"/>
      <c r="AJ260" s="611"/>
      <c r="AK260" s="611"/>
      <c r="AL260" s="611"/>
      <c r="AM260" s="643"/>
      <c r="AN260" s="611"/>
      <c r="AO260" s="611"/>
      <c r="AP26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0" s="565">
        <f>WWWW[[#This Row],[%Equitable and continuous access to sufficient quantity of safe drinking water]]*WWWW[[#This Row],[Total PoP ]]</f>
        <v>0</v>
      </c>
      <c r="AR26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60" s="565">
        <f>WWWW[[#This Row],[% Access to unimproved water points]]*WWWW[[#This Row],[Total PoP ]]</f>
        <v>957</v>
      </c>
      <c r="AT26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6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957</v>
      </c>
      <c r="AV260" s="565">
        <f>WWWW[[#This Row],[HRP1]]/250</f>
        <v>3.8279999999999998</v>
      </c>
      <c r="AW260" s="555">
        <f>1-WWWW[[#This Row],[% Equitable and continuous access to sufficient quantity of domestic water]]</f>
        <v>0</v>
      </c>
      <c r="AX260" s="565">
        <f>WWWW[[#This Row],[%equitable and continuous access to sufficient quantity of safe drinking and domestic water''s GAP]]*WWWW[[#This Row],[Total PoP ]]</f>
        <v>0</v>
      </c>
      <c r="AY260" s="557">
        <f>IF(WWWW[[#This Row],[Total required water points]]-WWWW[[#This Row],['#Water points coverage]]&lt;0,0,WWWW[[#This Row],[Total required water points]]-WWWW[[#This Row],['#Water points coverage]])</f>
        <v>0.17200000000000015</v>
      </c>
      <c r="AZ260" s="557">
        <f>ROUND(IF(WWWW[[#This Row],[Total PoP ]]&lt;250,1,WWWW[[#This Row],[Total PoP ]]/250),0)</f>
        <v>4</v>
      </c>
      <c r="BA26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0.1044932079414838</v>
      </c>
      <c r="BB260" s="565">
        <f>WWWW[[#This Row],[% people access to functioning Latrine]]*WWWW[[#This Row],[Total PoP ]]</f>
        <v>100</v>
      </c>
      <c r="BC260" s="557">
        <f>WWWW[[#This Row],['#_of_Functioning_latrines_in_school]]*50</f>
        <v>100</v>
      </c>
      <c r="BD260" s="557">
        <f>ROUND((WWWW[[#This Row],[Total PoP ]]/6),0)</f>
        <v>160</v>
      </c>
      <c r="BE260" s="557">
        <f>IF(WWWW[[#This Row],[Total required Latrines]]-(WWWW[[#This Row],['#_of_sanitary_fly-proof_HH_latrines]])&lt;0,0,WWWW[[#This Row],[Total required Latrines]]-(WWWW[[#This Row],['#_of_sanitary_fly-proof_HH_latrines]]))</f>
        <v>160</v>
      </c>
      <c r="BF260" s="558">
        <f>1-WWWW[[#This Row],[% people access to functioning Latrine]]</f>
        <v>0.89550679205851624</v>
      </c>
      <c r="BG26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0" s="565">
        <f>IF(WWWW[[#This Row],['#_of_functional_handwashing_facilities_at_HH_level]]*6&gt;WWWW[[#This Row],[Total PoP ]],WWWW[[#This Row],[Total PoP ]],WWWW[[#This Row],['#_of_functional_handwashing_facilities_at_HH_level]]*6)</f>
        <v>0</v>
      </c>
      <c r="BI260" s="557">
        <f>IF(WWWW[[#This Row],['# people reached by regular dedicated hygiene promotion]]&gt;WWWW[[#This Row],['# People received regular supply of hygiene items]],WWWW[[#This Row],['# people reached by regular dedicated hygiene promotion]],WWWW[[#This Row],['# People received regular supply of hygiene items]])</f>
        <v>0</v>
      </c>
      <c r="BJ260" s="555">
        <f>IF(WWWW[[#This Row],[HRP3]]/WWWW[[#This Row],[Total PoP ]]&gt;100%,100%,WWWW[[#This Row],[HRP3]]/WWWW[[#This Row],[Total PoP ]])</f>
        <v>0</v>
      </c>
      <c r="BK260" s="558">
        <f>1-WWWW[[#This Row],[Hygiene Coverage%]]</f>
        <v>1</v>
      </c>
      <c r="BL260" s="556">
        <f>WWWW[[#This Row],['# people reached by regular dedicated hygiene promotion]]/WWWW[[#This Row],[Total PoP ]]</f>
        <v>0</v>
      </c>
      <c r="BM26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0" s="557">
        <f>WWWW[[#This Row],['#_of_affected_women_and_girls_receiving_a_sufficient_quantity_of_sanitary_pads]]</f>
        <v>0</v>
      </c>
      <c r="BO260" s="611">
        <f>IF(WWWW[[#This Row],['# People with access to soap]]&gt;WWWW[[#This Row],['# People with access to Sanity Pads]],WWWW[[#This Row],['# People with access to soap]],WWWW[[#This Row],['# People with access to Sanity Pads]])</f>
        <v>0</v>
      </c>
      <c r="BP260" s="565" t="str">
        <f>IF(OR(WWWW[[#This Row],['#of students in school]]="",WWWW[[#This Row],['#of students in school]]=0),"No","Yes")</f>
        <v>Yes</v>
      </c>
      <c r="BQ260" s="559" t="str">
        <f>VLOOKUP(WWWW[[#This Row],[Village  Name]],SiteDB6[[Site Name]:[Location Type 1]],9,FALSE)</f>
        <v>Village</v>
      </c>
      <c r="BR260" s="559" t="str">
        <f>VLOOKUP(WWWW[[#This Row],[Village  Name]],SiteDB6[[Site Name]:[Type of Accommodation]],10,FALSE)</f>
        <v>Village</v>
      </c>
      <c r="BS260" s="559" t="str">
        <f>VLOOKUP(WWWW[[#This Row],[Village  Name]],SiteDB6[[Site Name]:[Ethnic or GCA/NGCA]],11,FALSE)</f>
        <v>Rakhine</v>
      </c>
      <c r="BT260" s="559">
        <f>VLOOKUP(WWWW[[#This Row],[Village  Name]],SiteDB6[[Site Name]:[Lat]],12,FALSE)</f>
        <v>0</v>
      </c>
      <c r="BU260" s="559">
        <f>VLOOKUP(WWWW[[#This Row],[Village  Name]],SiteDB6[[Site Name]:[Long]],13,FALSE)</f>
        <v>0</v>
      </c>
      <c r="BV260" s="559">
        <f>VLOOKUP(WWWW[[#This Row],[Village  Name]],SiteDB6[[Site Name]:[Pcode]],3,FALSE)</f>
        <v>197451</v>
      </c>
      <c r="BW260" s="559" t="str">
        <f t="shared" si="11"/>
        <v>Covered</v>
      </c>
      <c r="BX260" s="587"/>
    </row>
    <row r="261" spans="1:76">
      <c r="A261" s="612" t="s">
        <v>2381</v>
      </c>
      <c r="B261" s="612" t="s">
        <v>336</v>
      </c>
      <c r="C261" s="457" t="s">
        <v>336</v>
      </c>
      <c r="D261" s="457" t="s">
        <v>329</v>
      </c>
      <c r="E261" s="551" t="s">
        <v>2687</v>
      </c>
      <c r="F261" s="457" t="s">
        <v>404</v>
      </c>
      <c r="G261" s="551" t="str">
        <f>VLOOKUP(WWWW[[#This Row],[Village  Name]],SiteDB6[[Site Name]:[Location Type]],8,FALSE)</f>
        <v>Village</v>
      </c>
      <c r="H261" s="457" t="s">
        <v>2580</v>
      </c>
      <c r="I261" s="611">
        <v>279</v>
      </c>
      <c r="J261" s="611">
        <v>1246</v>
      </c>
      <c r="K261" s="461"/>
      <c r="L261" s="55">
        <v>44439</v>
      </c>
      <c r="M261" s="611">
        <v>217</v>
      </c>
      <c r="N261" s="611"/>
      <c r="O261" s="611"/>
      <c r="P261" s="611"/>
      <c r="Q261" s="611">
        <v>1</v>
      </c>
      <c r="R261" s="611"/>
      <c r="S261" s="611"/>
      <c r="T261" s="643"/>
      <c r="U261" s="611"/>
      <c r="V261" s="611" t="s">
        <v>128</v>
      </c>
      <c r="W261" s="611">
        <v>1</v>
      </c>
      <c r="X261" s="611"/>
      <c r="Y261" s="611"/>
      <c r="Z261" s="611"/>
      <c r="AA261" s="611"/>
      <c r="AB261" s="643"/>
      <c r="AC261" s="611"/>
      <c r="AD261" s="611"/>
      <c r="AE261" s="611"/>
      <c r="AF261" s="611"/>
      <c r="AG261" s="611"/>
      <c r="AH261" s="611"/>
      <c r="AI261" s="611"/>
      <c r="AJ261" s="611"/>
      <c r="AK261" s="611"/>
      <c r="AL261" s="611"/>
      <c r="AM261" s="643"/>
      <c r="AN261" s="611"/>
      <c r="AO261" s="611"/>
      <c r="AP26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1" s="565">
        <f>WWWW[[#This Row],[%Equitable and continuous access to sufficient quantity of safe drinking water]]*WWWW[[#This Row],[Total PoP ]]</f>
        <v>0</v>
      </c>
      <c r="AR26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261" s="565">
        <f>WWWW[[#This Row],[% Access to unimproved water points]]*WWWW[[#This Row],[Total PoP ]]</f>
        <v>1246</v>
      </c>
      <c r="AT26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6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1246</v>
      </c>
      <c r="AV261" s="565">
        <f>WWWW[[#This Row],[HRP1]]/250</f>
        <v>4.984</v>
      </c>
      <c r="AW261" s="555">
        <f>1-WWWW[[#This Row],[% Equitable and continuous access to sufficient quantity of domestic water]]</f>
        <v>0</v>
      </c>
      <c r="AX261" s="565">
        <f>WWWW[[#This Row],[%equitable and continuous access to sufficient quantity of safe drinking and domestic water''s GAP]]*WWWW[[#This Row],[Total PoP ]]</f>
        <v>0</v>
      </c>
      <c r="AY261" s="557">
        <f>IF(WWWW[[#This Row],[Total required water points]]-WWWW[[#This Row],['#Water points coverage]]&lt;0,0,WWWW[[#This Row],[Total required water points]]-WWWW[[#This Row],['#Water points coverage]])</f>
        <v>1.6000000000000014E-2</v>
      </c>
      <c r="AZ261" s="557">
        <f>ROUND(IF(WWWW[[#This Row],[Total PoP ]]&lt;250,1,WWWW[[#This Row],[Total PoP ]]/250),0)</f>
        <v>5</v>
      </c>
      <c r="BA261"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4.0128410914927769E-2</v>
      </c>
      <c r="BB261" s="565">
        <f>WWWW[[#This Row],[% people access to functioning Latrine]]*WWWW[[#This Row],[Total PoP ]]</f>
        <v>50</v>
      </c>
      <c r="BC261" s="557">
        <f>WWWW[[#This Row],['#_of_Functioning_latrines_in_school]]*50</f>
        <v>50</v>
      </c>
      <c r="BD261" s="557">
        <f>ROUND((WWWW[[#This Row],[Total PoP ]]/6),0)</f>
        <v>208</v>
      </c>
      <c r="BE261" s="557">
        <f>IF(WWWW[[#This Row],[Total required Latrines]]-(WWWW[[#This Row],['#_of_sanitary_fly-proof_HH_latrines]])&lt;0,0,WWWW[[#This Row],[Total required Latrines]]-(WWWW[[#This Row],['#_of_sanitary_fly-proof_HH_latrines]]))</f>
        <v>208</v>
      </c>
      <c r="BF261" s="558">
        <f>1-WWWW[[#This Row],[% people access to functioning Latrine]]</f>
        <v>0.9598715890850722</v>
      </c>
      <c r="BG26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1" s="565">
        <f>IF(WWWW[[#This Row],['#_of_functional_handwashing_facilities_at_HH_level]]*6&gt;WWWW[[#This Row],[Total PoP ]],WWWW[[#This Row],[Total PoP ]],WWWW[[#This Row],['#_of_functional_handwashing_facilities_at_HH_level]]*6)</f>
        <v>0</v>
      </c>
      <c r="BI261" s="557">
        <f>IF(WWWW[[#This Row],['# people reached by regular dedicated hygiene promotion]]&gt;WWWW[[#This Row],['# People received regular supply of hygiene items]],WWWW[[#This Row],['# people reached by regular dedicated hygiene promotion]],WWWW[[#This Row],['# People received regular supply of hygiene items]])</f>
        <v>0</v>
      </c>
      <c r="BJ261" s="555">
        <f>IF(WWWW[[#This Row],[HRP3]]/WWWW[[#This Row],[Total PoP ]]&gt;100%,100%,WWWW[[#This Row],[HRP3]]/WWWW[[#This Row],[Total PoP ]])</f>
        <v>0</v>
      </c>
      <c r="BK261" s="558">
        <f>1-WWWW[[#This Row],[Hygiene Coverage%]]</f>
        <v>1</v>
      </c>
      <c r="BL261" s="556">
        <f>WWWW[[#This Row],['# people reached by regular dedicated hygiene promotion]]/WWWW[[#This Row],[Total PoP ]]</f>
        <v>0</v>
      </c>
      <c r="BM26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1" s="557">
        <f>WWWW[[#This Row],['#_of_affected_women_and_girls_receiving_a_sufficient_quantity_of_sanitary_pads]]</f>
        <v>0</v>
      </c>
      <c r="BO261" s="611">
        <f>IF(WWWW[[#This Row],['# People with access to soap]]&gt;WWWW[[#This Row],['# People with access to Sanity Pads]],WWWW[[#This Row],['# People with access to soap]],WWWW[[#This Row],['# People with access to Sanity Pads]])</f>
        <v>0</v>
      </c>
      <c r="BP261" s="565" t="str">
        <f>IF(OR(WWWW[[#This Row],['#of students in school]]="",WWWW[[#This Row],['#of students in school]]=0),"No","Yes")</f>
        <v>Yes</v>
      </c>
      <c r="BQ261" s="559" t="str">
        <f>VLOOKUP(WWWW[[#This Row],[Village  Name]],SiteDB6[[Site Name]:[Location Type 1]],9,FALSE)</f>
        <v>Village</v>
      </c>
      <c r="BR261" s="559" t="str">
        <f>VLOOKUP(WWWW[[#This Row],[Village  Name]],SiteDB6[[Site Name]:[Type of Accommodation]],10,FALSE)</f>
        <v>Village</v>
      </c>
      <c r="BS261" s="559" t="str">
        <f>VLOOKUP(WWWW[[#This Row],[Village  Name]],SiteDB6[[Site Name]:[Ethnic or GCA/NGCA]],11,FALSE)</f>
        <v>Rakhine</v>
      </c>
      <c r="BT261" s="559">
        <f>VLOOKUP(WWWW[[#This Row],[Village  Name]],SiteDB6[[Site Name]:[Lat]],12,FALSE)</f>
        <v>0</v>
      </c>
      <c r="BU261" s="559">
        <f>VLOOKUP(WWWW[[#This Row],[Village  Name]],SiteDB6[[Site Name]:[Long]],13,FALSE)</f>
        <v>0</v>
      </c>
      <c r="BV261" s="559">
        <f>VLOOKUP(WWWW[[#This Row],[Village  Name]],SiteDB6[[Site Name]:[Pcode]],3,FALSE)</f>
        <v>197447</v>
      </c>
      <c r="BW261" s="559" t="str">
        <f t="shared" si="11"/>
        <v>Covered</v>
      </c>
      <c r="BX261" s="587"/>
    </row>
    <row r="262" spans="1:76">
      <c r="A262" s="612" t="s">
        <v>2381</v>
      </c>
      <c r="B262" s="612" t="s">
        <v>316</v>
      </c>
      <c r="C262" s="457" t="s">
        <v>316</v>
      </c>
      <c r="D262" s="457" t="s">
        <v>329</v>
      </c>
      <c r="E262" s="551" t="s">
        <v>2687</v>
      </c>
      <c r="F262" s="457" t="s">
        <v>297</v>
      </c>
      <c r="G262" s="551" t="str">
        <f>VLOOKUP(WWWW[[#This Row],[Village  Name]],SiteDB6[[Site Name]:[Location Type]],8,FALSE)</f>
        <v>Village</v>
      </c>
      <c r="H262" s="457" t="s">
        <v>2610</v>
      </c>
      <c r="I262" s="611">
        <v>192</v>
      </c>
      <c r="J262" s="611">
        <v>1083</v>
      </c>
      <c r="K262" s="461">
        <v>42736</v>
      </c>
      <c r="L262" s="55">
        <v>44551</v>
      </c>
      <c r="M262" s="611"/>
      <c r="N262" s="611"/>
      <c r="O262" s="611"/>
      <c r="P262" s="611"/>
      <c r="Q262" s="611"/>
      <c r="R262" s="611"/>
      <c r="S262" s="611"/>
      <c r="T262" s="643"/>
      <c r="U262" s="611"/>
      <c r="V262" s="611" t="s">
        <v>132</v>
      </c>
      <c r="W262" s="611"/>
      <c r="X262" s="611"/>
      <c r="Y262" s="611"/>
      <c r="Z262" s="611"/>
      <c r="AA262" s="611"/>
      <c r="AB262" s="643"/>
      <c r="AC262" s="611"/>
      <c r="AD262" s="611"/>
      <c r="AE262" s="611"/>
      <c r="AF262" s="611"/>
      <c r="AG262" s="611"/>
      <c r="AH262" s="611"/>
      <c r="AI262" s="611"/>
      <c r="AJ262" s="611"/>
      <c r="AK262" s="611"/>
      <c r="AL262" s="611"/>
      <c r="AM262" s="643"/>
      <c r="AN262" s="611"/>
      <c r="AO262" s="611"/>
      <c r="AP26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2" s="565">
        <f>WWWW[[#This Row],[%Equitable and continuous access to sufficient quantity of safe drinking water]]*WWWW[[#This Row],[Total PoP ]]</f>
        <v>0</v>
      </c>
      <c r="AR26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62" s="565">
        <f>WWWW[[#This Row],[% Access to unimproved water points]]*WWWW[[#This Row],[Total PoP ]]</f>
        <v>0</v>
      </c>
      <c r="AT26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6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62" s="565">
        <f>WWWW[[#This Row],[HRP1]]/250</f>
        <v>0</v>
      </c>
      <c r="AW262" s="555">
        <f>1-WWWW[[#This Row],[% Equitable and continuous access to sufficient quantity of domestic water]]</f>
        <v>1</v>
      </c>
      <c r="AX262" s="565">
        <f>WWWW[[#This Row],[%equitable and continuous access to sufficient quantity of safe drinking and domestic water''s GAP]]*WWWW[[#This Row],[Total PoP ]]</f>
        <v>1083</v>
      </c>
      <c r="AY262" s="557">
        <f>IF(WWWW[[#This Row],[Total required water points]]-WWWW[[#This Row],['#Water points coverage]]&lt;0,0,WWWW[[#This Row],[Total required water points]]-WWWW[[#This Row],['#Water points coverage]])</f>
        <v>4</v>
      </c>
      <c r="AZ262" s="557">
        <f>ROUND(IF(WWWW[[#This Row],[Total PoP ]]&lt;250,1,WWWW[[#This Row],[Total PoP ]]/250),0)</f>
        <v>4</v>
      </c>
      <c r="BA26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62" s="565">
        <f>WWWW[[#This Row],[% people access to functioning Latrine]]*WWWW[[#This Row],[Total PoP ]]</f>
        <v>0</v>
      </c>
      <c r="BC262" s="557">
        <f>WWWW[[#This Row],['#_of_Functioning_latrines_in_school]]*50</f>
        <v>0</v>
      </c>
      <c r="BD262" s="557">
        <f>ROUND((WWWW[[#This Row],[Total PoP ]]/6),0)</f>
        <v>181</v>
      </c>
      <c r="BE262" s="557">
        <f>IF(WWWW[[#This Row],[Total required Latrines]]-(WWWW[[#This Row],['#_of_sanitary_fly-proof_HH_latrines]])&lt;0,0,WWWW[[#This Row],[Total required Latrines]]-(WWWW[[#This Row],['#_of_sanitary_fly-proof_HH_latrines]]))</f>
        <v>181</v>
      </c>
      <c r="BF262" s="558">
        <f>1-WWWW[[#This Row],[% people access to functioning Latrine]]</f>
        <v>1</v>
      </c>
      <c r="BG26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2" s="565">
        <f>IF(WWWW[[#This Row],['#_of_functional_handwashing_facilities_at_HH_level]]*6&gt;WWWW[[#This Row],[Total PoP ]],WWWW[[#This Row],[Total PoP ]],WWWW[[#This Row],['#_of_functional_handwashing_facilities_at_HH_level]]*6)</f>
        <v>0</v>
      </c>
      <c r="BI262" s="557">
        <f>IF(WWWW[[#This Row],['# people reached by regular dedicated hygiene promotion]]&gt;WWWW[[#This Row],['# People received regular supply of hygiene items]],WWWW[[#This Row],['# people reached by regular dedicated hygiene promotion]],WWWW[[#This Row],['# People received regular supply of hygiene items]])</f>
        <v>0</v>
      </c>
      <c r="BJ262" s="555">
        <f>IF(WWWW[[#This Row],[HRP3]]/WWWW[[#This Row],[Total PoP ]]&gt;100%,100%,WWWW[[#This Row],[HRP3]]/WWWW[[#This Row],[Total PoP ]])</f>
        <v>0</v>
      </c>
      <c r="BK262" s="558">
        <f>1-WWWW[[#This Row],[Hygiene Coverage%]]</f>
        <v>1</v>
      </c>
      <c r="BL262" s="556">
        <f>WWWW[[#This Row],['# people reached by regular dedicated hygiene promotion]]/WWWW[[#This Row],[Total PoP ]]</f>
        <v>0</v>
      </c>
      <c r="BM26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2" s="557">
        <f>WWWW[[#This Row],['#_of_affected_women_and_girls_receiving_a_sufficient_quantity_of_sanitary_pads]]</f>
        <v>0</v>
      </c>
      <c r="BO262" s="611">
        <f>IF(WWWW[[#This Row],['# People with access to soap]]&gt;WWWW[[#This Row],['# People with access to Sanity Pads]],WWWW[[#This Row],['# People with access to soap]],WWWW[[#This Row],['# People with access to Sanity Pads]])</f>
        <v>0</v>
      </c>
      <c r="BP262" s="565" t="str">
        <f>IF(OR(WWWW[[#This Row],['#of students in school]]="",WWWW[[#This Row],['#of students in school]]=0),"No","Yes")</f>
        <v>No</v>
      </c>
      <c r="BQ262" s="559" t="str">
        <f>VLOOKUP(WWWW[[#This Row],[Village  Name]],SiteDB6[[Site Name]:[Location Type 1]],9,FALSE)</f>
        <v>Village</v>
      </c>
      <c r="BR262" s="559" t="str">
        <f>VLOOKUP(WWWW[[#This Row],[Village  Name]],SiteDB6[[Site Name]:[Type of Accommodation]],10,FALSE)</f>
        <v>Village</v>
      </c>
      <c r="BS262" s="559">
        <f>VLOOKUP(WWWW[[#This Row],[Village  Name]],SiteDB6[[Site Name]:[Ethnic or GCA/NGCA]],11,FALSE)</f>
        <v>0</v>
      </c>
      <c r="BT262" s="559">
        <f>VLOOKUP(WWWW[[#This Row],[Village  Name]],SiteDB6[[Site Name]:[Lat]],12,FALSE)</f>
        <v>0</v>
      </c>
      <c r="BU262" s="559">
        <f>VLOOKUP(WWWW[[#This Row],[Village  Name]],SiteDB6[[Site Name]:[Long]],13,FALSE)</f>
        <v>0</v>
      </c>
      <c r="BV262" s="559">
        <f>VLOOKUP(WWWW[[#This Row],[Village  Name]],SiteDB6[[Site Name]:[Pcode]],3,FALSE)</f>
        <v>196132</v>
      </c>
      <c r="BW262" s="559" t="str">
        <f t="shared" si="11"/>
        <v>Covered</v>
      </c>
      <c r="BX262" s="587"/>
    </row>
    <row r="263" spans="1:76">
      <c r="A263" s="612" t="s">
        <v>2381</v>
      </c>
      <c r="B263" s="612" t="s">
        <v>316</v>
      </c>
      <c r="C263" s="457" t="s">
        <v>316</v>
      </c>
      <c r="D263" s="457" t="s">
        <v>329</v>
      </c>
      <c r="E263" s="551" t="s">
        <v>2687</v>
      </c>
      <c r="F263" s="457" t="s">
        <v>297</v>
      </c>
      <c r="G263" s="551" t="str">
        <f>VLOOKUP(WWWW[[#This Row],[Village  Name]],SiteDB6[[Site Name]:[Location Type]],8,FALSE)</f>
        <v>Village</v>
      </c>
      <c r="H263" s="457" t="s">
        <v>2611</v>
      </c>
      <c r="I263" s="611">
        <v>65</v>
      </c>
      <c r="J263" s="611">
        <v>373</v>
      </c>
      <c r="K263" s="461">
        <v>42736</v>
      </c>
      <c r="L263" s="55">
        <v>44551</v>
      </c>
      <c r="M263" s="611"/>
      <c r="N263" s="611"/>
      <c r="O263" s="611"/>
      <c r="P263" s="611"/>
      <c r="Q263" s="611"/>
      <c r="R263" s="611"/>
      <c r="S263" s="611"/>
      <c r="T263" s="643"/>
      <c r="U263" s="611"/>
      <c r="V263" s="611" t="s">
        <v>132</v>
      </c>
      <c r="W263" s="611"/>
      <c r="X263" s="611"/>
      <c r="Y263" s="611"/>
      <c r="Z263" s="611"/>
      <c r="AA263" s="611"/>
      <c r="AB263" s="643"/>
      <c r="AC263" s="611"/>
      <c r="AD263" s="611"/>
      <c r="AE263" s="611"/>
      <c r="AF263" s="611"/>
      <c r="AG263" s="611"/>
      <c r="AH263" s="611"/>
      <c r="AI263" s="611"/>
      <c r="AJ263" s="611"/>
      <c r="AK263" s="611"/>
      <c r="AL263" s="611"/>
      <c r="AM263" s="643"/>
      <c r="AN263" s="611"/>
      <c r="AO263" s="611"/>
      <c r="AP26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3" s="565">
        <f>WWWW[[#This Row],[%Equitable and continuous access to sufficient quantity of safe drinking water]]*WWWW[[#This Row],[Total PoP ]]</f>
        <v>0</v>
      </c>
      <c r="AR26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63" s="565">
        <f>WWWW[[#This Row],[% Access to unimproved water points]]*WWWW[[#This Row],[Total PoP ]]</f>
        <v>0</v>
      </c>
      <c r="AT26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6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63" s="565">
        <f>WWWW[[#This Row],[HRP1]]/250</f>
        <v>0</v>
      </c>
      <c r="AW263" s="555">
        <f>1-WWWW[[#This Row],[% Equitable and continuous access to sufficient quantity of domestic water]]</f>
        <v>1</v>
      </c>
      <c r="AX263" s="565">
        <f>WWWW[[#This Row],[%equitable and continuous access to sufficient quantity of safe drinking and domestic water''s GAP]]*WWWW[[#This Row],[Total PoP ]]</f>
        <v>373</v>
      </c>
      <c r="AY263" s="557">
        <f>IF(WWWW[[#This Row],[Total required water points]]-WWWW[[#This Row],['#Water points coverage]]&lt;0,0,WWWW[[#This Row],[Total required water points]]-WWWW[[#This Row],['#Water points coverage]])</f>
        <v>1</v>
      </c>
      <c r="AZ263" s="557">
        <f>ROUND(IF(WWWW[[#This Row],[Total PoP ]]&lt;250,1,WWWW[[#This Row],[Total PoP ]]/250),0)</f>
        <v>1</v>
      </c>
      <c r="BA26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63" s="565">
        <f>WWWW[[#This Row],[% people access to functioning Latrine]]*WWWW[[#This Row],[Total PoP ]]</f>
        <v>0</v>
      </c>
      <c r="BC263" s="557">
        <f>WWWW[[#This Row],['#_of_Functioning_latrines_in_school]]*50</f>
        <v>0</v>
      </c>
      <c r="BD263" s="557">
        <f>ROUND((WWWW[[#This Row],[Total PoP ]]/6),0)</f>
        <v>62</v>
      </c>
      <c r="BE263" s="557">
        <f>IF(WWWW[[#This Row],[Total required Latrines]]-(WWWW[[#This Row],['#_of_sanitary_fly-proof_HH_latrines]])&lt;0,0,WWWW[[#This Row],[Total required Latrines]]-(WWWW[[#This Row],['#_of_sanitary_fly-proof_HH_latrines]]))</f>
        <v>62</v>
      </c>
      <c r="BF263" s="558">
        <f>1-WWWW[[#This Row],[% people access to functioning Latrine]]</f>
        <v>1</v>
      </c>
      <c r="BG26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3" s="565">
        <f>IF(WWWW[[#This Row],['#_of_functional_handwashing_facilities_at_HH_level]]*6&gt;WWWW[[#This Row],[Total PoP ]],WWWW[[#This Row],[Total PoP ]],WWWW[[#This Row],['#_of_functional_handwashing_facilities_at_HH_level]]*6)</f>
        <v>0</v>
      </c>
      <c r="BI263" s="557">
        <f>IF(WWWW[[#This Row],['# people reached by regular dedicated hygiene promotion]]&gt;WWWW[[#This Row],['# People received regular supply of hygiene items]],WWWW[[#This Row],['# people reached by regular dedicated hygiene promotion]],WWWW[[#This Row],['# People received regular supply of hygiene items]])</f>
        <v>0</v>
      </c>
      <c r="BJ263" s="555">
        <f>IF(WWWW[[#This Row],[HRP3]]/WWWW[[#This Row],[Total PoP ]]&gt;100%,100%,WWWW[[#This Row],[HRP3]]/WWWW[[#This Row],[Total PoP ]])</f>
        <v>0</v>
      </c>
      <c r="BK263" s="558">
        <f>1-WWWW[[#This Row],[Hygiene Coverage%]]</f>
        <v>1</v>
      </c>
      <c r="BL263" s="556">
        <f>WWWW[[#This Row],['# people reached by regular dedicated hygiene promotion]]/WWWW[[#This Row],[Total PoP ]]</f>
        <v>0</v>
      </c>
      <c r="BM26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3" s="557">
        <f>WWWW[[#This Row],['#_of_affected_women_and_girls_receiving_a_sufficient_quantity_of_sanitary_pads]]</f>
        <v>0</v>
      </c>
      <c r="BO263" s="611">
        <f>IF(WWWW[[#This Row],['# People with access to soap]]&gt;WWWW[[#This Row],['# People with access to Sanity Pads]],WWWW[[#This Row],['# People with access to soap]],WWWW[[#This Row],['# People with access to Sanity Pads]])</f>
        <v>0</v>
      </c>
      <c r="BP263" s="565" t="str">
        <f>IF(OR(WWWW[[#This Row],['#of students in school]]="",WWWW[[#This Row],['#of students in school]]=0),"No","Yes")</f>
        <v>No</v>
      </c>
      <c r="BQ263" s="559" t="str">
        <f>VLOOKUP(WWWW[[#This Row],[Village  Name]],SiteDB6[[Site Name]:[Location Type 1]],9,FALSE)</f>
        <v>Village</v>
      </c>
      <c r="BR263" s="559" t="str">
        <f>VLOOKUP(WWWW[[#This Row],[Village  Name]],SiteDB6[[Site Name]:[Type of Accommodation]],10,FALSE)</f>
        <v>Village</v>
      </c>
      <c r="BS263" s="559">
        <f>VLOOKUP(WWWW[[#This Row],[Village  Name]],SiteDB6[[Site Name]:[Ethnic or GCA/NGCA]],11,FALSE)</f>
        <v>0</v>
      </c>
      <c r="BT263" s="559">
        <f>VLOOKUP(WWWW[[#This Row],[Village  Name]],SiteDB6[[Site Name]:[Lat]],12,FALSE)</f>
        <v>0</v>
      </c>
      <c r="BU263" s="559">
        <f>VLOOKUP(WWWW[[#This Row],[Village  Name]],SiteDB6[[Site Name]:[Long]],13,FALSE)</f>
        <v>0</v>
      </c>
      <c r="BV263" s="559">
        <f>VLOOKUP(WWWW[[#This Row],[Village  Name]],SiteDB6[[Site Name]:[Pcode]],3,FALSE)</f>
        <v>196135</v>
      </c>
      <c r="BW263" s="559" t="str">
        <f t="shared" si="11"/>
        <v>Covered</v>
      </c>
      <c r="BX263" s="587"/>
    </row>
    <row r="264" spans="1:76">
      <c r="A264" s="612" t="s">
        <v>2381</v>
      </c>
      <c r="B264" s="612" t="s">
        <v>316</v>
      </c>
      <c r="C264" s="457" t="s">
        <v>316</v>
      </c>
      <c r="D264" s="457" t="s">
        <v>329</v>
      </c>
      <c r="E264" s="551" t="s">
        <v>2687</v>
      </c>
      <c r="F264" s="457" t="s">
        <v>297</v>
      </c>
      <c r="G264" s="551" t="str">
        <f>VLOOKUP(WWWW[[#This Row],[Village  Name]],SiteDB6[[Site Name]:[Location Type]],8,FALSE)</f>
        <v>Village</v>
      </c>
      <c r="H264" s="457" t="s">
        <v>2612</v>
      </c>
      <c r="I264" s="611">
        <v>86</v>
      </c>
      <c r="J264" s="611">
        <v>481</v>
      </c>
      <c r="K264" s="461">
        <v>42736</v>
      </c>
      <c r="L264" s="55">
        <v>44551</v>
      </c>
      <c r="M264" s="611"/>
      <c r="N264" s="611"/>
      <c r="O264" s="611"/>
      <c r="P264" s="611"/>
      <c r="Q264" s="611"/>
      <c r="R264" s="611"/>
      <c r="S264" s="611"/>
      <c r="T264" s="643"/>
      <c r="U264" s="611"/>
      <c r="V264" s="611" t="s">
        <v>132</v>
      </c>
      <c r="W264" s="611"/>
      <c r="X264" s="611"/>
      <c r="Y264" s="611"/>
      <c r="Z264" s="611"/>
      <c r="AA264" s="611"/>
      <c r="AB264" s="643"/>
      <c r="AC264" s="611"/>
      <c r="AD264" s="611"/>
      <c r="AE264" s="611"/>
      <c r="AF264" s="611"/>
      <c r="AG264" s="611"/>
      <c r="AH264" s="611"/>
      <c r="AI264" s="611"/>
      <c r="AJ264" s="611"/>
      <c r="AK264" s="611"/>
      <c r="AL264" s="611"/>
      <c r="AM264" s="643"/>
      <c r="AN264" s="611"/>
      <c r="AO264" s="611"/>
      <c r="AP26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4" s="565">
        <f>WWWW[[#This Row],[%Equitable and continuous access to sufficient quantity of safe drinking water]]*WWWW[[#This Row],[Total PoP ]]</f>
        <v>0</v>
      </c>
      <c r="AR26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64" s="565">
        <f>WWWW[[#This Row],[% Access to unimproved water points]]*WWWW[[#This Row],[Total PoP ]]</f>
        <v>0</v>
      </c>
      <c r="AT26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6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64" s="565">
        <f>WWWW[[#This Row],[HRP1]]/250</f>
        <v>0</v>
      </c>
      <c r="AW264" s="555">
        <f>1-WWWW[[#This Row],[% Equitable and continuous access to sufficient quantity of domestic water]]</f>
        <v>1</v>
      </c>
      <c r="AX264" s="565">
        <f>WWWW[[#This Row],[%equitable and continuous access to sufficient quantity of safe drinking and domestic water''s GAP]]*WWWW[[#This Row],[Total PoP ]]</f>
        <v>481</v>
      </c>
      <c r="AY264" s="557">
        <f>IF(WWWW[[#This Row],[Total required water points]]-WWWW[[#This Row],['#Water points coverage]]&lt;0,0,WWWW[[#This Row],[Total required water points]]-WWWW[[#This Row],['#Water points coverage]])</f>
        <v>2</v>
      </c>
      <c r="AZ264" s="557">
        <f>ROUND(IF(WWWW[[#This Row],[Total PoP ]]&lt;250,1,WWWW[[#This Row],[Total PoP ]]/250),0)</f>
        <v>2</v>
      </c>
      <c r="BA26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64" s="565">
        <f>WWWW[[#This Row],[% people access to functioning Latrine]]*WWWW[[#This Row],[Total PoP ]]</f>
        <v>0</v>
      </c>
      <c r="BC264" s="557">
        <f>WWWW[[#This Row],['#_of_Functioning_latrines_in_school]]*50</f>
        <v>0</v>
      </c>
      <c r="BD264" s="557">
        <f>ROUND((WWWW[[#This Row],[Total PoP ]]/6),0)</f>
        <v>80</v>
      </c>
      <c r="BE264" s="557">
        <f>IF(WWWW[[#This Row],[Total required Latrines]]-(WWWW[[#This Row],['#_of_sanitary_fly-proof_HH_latrines]])&lt;0,0,WWWW[[#This Row],[Total required Latrines]]-(WWWW[[#This Row],['#_of_sanitary_fly-proof_HH_latrines]]))</f>
        <v>80</v>
      </c>
      <c r="BF264" s="558">
        <f>1-WWWW[[#This Row],[% people access to functioning Latrine]]</f>
        <v>1</v>
      </c>
      <c r="BG26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4" s="565">
        <f>IF(WWWW[[#This Row],['#_of_functional_handwashing_facilities_at_HH_level]]*6&gt;WWWW[[#This Row],[Total PoP ]],WWWW[[#This Row],[Total PoP ]],WWWW[[#This Row],['#_of_functional_handwashing_facilities_at_HH_level]]*6)</f>
        <v>0</v>
      </c>
      <c r="BI264" s="557">
        <f>IF(WWWW[[#This Row],['# people reached by regular dedicated hygiene promotion]]&gt;WWWW[[#This Row],['# People received regular supply of hygiene items]],WWWW[[#This Row],['# people reached by regular dedicated hygiene promotion]],WWWW[[#This Row],['# People received regular supply of hygiene items]])</f>
        <v>0</v>
      </c>
      <c r="BJ264" s="555">
        <f>IF(WWWW[[#This Row],[HRP3]]/WWWW[[#This Row],[Total PoP ]]&gt;100%,100%,WWWW[[#This Row],[HRP3]]/WWWW[[#This Row],[Total PoP ]])</f>
        <v>0</v>
      </c>
      <c r="BK264" s="558">
        <f>1-WWWW[[#This Row],[Hygiene Coverage%]]</f>
        <v>1</v>
      </c>
      <c r="BL264" s="556">
        <f>WWWW[[#This Row],['# people reached by regular dedicated hygiene promotion]]/WWWW[[#This Row],[Total PoP ]]</f>
        <v>0</v>
      </c>
      <c r="BM26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4" s="557">
        <f>WWWW[[#This Row],['#_of_affected_women_and_girls_receiving_a_sufficient_quantity_of_sanitary_pads]]</f>
        <v>0</v>
      </c>
      <c r="BO264" s="611">
        <f>IF(WWWW[[#This Row],['# People with access to soap]]&gt;WWWW[[#This Row],['# People with access to Sanity Pads]],WWWW[[#This Row],['# People with access to soap]],WWWW[[#This Row],['# People with access to Sanity Pads]])</f>
        <v>0</v>
      </c>
      <c r="BP264" s="565" t="str">
        <f>IF(OR(WWWW[[#This Row],['#of students in school]]="",WWWW[[#This Row],['#of students in school]]=0),"No","Yes")</f>
        <v>No</v>
      </c>
      <c r="BQ264" s="559" t="str">
        <f>VLOOKUP(WWWW[[#This Row],[Village  Name]],SiteDB6[[Site Name]:[Location Type 1]],9,FALSE)</f>
        <v>Village</v>
      </c>
      <c r="BR264" s="559" t="str">
        <f>VLOOKUP(WWWW[[#This Row],[Village  Name]],SiteDB6[[Site Name]:[Type of Accommodation]],10,FALSE)</f>
        <v>Village</v>
      </c>
      <c r="BS264" s="559">
        <f>VLOOKUP(WWWW[[#This Row],[Village  Name]],SiteDB6[[Site Name]:[Ethnic or GCA/NGCA]],11,FALSE)</f>
        <v>0</v>
      </c>
      <c r="BT264" s="559">
        <f>VLOOKUP(WWWW[[#This Row],[Village  Name]],SiteDB6[[Site Name]:[Lat]],12,FALSE)</f>
        <v>20.187860488891602</v>
      </c>
      <c r="BU264" s="559">
        <f>VLOOKUP(WWWW[[#This Row],[Village  Name]],SiteDB6[[Site Name]:[Long]],13,FALSE)</f>
        <v>92.903419494628906</v>
      </c>
      <c r="BV264" s="559">
        <f>VLOOKUP(WWWW[[#This Row],[Village  Name]],SiteDB6[[Site Name]:[Pcode]],3,FALSE)</f>
        <v>196134</v>
      </c>
      <c r="BW264" s="559" t="str">
        <f t="shared" si="11"/>
        <v>Covered</v>
      </c>
      <c r="BX264" s="587"/>
    </row>
    <row r="265" spans="1:76">
      <c r="A265" s="612" t="s">
        <v>2381</v>
      </c>
      <c r="B265" s="612" t="s">
        <v>316</v>
      </c>
      <c r="C265" s="457" t="s">
        <v>316</v>
      </c>
      <c r="D265" s="457" t="s">
        <v>329</v>
      </c>
      <c r="E265" s="551" t="s">
        <v>2687</v>
      </c>
      <c r="F265" s="457" t="s">
        <v>297</v>
      </c>
      <c r="G265" s="551" t="str">
        <f>VLOOKUP(WWWW[[#This Row],[Village  Name]],SiteDB6[[Site Name]:[Location Type]],8,FALSE)</f>
        <v>Village</v>
      </c>
      <c r="H265" s="457" t="s">
        <v>2613</v>
      </c>
      <c r="I265" s="611">
        <v>88</v>
      </c>
      <c r="J265" s="611">
        <v>454</v>
      </c>
      <c r="K265" s="461">
        <v>42736</v>
      </c>
      <c r="L265" s="55">
        <v>44551</v>
      </c>
      <c r="M265" s="611"/>
      <c r="N265" s="611"/>
      <c r="O265" s="611"/>
      <c r="P265" s="611"/>
      <c r="Q265" s="611"/>
      <c r="R265" s="611"/>
      <c r="S265" s="611"/>
      <c r="T265" s="643"/>
      <c r="U265" s="611"/>
      <c r="V265" s="611" t="s">
        <v>132</v>
      </c>
      <c r="W265" s="611"/>
      <c r="X265" s="611"/>
      <c r="Y265" s="611"/>
      <c r="Z265" s="611"/>
      <c r="AA265" s="611"/>
      <c r="AB265" s="643"/>
      <c r="AC265" s="611"/>
      <c r="AD265" s="611"/>
      <c r="AE265" s="611"/>
      <c r="AF265" s="611"/>
      <c r="AG265" s="611"/>
      <c r="AH265" s="611"/>
      <c r="AI265" s="611"/>
      <c r="AJ265" s="611"/>
      <c r="AK265" s="611"/>
      <c r="AL265" s="611"/>
      <c r="AM265" s="643"/>
      <c r="AN265" s="611"/>
      <c r="AO265" s="611"/>
      <c r="AP26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5" s="565">
        <f>WWWW[[#This Row],[%Equitable and continuous access to sufficient quantity of safe drinking water]]*WWWW[[#This Row],[Total PoP ]]</f>
        <v>0</v>
      </c>
      <c r="AR26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65" s="565">
        <f>WWWW[[#This Row],[% Access to unimproved water points]]*WWWW[[#This Row],[Total PoP ]]</f>
        <v>0</v>
      </c>
      <c r="AT26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6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65" s="565">
        <f>WWWW[[#This Row],[HRP1]]/250</f>
        <v>0</v>
      </c>
      <c r="AW265" s="555">
        <f>1-WWWW[[#This Row],[% Equitable and continuous access to sufficient quantity of domestic water]]</f>
        <v>1</v>
      </c>
      <c r="AX265" s="565">
        <f>WWWW[[#This Row],[%equitable and continuous access to sufficient quantity of safe drinking and domestic water''s GAP]]*WWWW[[#This Row],[Total PoP ]]</f>
        <v>454</v>
      </c>
      <c r="AY265" s="557">
        <f>IF(WWWW[[#This Row],[Total required water points]]-WWWW[[#This Row],['#Water points coverage]]&lt;0,0,WWWW[[#This Row],[Total required water points]]-WWWW[[#This Row],['#Water points coverage]])</f>
        <v>2</v>
      </c>
      <c r="AZ265" s="557">
        <f>ROUND(IF(WWWW[[#This Row],[Total PoP ]]&lt;250,1,WWWW[[#This Row],[Total PoP ]]/250),0)</f>
        <v>2</v>
      </c>
      <c r="BA26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65" s="565">
        <f>WWWW[[#This Row],[% people access to functioning Latrine]]*WWWW[[#This Row],[Total PoP ]]</f>
        <v>0</v>
      </c>
      <c r="BC265" s="557">
        <f>WWWW[[#This Row],['#_of_Functioning_latrines_in_school]]*50</f>
        <v>0</v>
      </c>
      <c r="BD265" s="557">
        <f>ROUND((WWWW[[#This Row],[Total PoP ]]/6),0)</f>
        <v>76</v>
      </c>
      <c r="BE265" s="557">
        <f>IF(WWWW[[#This Row],[Total required Latrines]]-(WWWW[[#This Row],['#_of_sanitary_fly-proof_HH_latrines]])&lt;0,0,WWWW[[#This Row],[Total required Latrines]]-(WWWW[[#This Row],['#_of_sanitary_fly-proof_HH_latrines]]))</f>
        <v>76</v>
      </c>
      <c r="BF265" s="558">
        <f>1-WWWW[[#This Row],[% people access to functioning Latrine]]</f>
        <v>1</v>
      </c>
      <c r="BG26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5" s="565">
        <f>IF(WWWW[[#This Row],['#_of_functional_handwashing_facilities_at_HH_level]]*6&gt;WWWW[[#This Row],[Total PoP ]],WWWW[[#This Row],[Total PoP ]],WWWW[[#This Row],['#_of_functional_handwashing_facilities_at_HH_level]]*6)</f>
        <v>0</v>
      </c>
      <c r="BI265" s="557">
        <f>IF(WWWW[[#This Row],['# people reached by regular dedicated hygiene promotion]]&gt;WWWW[[#This Row],['# People received regular supply of hygiene items]],WWWW[[#This Row],['# people reached by regular dedicated hygiene promotion]],WWWW[[#This Row],['# People received regular supply of hygiene items]])</f>
        <v>0</v>
      </c>
      <c r="BJ265" s="555">
        <f>IF(WWWW[[#This Row],[HRP3]]/WWWW[[#This Row],[Total PoP ]]&gt;100%,100%,WWWW[[#This Row],[HRP3]]/WWWW[[#This Row],[Total PoP ]])</f>
        <v>0</v>
      </c>
      <c r="BK265" s="558">
        <f>1-WWWW[[#This Row],[Hygiene Coverage%]]</f>
        <v>1</v>
      </c>
      <c r="BL265" s="556">
        <f>WWWW[[#This Row],['# people reached by regular dedicated hygiene promotion]]/WWWW[[#This Row],[Total PoP ]]</f>
        <v>0</v>
      </c>
      <c r="BM26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5" s="557">
        <f>WWWW[[#This Row],['#_of_affected_women_and_girls_receiving_a_sufficient_quantity_of_sanitary_pads]]</f>
        <v>0</v>
      </c>
      <c r="BO265" s="611">
        <f>IF(WWWW[[#This Row],['# People with access to soap]]&gt;WWWW[[#This Row],['# People with access to Sanity Pads]],WWWW[[#This Row],['# People with access to soap]],WWWW[[#This Row],['# People with access to Sanity Pads]])</f>
        <v>0</v>
      </c>
      <c r="BP265" s="565" t="str">
        <f>IF(OR(WWWW[[#This Row],['#of students in school]]="",WWWW[[#This Row],['#of students in school]]=0),"No","Yes")</f>
        <v>No</v>
      </c>
      <c r="BQ265" s="559" t="str">
        <f>VLOOKUP(WWWW[[#This Row],[Village  Name]],SiteDB6[[Site Name]:[Location Type 1]],9,FALSE)</f>
        <v>Village</v>
      </c>
      <c r="BR265" s="559" t="str">
        <f>VLOOKUP(WWWW[[#This Row],[Village  Name]],SiteDB6[[Site Name]:[Type of Accommodation]],10,FALSE)</f>
        <v>Village</v>
      </c>
      <c r="BS265" s="559">
        <f>VLOOKUP(WWWW[[#This Row],[Village  Name]],SiteDB6[[Site Name]:[Ethnic or GCA/NGCA]],11,FALSE)</f>
        <v>0</v>
      </c>
      <c r="BT265" s="559">
        <f>VLOOKUP(WWWW[[#This Row],[Village  Name]],SiteDB6[[Site Name]:[Lat]],12,FALSE)</f>
        <v>20.1899604797363</v>
      </c>
      <c r="BU265" s="559">
        <f>VLOOKUP(WWWW[[#This Row],[Village  Name]],SiteDB6[[Site Name]:[Long]],13,FALSE)</f>
        <v>92.895767211914105</v>
      </c>
      <c r="BV265" s="559">
        <f>VLOOKUP(WWWW[[#This Row],[Village  Name]],SiteDB6[[Site Name]:[Pcode]],3,FALSE)</f>
        <v>196136</v>
      </c>
      <c r="BW265" s="559" t="str">
        <f t="shared" si="11"/>
        <v>Covered</v>
      </c>
      <c r="BX265" s="587"/>
    </row>
    <row r="266" spans="1:76">
      <c r="A266" s="612" t="s">
        <v>2381</v>
      </c>
      <c r="B266" s="612" t="s">
        <v>316</v>
      </c>
      <c r="C266" s="457" t="s">
        <v>316</v>
      </c>
      <c r="D266" s="457" t="s">
        <v>309</v>
      </c>
      <c r="E266" s="551" t="s">
        <v>2687</v>
      </c>
      <c r="F266" s="457" t="s">
        <v>297</v>
      </c>
      <c r="G266" s="551" t="str">
        <f>VLOOKUP(WWWW[[#This Row],[Village  Name]],SiteDB6[[Site Name]:[Location Type]],8,FALSE)</f>
        <v>Village</v>
      </c>
      <c r="H266" s="457" t="s">
        <v>2614</v>
      </c>
      <c r="I266" s="611">
        <v>218</v>
      </c>
      <c r="J266" s="611">
        <v>978</v>
      </c>
      <c r="K266" s="461">
        <v>42736</v>
      </c>
      <c r="L266" s="55">
        <v>44551</v>
      </c>
      <c r="M266" s="611"/>
      <c r="N266" s="611"/>
      <c r="O266" s="611"/>
      <c r="P266" s="611"/>
      <c r="Q266" s="611"/>
      <c r="R266" s="611"/>
      <c r="S266" s="611"/>
      <c r="T266" s="643"/>
      <c r="U266" s="611"/>
      <c r="V266" s="611" t="s">
        <v>132</v>
      </c>
      <c r="W266" s="611"/>
      <c r="X266" s="611"/>
      <c r="Y266" s="611"/>
      <c r="Z266" s="611"/>
      <c r="AA266" s="611"/>
      <c r="AB266" s="643"/>
      <c r="AC266" s="611"/>
      <c r="AD266" s="611"/>
      <c r="AE266" s="611"/>
      <c r="AF266" s="611"/>
      <c r="AG266" s="611"/>
      <c r="AH266" s="611"/>
      <c r="AI266" s="611"/>
      <c r="AJ266" s="611"/>
      <c r="AK266" s="611"/>
      <c r="AL266" s="611"/>
      <c r="AM266" s="643"/>
      <c r="AN266" s="611"/>
      <c r="AO266" s="611"/>
      <c r="AP26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6" s="565">
        <f>WWWW[[#This Row],[%Equitable and continuous access to sufficient quantity of safe drinking water]]*WWWW[[#This Row],[Total PoP ]]</f>
        <v>0</v>
      </c>
      <c r="AR26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66" s="565">
        <f>WWWW[[#This Row],[% Access to unimproved water points]]*WWWW[[#This Row],[Total PoP ]]</f>
        <v>0</v>
      </c>
      <c r="AT26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6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66" s="565">
        <f>WWWW[[#This Row],[HRP1]]/250</f>
        <v>0</v>
      </c>
      <c r="AW266" s="555">
        <f>1-WWWW[[#This Row],[% Equitable and continuous access to sufficient quantity of domestic water]]</f>
        <v>1</v>
      </c>
      <c r="AX266" s="565">
        <f>WWWW[[#This Row],[%equitable and continuous access to sufficient quantity of safe drinking and domestic water''s GAP]]*WWWW[[#This Row],[Total PoP ]]</f>
        <v>978</v>
      </c>
      <c r="AY266" s="557">
        <f>IF(WWWW[[#This Row],[Total required water points]]-WWWW[[#This Row],['#Water points coverage]]&lt;0,0,WWWW[[#This Row],[Total required water points]]-WWWW[[#This Row],['#Water points coverage]])</f>
        <v>4</v>
      </c>
      <c r="AZ266" s="557">
        <f>ROUND(IF(WWWW[[#This Row],[Total PoP ]]&lt;250,1,WWWW[[#This Row],[Total PoP ]]/250),0)</f>
        <v>4</v>
      </c>
      <c r="BA26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66" s="565">
        <f>WWWW[[#This Row],[% people access to functioning Latrine]]*WWWW[[#This Row],[Total PoP ]]</f>
        <v>0</v>
      </c>
      <c r="BC266" s="557">
        <f>WWWW[[#This Row],['#_of_Functioning_latrines_in_school]]*50</f>
        <v>0</v>
      </c>
      <c r="BD266" s="557">
        <f>ROUND((WWWW[[#This Row],[Total PoP ]]/6),0)</f>
        <v>163</v>
      </c>
      <c r="BE266" s="557">
        <f>IF(WWWW[[#This Row],[Total required Latrines]]-(WWWW[[#This Row],['#_of_sanitary_fly-proof_HH_latrines]])&lt;0,0,WWWW[[#This Row],[Total required Latrines]]-(WWWW[[#This Row],['#_of_sanitary_fly-proof_HH_latrines]]))</f>
        <v>163</v>
      </c>
      <c r="BF266" s="558">
        <f>1-WWWW[[#This Row],[% people access to functioning Latrine]]</f>
        <v>1</v>
      </c>
      <c r="BG26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6" s="565">
        <f>IF(WWWW[[#This Row],['#_of_functional_handwashing_facilities_at_HH_level]]*6&gt;WWWW[[#This Row],[Total PoP ]],WWWW[[#This Row],[Total PoP ]],WWWW[[#This Row],['#_of_functional_handwashing_facilities_at_HH_level]]*6)</f>
        <v>0</v>
      </c>
      <c r="BI266" s="557">
        <f>IF(WWWW[[#This Row],['# people reached by regular dedicated hygiene promotion]]&gt;WWWW[[#This Row],['# People received regular supply of hygiene items]],WWWW[[#This Row],['# people reached by regular dedicated hygiene promotion]],WWWW[[#This Row],['# People received regular supply of hygiene items]])</f>
        <v>0</v>
      </c>
      <c r="BJ266" s="555">
        <f>IF(WWWW[[#This Row],[HRP3]]/WWWW[[#This Row],[Total PoP ]]&gt;100%,100%,WWWW[[#This Row],[HRP3]]/WWWW[[#This Row],[Total PoP ]])</f>
        <v>0</v>
      </c>
      <c r="BK266" s="558">
        <f>1-WWWW[[#This Row],[Hygiene Coverage%]]</f>
        <v>1</v>
      </c>
      <c r="BL266" s="556">
        <f>WWWW[[#This Row],['# people reached by regular dedicated hygiene promotion]]/WWWW[[#This Row],[Total PoP ]]</f>
        <v>0</v>
      </c>
      <c r="BM26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6" s="557">
        <f>WWWW[[#This Row],['#_of_affected_women_and_girls_receiving_a_sufficient_quantity_of_sanitary_pads]]</f>
        <v>0</v>
      </c>
      <c r="BO266" s="611">
        <f>IF(WWWW[[#This Row],['# People with access to soap]]&gt;WWWW[[#This Row],['# People with access to Sanity Pads]],WWWW[[#This Row],['# People with access to soap]],WWWW[[#This Row],['# People with access to Sanity Pads]])</f>
        <v>0</v>
      </c>
      <c r="BP266" s="565" t="str">
        <f>IF(OR(WWWW[[#This Row],['#of students in school]]="",WWWW[[#This Row],['#of students in school]]=0),"No","Yes")</f>
        <v>No</v>
      </c>
      <c r="BQ266" s="559" t="str">
        <f>VLOOKUP(WWWW[[#This Row],[Village  Name]],SiteDB6[[Site Name]:[Location Type 1]],9,FALSE)</f>
        <v>Village</v>
      </c>
      <c r="BR266" s="559" t="str">
        <f>VLOOKUP(WWWW[[#This Row],[Village  Name]],SiteDB6[[Site Name]:[Type of Accommodation]],10,FALSE)</f>
        <v>Village</v>
      </c>
      <c r="BS266" s="559">
        <f>VLOOKUP(WWWW[[#This Row],[Village  Name]],SiteDB6[[Site Name]:[Ethnic or GCA/NGCA]],11,FALSE)</f>
        <v>0</v>
      </c>
      <c r="BT266" s="559">
        <f>VLOOKUP(WWWW[[#This Row],[Village  Name]],SiteDB6[[Site Name]:[Lat]],12,FALSE)</f>
        <v>20.2630290985107</v>
      </c>
      <c r="BU266" s="559">
        <f>VLOOKUP(WWWW[[#This Row],[Village  Name]],SiteDB6[[Site Name]:[Long]],13,FALSE)</f>
        <v>92.858856201171903</v>
      </c>
      <c r="BV266" s="559">
        <f>VLOOKUP(WWWW[[#This Row],[Village  Name]],SiteDB6[[Site Name]:[Pcode]],3,FALSE)</f>
        <v>196166</v>
      </c>
      <c r="BW266" s="559" t="str">
        <f t="shared" si="11"/>
        <v>Covered</v>
      </c>
      <c r="BX266" s="587"/>
    </row>
    <row r="267" spans="1:76">
      <c r="A267" s="612" t="s">
        <v>2381</v>
      </c>
      <c r="B267" s="612" t="s">
        <v>316</v>
      </c>
      <c r="C267" s="457" t="s">
        <v>316</v>
      </c>
      <c r="D267" s="457" t="s">
        <v>309</v>
      </c>
      <c r="E267" s="551" t="s">
        <v>2687</v>
      </c>
      <c r="F267" s="457" t="s">
        <v>297</v>
      </c>
      <c r="G267" s="551" t="str">
        <f>VLOOKUP(WWWW[[#This Row],[Village  Name]],SiteDB6[[Site Name]:[Location Type]],8,FALSE)</f>
        <v>Village</v>
      </c>
      <c r="H267" s="457" t="s">
        <v>2615</v>
      </c>
      <c r="I267" s="611">
        <v>147</v>
      </c>
      <c r="J267" s="611">
        <v>741</v>
      </c>
      <c r="K267" s="461">
        <v>42736</v>
      </c>
      <c r="L267" s="55">
        <v>44551</v>
      </c>
      <c r="M267" s="611"/>
      <c r="N267" s="611"/>
      <c r="O267" s="611"/>
      <c r="P267" s="611"/>
      <c r="Q267" s="611"/>
      <c r="R267" s="611"/>
      <c r="S267" s="611"/>
      <c r="T267" s="643"/>
      <c r="U267" s="611"/>
      <c r="V267" s="611" t="s">
        <v>132</v>
      </c>
      <c r="W267" s="611"/>
      <c r="X267" s="611"/>
      <c r="Y267" s="611"/>
      <c r="Z267" s="611"/>
      <c r="AA267" s="611"/>
      <c r="AB267" s="643"/>
      <c r="AC267" s="611"/>
      <c r="AD267" s="611"/>
      <c r="AE267" s="611"/>
      <c r="AF267" s="611"/>
      <c r="AG267" s="611"/>
      <c r="AH267" s="611"/>
      <c r="AI267" s="611"/>
      <c r="AJ267" s="611"/>
      <c r="AK267" s="611"/>
      <c r="AL267" s="611"/>
      <c r="AM267" s="643"/>
      <c r="AN267" s="611"/>
      <c r="AO267" s="611"/>
      <c r="AP26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7" s="565">
        <f>WWWW[[#This Row],[%Equitable and continuous access to sufficient quantity of safe drinking water]]*WWWW[[#This Row],[Total PoP ]]</f>
        <v>0</v>
      </c>
      <c r="AR26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67" s="565">
        <f>WWWW[[#This Row],[% Access to unimproved water points]]*WWWW[[#This Row],[Total PoP ]]</f>
        <v>0</v>
      </c>
      <c r="AT26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6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67" s="565">
        <f>WWWW[[#This Row],[HRP1]]/250</f>
        <v>0</v>
      </c>
      <c r="AW267" s="555">
        <f>1-WWWW[[#This Row],[% Equitable and continuous access to sufficient quantity of domestic water]]</f>
        <v>1</v>
      </c>
      <c r="AX267" s="565">
        <f>WWWW[[#This Row],[%equitable and continuous access to sufficient quantity of safe drinking and domestic water''s GAP]]*WWWW[[#This Row],[Total PoP ]]</f>
        <v>741</v>
      </c>
      <c r="AY267" s="557">
        <f>IF(WWWW[[#This Row],[Total required water points]]-WWWW[[#This Row],['#Water points coverage]]&lt;0,0,WWWW[[#This Row],[Total required water points]]-WWWW[[#This Row],['#Water points coverage]])</f>
        <v>3</v>
      </c>
      <c r="AZ267" s="557">
        <f>ROUND(IF(WWWW[[#This Row],[Total PoP ]]&lt;250,1,WWWW[[#This Row],[Total PoP ]]/250),0)</f>
        <v>3</v>
      </c>
      <c r="BA26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67" s="565">
        <f>WWWW[[#This Row],[% people access to functioning Latrine]]*WWWW[[#This Row],[Total PoP ]]</f>
        <v>0</v>
      </c>
      <c r="BC267" s="557">
        <f>WWWW[[#This Row],['#_of_Functioning_latrines_in_school]]*50</f>
        <v>0</v>
      </c>
      <c r="BD267" s="557">
        <f>ROUND((WWWW[[#This Row],[Total PoP ]]/6),0)</f>
        <v>124</v>
      </c>
      <c r="BE267" s="557">
        <f>IF(WWWW[[#This Row],[Total required Latrines]]-(WWWW[[#This Row],['#_of_sanitary_fly-proof_HH_latrines]])&lt;0,0,WWWW[[#This Row],[Total required Latrines]]-(WWWW[[#This Row],['#_of_sanitary_fly-proof_HH_latrines]]))</f>
        <v>124</v>
      </c>
      <c r="BF267" s="558">
        <f>1-WWWW[[#This Row],[% people access to functioning Latrine]]</f>
        <v>1</v>
      </c>
      <c r="BG26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7" s="565">
        <f>IF(WWWW[[#This Row],['#_of_functional_handwashing_facilities_at_HH_level]]*6&gt;WWWW[[#This Row],[Total PoP ]],WWWW[[#This Row],[Total PoP ]],WWWW[[#This Row],['#_of_functional_handwashing_facilities_at_HH_level]]*6)</f>
        <v>0</v>
      </c>
      <c r="BI267" s="557">
        <f>IF(WWWW[[#This Row],['# people reached by regular dedicated hygiene promotion]]&gt;WWWW[[#This Row],['# People received regular supply of hygiene items]],WWWW[[#This Row],['# people reached by regular dedicated hygiene promotion]],WWWW[[#This Row],['# People received regular supply of hygiene items]])</f>
        <v>0</v>
      </c>
      <c r="BJ267" s="555">
        <f>IF(WWWW[[#This Row],[HRP3]]/WWWW[[#This Row],[Total PoP ]]&gt;100%,100%,WWWW[[#This Row],[HRP3]]/WWWW[[#This Row],[Total PoP ]])</f>
        <v>0</v>
      </c>
      <c r="BK267" s="558">
        <f>1-WWWW[[#This Row],[Hygiene Coverage%]]</f>
        <v>1</v>
      </c>
      <c r="BL267" s="556">
        <f>WWWW[[#This Row],['# people reached by regular dedicated hygiene promotion]]/WWWW[[#This Row],[Total PoP ]]</f>
        <v>0</v>
      </c>
      <c r="BM26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7" s="557">
        <f>WWWW[[#This Row],['#_of_affected_women_and_girls_receiving_a_sufficient_quantity_of_sanitary_pads]]</f>
        <v>0</v>
      </c>
      <c r="BO267" s="611">
        <f>IF(WWWW[[#This Row],['# People with access to soap]]&gt;WWWW[[#This Row],['# People with access to Sanity Pads]],WWWW[[#This Row],['# People with access to soap]],WWWW[[#This Row],['# People with access to Sanity Pads]])</f>
        <v>0</v>
      </c>
      <c r="BP267" s="565" t="str">
        <f>IF(OR(WWWW[[#This Row],['#of students in school]]="",WWWW[[#This Row],['#of students in school]]=0),"No","Yes")</f>
        <v>No</v>
      </c>
      <c r="BQ267" s="559" t="str">
        <f>VLOOKUP(WWWW[[#This Row],[Village  Name]],SiteDB6[[Site Name]:[Location Type 1]],9,FALSE)</f>
        <v>Village</v>
      </c>
      <c r="BR267" s="559" t="str">
        <f>VLOOKUP(WWWW[[#This Row],[Village  Name]],SiteDB6[[Site Name]:[Type of Accommodation]],10,FALSE)</f>
        <v>Village</v>
      </c>
      <c r="BS267" s="559">
        <f>VLOOKUP(WWWW[[#This Row],[Village  Name]],SiteDB6[[Site Name]:[Ethnic or GCA/NGCA]],11,FALSE)</f>
        <v>0</v>
      </c>
      <c r="BT267" s="559">
        <f>VLOOKUP(WWWW[[#This Row],[Village  Name]],SiteDB6[[Site Name]:[Lat]],12,FALSE)</f>
        <v>20.248519897460898</v>
      </c>
      <c r="BU267" s="559">
        <f>VLOOKUP(WWWW[[#This Row],[Village  Name]],SiteDB6[[Site Name]:[Long]],13,FALSE)</f>
        <v>92.8621826171875</v>
      </c>
      <c r="BV267" s="559">
        <f>VLOOKUP(WWWW[[#This Row],[Village  Name]],SiteDB6[[Site Name]:[Pcode]],3,FALSE)</f>
        <v>196170</v>
      </c>
      <c r="BW267" s="559" t="str">
        <f t="shared" si="11"/>
        <v>Covered</v>
      </c>
      <c r="BX267" s="587"/>
    </row>
    <row r="268" spans="1:76">
      <c r="A268" s="612" t="s">
        <v>2381</v>
      </c>
      <c r="B268" s="612" t="s">
        <v>316</v>
      </c>
      <c r="C268" s="457" t="s">
        <v>316</v>
      </c>
      <c r="D268" s="457" t="s">
        <v>309</v>
      </c>
      <c r="E268" s="551" t="s">
        <v>2687</v>
      </c>
      <c r="F268" s="457" t="s">
        <v>297</v>
      </c>
      <c r="G268" s="551" t="str">
        <f>VLOOKUP(WWWW[[#This Row],[Village  Name]],SiteDB6[[Site Name]:[Location Type]],8,FALSE)</f>
        <v>Village</v>
      </c>
      <c r="H268" s="457" t="s">
        <v>2616</v>
      </c>
      <c r="I268" s="611">
        <v>235</v>
      </c>
      <c r="J268" s="611">
        <v>1117</v>
      </c>
      <c r="K268" s="461">
        <v>42736</v>
      </c>
      <c r="L268" s="55">
        <v>44551</v>
      </c>
      <c r="M268" s="611"/>
      <c r="N268" s="611"/>
      <c r="O268" s="611"/>
      <c r="P268" s="611"/>
      <c r="Q268" s="611"/>
      <c r="R268" s="611"/>
      <c r="S268" s="611"/>
      <c r="T268" s="643"/>
      <c r="U268" s="611"/>
      <c r="V268" s="611" t="s">
        <v>132</v>
      </c>
      <c r="W268" s="611"/>
      <c r="X268" s="611"/>
      <c r="Y268" s="611"/>
      <c r="Z268" s="611"/>
      <c r="AA268" s="611"/>
      <c r="AB268" s="643"/>
      <c r="AC268" s="611"/>
      <c r="AD268" s="611"/>
      <c r="AE268" s="611"/>
      <c r="AF268" s="611"/>
      <c r="AG268" s="611"/>
      <c r="AH268" s="611"/>
      <c r="AI268" s="611"/>
      <c r="AJ268" s="611"/>
      <c r="AK268" s="611"/>
      <c r="AL268" s="611"/>
      <c r="AM268" s="643"/>
      <c r="AN268" s="611"/>
      <c r="AO268" s="611"/>
      <c r="AP26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8" s="565">
        <f>WWWW[[#This Row],[%Equitable and continuous access to sufficient quantity of safe drinking water]]*WWWW[[#This Row],[Total PoP ]]</f>
        <v>0</v>
      </c>
      <c r="AR26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68" s="565">
        <f>WWWW[[#This Row],[% Access to unimproved water points]]*WWWW[[#This Row],[Total PoP ]]</f>
        <v>0</v>
      </c>
      <c r="AT26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6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68" s="565">
        <f>WWWW[[#This Row],[HRP1]]/250</f>
        <v>0</v>
      </c>
      <c r="AW268" s="555">
        <f>1-WWWW[[#This Row],[% Equitable and continuous access to sufficient quantity of domestic water]]</f>
        <v>1</v>
      </c>
      <c r="AX268" s="565">
        <f>WWWW[[#This Row],[%equitable and continuous access to sufficient quantity of safe drinking and domestic water''s GAP]]*WWWW[[#This Row],[Total PoP ]]</f>
        <v>1117</v>
      </c>
      <c r="AY268" s="557">
        <f>IF(WWWW[[#This Row],[Total required water points]]-WWWW[[#This Row],['#Water points coverage]]&lt;0,0,WWWW[[#This Row],[Total required water points]]-WWWW[[#This Row],['#Water points coverage]])</f>
        <v>4</v>
      </c>
      <c r="AZ268" s="557">
        <f>ROUND(IF(WWWW[[#This Row],[Total PoP ]]&lt;250,1,WWWW[[#This Row],[Total PoP ]]/250),0)</f>
        <v>4</v>
      </c>
      <c r="BA26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68" s="565">
        <f>WWWW[[#This Row],[% people access to functioning Latrine]]*WWWW[[#This Row],[Total PoP ]]</f>
        <v>0</v>
      </c>
      <c r="BC268" s="557">
        <f>WWWW[[#This Row],['#_of_Functioning_latrines_in_school]]*50</f>
        <v>0</v>
      </c>
      <c r="BD268" s="557">
        <f>ROUND((WWWW[[#This Row],[Total PoP ]]/6),0)</f>
        <v>186</v>
      </c>
      <c r="BE268" s="557">
        <f>IF(WWWW[[#This Row],[Total required Latrines]]-(WWWW[[#This Row],['#_of_sanitary_fly-proof_HH_latrines]])&lt;0,0,WWWW[[#This Row],[Total required Latrines]]-(WWWW[[#This Row],['#_of_sanitary_fly-proof_HH_latrines]]))</f>
        <v>186</v>
      </c>
      <c r="BF268" s="558">
        <f>1-WWWW[[#This Row],[% people access to functioning Latrine]]</f>
        <v>1</v>
      </c>
      <c r="BG26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8" s="565">
        <f>IF(WWWW[[#This Row],['#_of_functional_handwashing_facilities_at_HH_level]]*6&gt;WWWW[[#This Row],[Total PoP ]],WWWW[[#This Row],[Total PoP ]],WWWW[[#This Row],['#_of_functional_handwashing_facilities_at_HH_level]]*6)</f>
        <v>0</v>
      </c>
      <c r="BI268" s="557">
        <f>IF(WWWW[[#This Row],['# people reached by regular dedicated hygiene promotion]]&gt;WWWW[[#This Row],['# People received regular supply of hygiene items]],WWWW[[#This Row],['# people reached by regular dedicated hygiene promotion]],WWWW[[#This Row],['# People received regular supply of hygiene items]])</f>
        <v>0</v>
      </c>
      <c r="BJ268" s="555">
        <f>IF(WWWW[[#This Row],[HRP3]]/WWWW[[#This Row],[Total PoP ]]&gt;100%,100%,WWWW[[#This Row],[HRP3]]/WWWW[[#This Row],[Total PoP ]])</f>
        <v>0</v>
      </c>
      <c r="BK268" s="558">
        <f>1-WWWW[[#This Row],[Hygiene Coverage%]]</f>
        <v>1</v>
      </c>
      <c r="BL268" s="556">
        <f>WWWW[[#This Row],['# people reached by regular dedicated hygiene promotion]]/WWWW[[#This Row],[Total PoP ]]</f>
        <v>0</v>
      </c>
      <c r="BM26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8" s="557">
        <f>WWWW[[#This Row],['#_of_affected_women_and_girls_receiving_a_sufficient_quantity_of_sanitary_pads]]</f>
        <v>0</v>
      </c>
      <c r="BO268" s="611">
        <f>IF(WWWW[[#This Row],['# People with access to soap]]&gt;WWWW[[#This Row],['# People with access to Sanity Pads]],WWWW[[#This Row],['# People with access to soap]],WWWW[[#This Row],['# People with access to Sanity Pads]])</f>
        <v>0</v>
      </c>
      <c r="BP268" s="565" t="str">
        <f>IF(OR(WWWW[[#This Row],['#of students in school]]="",WWWW[[#This Row],['#of students in school]]=0),"No","Yes")</f>
        <v>No</v>
      </c>
      <c r="BQ268" s="559" t="str">
        <f>VLOOKUP(WWWW[[#This Row],[Village  Name]],SiteDB6[[Site Name]:[Location Type 1]],9,FALSE)</f>
        <v>Village</v>
      </c>
      <c r="BR268" s="559" t="str">
        <f>VLOOKUP(WWWW[[#This Row],[Village  Name]],SiteDB6[[Site Name]:[Type of Accommodation]],10,FALSE)</f>
        <v>Village</v>
      </c>
      <c r="BS268" s="559">
        <f>VLOOKUP(WWWW[[#This Row],[Village  Name]],SiteDB6[[Site Name]:[Ethnic or GCA/NGCA]],11,FALSE)</f>
        <v>0</v>
      </c>
      <c r="BT268" s="559">
        <f>VLOOKUP(WWWW[[#This Row],[Village  Name]],SiteDB6[[Site Name]:[Lat]],12,FALSE)</f>
        <v>20.2375602722168</v>
      </c>
      <c r="BU268" s="559">
        <f>VLOOKUP(WWWW[[#This Row],[Village  Name]],SiteDB6[[Site Name]:[Long]],13,FALSE)</f>
        <v>92.861152648925795</v>
      </c>
      <c r="BV268" s="559">
        <f>VLOOKUP(WWWW[[#This Row],[Village  Name]],SiteDB6[[Site Name]:[Pcode]],3,FALSE)</f>
        <v>196169</v>
      </c>
      <c r="BW268" s="559" t="str">
        <f t="shared" si="11"/>
        <v>Covered</v>
      </c>
      <c r="BX268" s="587"/>
    </row>
    <row r="269" spans="1:76">
      <c r="A269" s="612" t="s">
        <v>2381</v>
      </c>
      <c r="B269" s="612" t="s">
        <v>316</v>
      </c>
      <c r="C269" s="457" t="s">
        <v>316</v>
      </c>
      <c r="D269" s="457" t="s">
        <v>309</v>
      </c>
      <c r="E269" s="551" t="s">
        <v>2687</v>
      </c>
      <c r="F269" s="457" t="s">
        <v>297</v>
      </c>
      <c r="G269" s="551" t="str">
        <f>VLOOKUP(WWWW[[#This Row],[Village  Name]],SiteDB6[[Site Name]:[Location Type]],8,FALSE)</f>
        <v>Village</v>
      </c>
      <c r="H269" s="457" t="s">
        <v>448</v>
      </c>
      <c r="I269" s="611">
        <v>156</v>
      </c>
      <c r="J269" s="611">
        <v>658</v>
      </c>
      <c r="K269" s="461">
        <v>42736</v>
      </c>
      <c r="L269" s="55">
        <v>44551</v>
      </c>
      <c r="M269" s="611"/>
      <c r="N269" s="611"/>
      <c r="O269" s="611"/>
      <c r="P269" s="611"/>
      <c r="Q269" s="611"/>
      <c r="R269" s="611"/>
      <c r="S269" s="611"/>
      <c r="T269" s="643"/>
      <c r="U269" s="611"/>
      <c r="V269" s="611" t="s">
        <v>132</v>
      </c>
      <c r="W269" s="611"/>
      <c r="X269" s="611"/>
      <c r="Y269" s="611"/>
      <c r="Z269" s="611"/>
      <c r="AA269" s="611"/>
      <c r="AB269" s="643"/>
      <c r="AC269" s="611"/>
      <c r="AD269" s="611"/>
      <c r="AE269" s="611"/>
      <c r="AF269" s="611"/>
      <c r="AG269" s="611"/>
      <c r="AH269" s="611"/>
      <c r="AI269" s="611"/>
      <c r="AJ269" s="611"/>
      <c r="AK269" s="611"/>
      <c r="AL269" s="611"/>
      <c r="AM269" s="643"/>
      <c r="AN269" s="611"/>
      <c r="AO269" s="611"/>
      <c r="AP26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69" s="565">
        <f>WWWW[[#This Row],[%Equitable and continuous access to sufficient quantity of safe drinking water]]*WWWW[[#This Row],[Total PoP ]]</f>
        <v>0</v>
      </c>
      <c r="AR26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69" s="565">
        <f>WWWW[[#This Row],[% Access to unimproved water points]]*WWWW[[#This Row],[Total PoP ]]</f>
        <v>0</v>
      </c>
      <c r="AT26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6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69" s="565">
        <f>WWWW[[#This Row],[HRP1]]/250</f>
        <v>0</v>
      </c>
      <c r="AW269" s="555">
        <f>1-WWWW[[#This Row],[% Equitable and continuous access to sufficient quantity of domestic water]]</f>
        <v>1</v>
      </c>
      <c r="AX269" s="565">
        <f>WWWW[[#This Row],[%equitable and continuous access to sufficient quantity of safe drinking and domestic water''s GAP]]*WWWW[[#This Row],[Total PoP ]]</f>
        <v>658</v>
      </c>
      <c r="AY269" s="557">
        <f>IF(WWWW[[#This Row],[Total required water points]]-WWWW[[#This Row],['#Water points coverage]]&lt;0,0,WWWW[[#This Row],[Total required water points]]-WWWW[[#This Row],['#Water points coverage]])</f>
        <v>3</v>
      </c>
      <c r="AZ269" s="557">
        <f>ROUND(IF(WWWW[[#This Row],[Total PoP ]]&lt;250,1,WWWW[[#This Row],[Total PoP ]]/250),0)</f>
        <v>3</v>
      </c>
      <c r="BA26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69" s="565">
        <f>WWWW[[#This Row],[% people access to functioning Latrine]]*WWWW[[#This Row],[Total PoP ]]</f>
        <v>0</v>
      </c>
      <c r="BC269" s="557">
        <f>WWWW[[#This Row],['#_of_Functioning_latrines_in_school]]*50</f>
        <v>0</v>
      </c>
      <c r="BD269" s="557">
        <f>ROUND((WWWW[[#This Row],[Total PoP ]]/6),0)</f>
        <v>110</v>
      </c>
      <c r="BE269" s="557">
        <f>IF(WWWW[[#This Row],[Total required Latrines]]-(WWWW[[#This Row],['#_of_sanitary_fly-proof_HH_latrines]])&lt;0,0,WWWW[[#This Row],[Total required Latrines]]-(WWWW[[#This Row],['#_of_sanitary_fly-proof_HH_latrines]]))</f>
        <v>110</v>
      </c>
      <c r="BF269" s="558">
        <f>1-WWWW[[#This Row],[% people access to functioning Latrine]]</f>
        <v>1</v>
      </c>
      <c r="BG26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69" s="565">
        <f>IF(WWWW[[#This Row],['#_of_functional_handwashing_facilities_at_HH_level]]*6&gt;WWWW[[#This Row],[Total PoP ]],WWWW[[#This Row],[Total PoP ]],WWWW[[#This Row],['#_of_functional_handwashing_facilities_at_HH_level]]*6)</f>
        <v>0</v>
      </c>
      <c r="BI269" s="557">
        <f>IF(WWWW[[#This Row],['# people reached by regular dedicated hygiene promotion]]&gt;WWWW[[#This Row],['# People received regular supply of hygiene items]],WWWW[[#This Row],['# people reached by regular dedicated hygiene promotion]],WWWW[[#This Row],['# People received regular supply of hygiene items]])</f>
        <v>0</v>
      </c>
      <c r="BJ269" s="555">
        <f>IF(WWWW[[#This Row],[HRP3]]/WWWW[[#This Row],[Total PoP ]]&gt;100%,100%,WWWW[[#This Row],[HRP3]]/WWWW[[#This Row],[Total PoP ]])</f>
        <v>0</v>
      </c>
      <c r="BK269" s="558">
        <f>1-WWWW[[#This Row],[Hygiene Coverage%]]</f>
        <v>1</v>
      </c>
      <c r="BL269" s="556">
        <f>WWWW[[#This Row],['# people reached by regular dedicated hygiene promotion]]/WWWW[[#This Row],[Total PoP ]]</f>
        <v>0</v>
      </c>
      <c r="BM26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69" s="557">
        <f>WWWW[[#This Row],['#_of_affected_women_and_girls_receiving_a_sufficient_quantity_of_sanitary_pads]]</f>
        <v>0</v>
      </c>
      <c r="BO269" s="611">
        <f>IF(WWWW[[#This Row],['# People with access to soap]]&gt;WWWW[[#This Row],['# People with access to Sanity Pads]],WWWW[[#This Row],['# People with access to soap]],WWWW[[#This Row],['# People with access to Sanity Pads]])</f>
        <v>0</v>
      </c>
      <c r="BP269" s="565" t="str">
        <f>IF(OR(WWWW[[#This Row],['#of students in school]]="",WWWW[[#This Row],['#of students in school]]=0),"No","Yes")</f>
        <v>No</v>
      </c>
      <c r="BQ269" s="559" t="str">
        <f>VLOOKUP(WWWW[[#This Row],[Village  Name]],SiteDB6[[Site Name]:[Location Type 1]],9,FALSE)</f>
        <v>Village</v>
      </c>
      <c r="BR269" s="559" t="str">
        <f>VLOOKUP(WWWW[[#This Row],[Village  Name]],SiteDB6[[Site Name]:[Type of Accommodation]],10,FALSE)</f>
        <v>Village</v>
      </c>
      <c r="BS269" s="559" t="str">
        <f>VLOOKUP(WWWW[[#This Row],[Village  Name]],SiteDB6[[Site Name]:[Ethnic or GCA/NGCA]],11,FALSE)</f>
        <v>Rakhine</v>
      </c>
      <c r="BT269" s="559">
        <f>VLOOKUP(WWWW[[#This Row],[Village  Name]],SiteDB6[[Site Name]:[Lat]],12,FALSE)</f>
        <v>20.22929001</v>
      </c>
      <c r="BU269" s="559">
        <f>VLOOKUP(WWWW[[#This Row],[Village  Name]],SiteDB6[[Site Name]:[Long]],13,FALSE)</f>
        <v>92.864669800000001</v>
      </c>
      <c r="BV269" s="559">
        <f>VLOOKUP(WWWW[[#This Row],[Village  Name]],SiteDB6[[Site Name]:[Pcode]],3,FALSE)</f>
        <v>196167</v>
      </c>
      <c r="BW269" s="559" t="str">
        <f t="shared" si="11"/>
        <v>Covered</v>
      </c>
      <c r="BX269" s="587"/>
    </row>
    <row r="270" spans="1:76">
      <c r="A270" s="612" t="s">
        <v>2381</v>
      </c>
      <c r="B270" s="612" t="s">
        <v>316</v>
      </c>
      <c r="C270" s="457" t="s">
        <v>316</v>
      </c>
      <c r="D270" s="457" t="s">
        <v>309</v>
      </c>
      <c r="E270" s="551" t="s">
        <v>2687</v>
      </c>
      <c r="F270" s="457" t="s">
        <v>297</v>
      </c>
      <c r="G270" s="551" t="str">
        <f>VLOOKUP(WWWW[[#This Row],[Village  Name]],SiteDB6[[Site Name]:[Location Type]],8,FALSE)</f>
        <v>Village</v>
      </c>
      <c r="H270" s="457" t="s">
        <v>2019</v>
      </c>
      <c r="I270" s="611">
        <v>113</v>
      </c>
      <c r="J270" s="611">
        <v>656</v>
      </c>
      <c r="K270" s="461">
        <v>42736</v>
      </c>
      <c r="L270" s="55">
        <v>44551</v>
      </c>
      <c r="M270" s="611"/>
      <c r="N270" s="611"/>
      <c r="O270" s="611"/>
      <c r="P270" s="611"/>
      <c r="Q270" s="611"/>
      <c r="R270" s="611"/>
      <c r="S270" s="611"/>
      <c r="T270" s="643"/>
      <c r="U270" s="611"/>
      <c r="V270" s="611" t="s">
        <v>132</v>
      </c>
      <c r="W270" s="611"/>
      <c r="X270" s="611"/>
      <c r="Y270" s="611"/>
      <c r="Z270" s="611"/>
      <c r="AA270" s="611"/>
      <c r="AB270" s="643"/>
      <c r="AC270" s="611"/>
      <c r="AD270" s="611"/>
      <c r="AE270" s="611"/>
      <c r="AF270" s="611"/>
      <c r="AG270" s="611"/>
      <c r="AH270" s="611"/>
      <c r="AI270" s="611"/>
      <c r="AJ270" s="611"/>
      <c r="AK270" s="611"/>
      <c r="AL270" s="611"/>
      <c r="AM270" s="643"/>
      <c r="AN270" s="611"/>
      <c r="AO270" s="611"/>
      <c r="AP27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0" s="565">
        <f>WWWW[[#This Row],[%Equitable and continuous access to sufficient quantity of safe drinking water]]*WWWW[[#This Row],[Total PoP ]]</f>
        <v>0</v>
      </c>
      <c r="AR27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0" s="565">
        <f>WWWW[[#This Row],[% Access to unimproved water points]]*WWWW[[#This Row],[Total PoP ]]</f>
        <v>0</v>
      </c>
      <c r="AT27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0" s="565">
        <f>WWWW[[#This Row],[HRP1]]/250</f>
        <v>0</v>
      </c>
      <c r="AW270" s="555">
        <f>1-WWWW[[#This Row],[% Equitable and continuous access to sufficient quantity of domestic water]]</f>
        <v>1</v>
      </c>
      <c r="AX270" s="565">
        <f>WWWW[[#This Row],[%equitable and continuous access to sufficient quantity of safe drinking and domestic water''s GAP]]*WWWW[[#This Row],[Total PoP ]]</f>
        <v>656</v>
      </c>
      <c r="AY270" s="557">
        <f>IF(WWWW[[#This Row],[Total required water points]]-WWWW[[#This Row],['#Water points coverage]]&lt;0,0,WWWW[[#This Row],[Total required water points]]-WWWW[[#This Row],['#Water points coverage]])</f>
        <v>3</v>
      </c>
      <c r="AZ270" s="557">
        <f>ROUND(IF(WWWW[[#This Row],[Total PoP ]]&lt;250,1,WWWW[[#This Row],[Total PoP ]]/250),0)</f>
        <v>3</v>
      </c>
      <c r="BA27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0" s="565">
        <f>WWWW[[#This Row],[% people access to functioning Latrine]]*WWWW[[#This Row],[Total PoP ]]</f>
        <v>0</v>
      </c>
      <c r="BC270" s="557">
        <f>WWWW[[#This Row],['#_of_Functioning_latrines_in_school]]*50</f>
        <v>0</v>
      </c>
      <c r="BD270" s="557">
        <f>ROUND((WWWW[[#This Row],[Total PoP ]]/6),0)</f>
        <v>109</v>
      </c>
      <c r="BE270" s="557">
        <f>IF(WWWW[[#This Row],[Total required Latrines]]-(WWWW[[#This Row],['#_of_sanitary_fly-proof_HH_latrines]])&lt;0,0,WWWW[[#This Row],[Total required Latrines]]-(WWWW[[#This Row],['#_of_sanitary_fly-proof_HH_latrines]]))</f>
        <v>109</v>
      </c>
      <c r="BF270" s="558">
        <f>1-WWWW[[#This Row],[% people access to functioning Latrine]]</f>
        <v>1</v>
      </c>
      <c r="BG27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0" s="565">
        <f>IF(WWWW[[#This Row],['#_of_functional_handwashing_facilities_at_HH_level]]*6&gt;WWWW[[#This Row],[Total PoP ]],WWWW[[#This Row],[Total PoP ]],WWWW[[#This Row],['#_of_functional_handwashing_facilities_at_HH_level]]*6)</f>
        <v>0</v>
      </c>
      <c r="BI270" s="557">
        <f>IF(WWWW[[#This Row],['# people reached by regular dedicated hygiene promotion]]&gt;WWWW[[#This Row],['# People received regular supply of hygiene items]],WWWW[[#This Row],['# people reached by regular dedicated hygiene promotion]],WWWW[[#This Row],['# People received regular supply of hygiene items]])</f>
        <v>0</v>
      </c>
      <c r="BJ270" s="555">
        <f>IF(WWWW[[#This Row],[HRP3]]/WWWW[[#This Row],[Total PoP ]]&gt;100%,100%,WWWW[[#This Row],[HRP3]]/WWWW[[#This Row],[Total PoP ]])</f>
        <v>0</v>
      </c>
      <c r="BK270" s="558">
        <f>1-WWWW[[#This Row],[Hygiene Coverage%]]</f>
        <v>1</v>
      </c>
      <c r="BL270" s="556">
        <f>WWWW[[#This Row],['# people reached by regular dedicated hygiene promotion]]/WWWW[[#This Row],[Total PoP ]]</f>
        <v>0</v>
      </c>
      <c r="BM27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0" s="557">
        <f>WWWW[[#This Row],['#_of_affected_women_and_girls_receiving_a_sufficient_quantity_of_sanitary_pads]]</f>
        <v>0</v>
      </c>
      <c r="BO270" s="611">
        <f>IF(WWWW[[#This Row],['# People with access to soap]]&gt;WWWW[[#This Row],['# People with access to Sanity Pads]],WWWW[[#This Row],['# People with access to soap]],WWWW[[#This Row],['# People with access to Sanity Pads]])</f>
        <v>0</v>
      </c>
      <c r="BP270" s="565" t="str">
        <f>IF(OR(WWWW[[#This Row],['#of students in school]]="",WWWW[[#This Row],['#of students in school]]=0),"No","Yes")</f>
        <v>No</v>
      </c>
      <c r="BQ270" s="559" t="str">
        <f>VLOOKUP(WWWW[[#This Row],[Village  Name]],SiteDB6[[Site Name]:[Location Type 1]],9,FALSE)</f>
        <v>Village</v>
      </c>
      <c r="BR270" s="559" t="str">
        <f>VLOOKUP(WWWW[[#This Row],[Village  Name]],SiteDB6[[Site Name]:[Type of Accommodation]],10,FALSE)</f>
        <v>Village</v>
      </c>
      <c r="BS270" s="559" t="str">
        <f>VLOOKUP(WWWW[[#This Row],[Village  Name]],SiteDB6[[Site Name]:[Ethnic or GCA/NGCA]],11,FALSE)</f>
        <v>rakhine</v>
      </c>
      <c r="BT270" s="559">
        <f>VLOOKUP(WWWW[[#This Row],[Village  Name]],SiteDB6[[Site Name]:[Lat]],12,FALSE)</f>
        <v>20.2315197</v>
      </c>
      <c r="BU270" s="559">
        <f>VLOOKUP(WWWW[[#This Row],[Village  Name]],SiteDB6[[Site Name]:[Long]],13,FALSE)</f>
        <v>92.876129149999997</v>
      </c>
      <c r="BV270" s="559">
        <f>VLOOKUP(WWWW[[#This Row],[Village  Name]],SiteDB6[[Site Name]:[Pcode]],3,FALSE)</f>
        <v>196180</v>
      </c>
      <c r="BW270" s="559" t="str">
        <f t="shared" si="11"/>
        <v>Covered</v>
      </c>
      <c r="BX270" s="587"/>
    </row>
    <row r="271" spans="1:76">
      <c r="A271" s="612" t="s">
        <v>2381</v>
      </c>
      <c r="B271" s="612" t="s">
        <v>316</v>
      </c>
      <c r="C271" s="457" t="s">
        <v>316</v>
      </c>
      <c r="D271" s="457" t="s">
        <v>309</v>
      </c>
      <c r="E271" s="551" t="s">
        <v>2687</v>
      </c>
      <c r="F271" s="457" t="s">
        <v>297</v>
      </c>
      <c r="G271" s="551" t="str">
        <f>VLOOKUP(WWWW[[#This Row],[Village  Name]],SiteDB6[[Site Name]:[Location Type]],8,FALSE)</f>
        <v>Village</v>
      </c>
      <c r="H271" s="457" t="s">
        <v>1091</v>
      </c>
      <c r="I271" s="611">
        <v>172</v>
      </c>
      <c r="J271" s="611">
        <v>1435</v>
      </c>
      <c r="K271" s="461">
        <v>42736</v>
      </c>
      <c r="L271" s="55">
        <v>44551</v>
      </c>
      <c r="M271" s="611"/>
      <c r="N271" s="611"/>
      <c r="O271" s="611"/>
      <c r="P271" s="611"/>
      <c r="Q271" s="611"/>
      <c r="R271" s="611"/>
      <c r="S271" s="611"/>
      <c r="T271" s="643"/>
      <c r="U271" s="611"/>
      <c r="V271" s="611" t="s">
        <v>132</v>
      </c>
      <c r="W271" s="611"/>
      <c r="X271" s="611"/>
      <c r="Y271" s="611"/>
      <c r="Z271" s="611"/>
      <c r="AA271" s="611"/>
      <c r="AB271" s="643"/>
      <c r="AC271" s="611"/>
      <c r="AD271" s="611"/>
      <c r="AE271" s="611"/>
      <c r="AF271" s="611"/>
      <c r="AG271" s="611"/>
      <c r="AH271" s="611"/>
      <c r="AI271" s="611"/>
      <c r="AJ271" s="611"/>
      <c r="AK271" s="611"/>
      <c r="AL271" s="611"/>
      <c r="AM271" s="643"/>
      <c r="AN271" s="611"/>
      <c r="AO271" s="611"/>
      <c r="AP27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1" s="565">
        <f>WWWW[[#This Row],[%Equitable and continuous access to sufficient quantity of safe drinking water]]*WWWW[[#This Row],[Total PoP ]]</f>
        <v>0</v>
      </c>
      <c r="AR27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1" s="565">
        <f>WWWW[[#This Row],[% Access to unimproved water points]]*WWWW[[#This Row],[Total PoP ]]</f>
        <v>0</v>
      </c>
      <c r="AT27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1" s="565">
        <f>WWWW[[#This Row],[HRP1]]/250</f>
        <v>0</v>
      </c>
      <c r="AW271" s="555">
        <f>1-WWWW[[#This Row],[% Equitable and continuous access to sufficient quantity of domestic water]]</f>
        <v>1</v>
      </c>
      <c r="AX271" s="565">
        <f>WWWW[[#This Row],[%equitable and continuous access to sufficient quantity of safe drinking and domestic water''s GAP]]*WWWW[[#This Row],[Total PoP ]]</f>
        <v>1435</v>
      </c>
      <c r="AY271" s="557">
        <f>IF(WWWW[[#This Row],[Total required water points]]-WWWW[[#This Row],['#Water points coverage]]&lt;0,0,WWWW[[#This Row],[Total required water points]]-WWWW[[#This Row],['#Water points coverage]])</f>
        <v>6</v>
      </c>
      <c r="AZ271" s="557">
        <f>ROUND(IF(WWWW[[#This Row],[Total PoP ]]&lt;250,1,WWWW[[#This Row],[Total PoP ]]/250),0)</f>
        <v>6</v>
      </c>
      <c r="BA27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1" s="565">
        <f>WWWW[[#This Row],[% people access to functioning Latrine]]*WWWW[[#This Row],[Total PoP ]]</f>
        <v>0</v>
      </c>
      <c r="BC271" s="557">
        <f>WWWW[[#This Row],['#_of_Functioning_latrines_in_school]]*50</f>
        <v>0</v>
      </c>
      <c r="BD271" s="557">
        <f>ROUND((WWWW[[#This Row],[Total PoP ]]/6),0)</f>
        <v>239</v>
      </c>
      <c r="BE271" s="557">
        <f>IF(WWWW[[#This Row],[Total required Latrines]]-(WWWW[[#This Row],['#_of_sanitary_fly-proof_HH_latrines]])&lt;0,0,WWWW[[#This Row],[Total required Latrines]]-(WWWW[[#This Row],['#_of_sanitary_fly-proof_HH_latrines]]))</f>
        <v>239</v>
      </c>
      <c r="BF271" s="558">
        <f>1-WWWW[[#This Row],[% people access to functioning Latrine]]</f>
        <v>1</v>
      </c>
      <c r="BG27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1" s="565">
        <f>IF(WWWW[[#This Row],['#_of_functional_handwashing_facilities_at_HH_level]]*6&gt;WWWW[[#This Row],[Total PoP ]],WWWW[[#This Row],[Total PoP ]],WWWW[[#This Row],['#_of_functional_handwashing_facilities_at_HH_level]]*6)</f>
        <v>0</v>
      </c>
      <c r="BI271" s="557">
        <f>IF(WWWW[[#This Row],['# people reached by regular dedicated hygiene promotion]]&gt;WWWW[[#This Row],['# People received regular supply of hygiene items]],WWWW[[#This Row],['# people reached by regular dedicated hygiene promotion]],WWWW[[#This Row],['# People received regular supply of hygiene items]])</f>
        <v>0</v>
      </c>
      <c r="BJ271" s="555">
        <f>IF(WWWW[[#This Row],[HRP3]]/WWWW[[#This Row],[Total PoP ]]&gt;100%,100%,WWWW[[#This Row],[HRP3]]/WWWW[[#This Row],[Total PoP ]])</f>
        <v>0</v>
      </c>
      <c r="BK271" s="558">
        <f>1-WWWW[[#This Row],[Hygiene Coverage%]]</f>
        <v>1</v>
      </c>
      <c r="BL271" s="556">
        <f>WWWW[[#This Row],['# people reached by regular dedicated hygiene promotion]]/WWWW[[#This Row],[Total PoP ]]</f>
        <v>0</v>
      </c>
      <c r="BM27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1" s="557">
        <f>WWWW[[#This Row],['#_of_affected_women_and_girls_receiving_a_sufficient_quantity_of_sanitary_pads]]</f>
        <v>0</v>
      </c>
      <c r="BO271" s="611">
        <f>IF(WWWW[[#This Row],['# People with access to soap]]&gt;WWWW[[#This Row],['# People with access to Sanity Pads]],WWWW[[#This Row],['# People with access to soap]],WWWW[[#This Row],['# People with access to Sanity Pads]])</f>
        <v>0</v>
      </c>
      <c r="BP271" s="565" t="str">
        <f>IF(OR(WWWW[[#This Row],['#of students in school]]="",WWWW[[#This Row],['#of students in school]]=0),"No","Yes")</f>
        <v>No</v>
      </c>
      <c r="BQ271" s="559" t="str">
        <f>VLOOKUP(WWWW[[#This Row],[Village  Name]],SiteDB6[[Site Name]:[Location Type 1]],9,FALSE)</f>
        <v>Village</v>
      </c>
      <c r="BR271" s="559" t="str">
        <f>VLOOKUP(WWWW[[#This Row],[Village  Name]],SiteDB6[[Site Name]:[Type of Accommodation]],10,FALSE)</f>
        <v>Village</v>
      </c>
      <c r="BS271" s="559" t="str">
        <f>VLOOKUP(WWWW[[#This Row],[Village  Name]],SiteDB6[[Site Name]:[Ethnic or GCA/NGCA]],11,FALSE)</f>
        <v>Muslim</v>
      </c>
      <c r="BT271" s="559">
        <f>VLOOKUP(WWWW[[#This Row],[Village  Name]],SiteDB6[[Site Name]:[Lat]],12,FALSE)</f>
        <v>0</v>
      </c>
      <c r="BU271" s="559">
        <f>VLOOKUP(WWWW[[#This Row],[Village  Name]],SiteDB6[[Site Name]:[Long]],13,FALSE)</f>
        <v>0</v>
      </c>
      <c r="BV271" s="559">
        <f>VLOOKUP(WWWW[[#This Row],[Village  Name]],SiteDB6[[Site Name]:[Pcode]],3,FALSE)</f>
        <v>0</v>
      </c>
      <c r="BW271" s="559" t="str">
        <f t="shared" si="11"/>
        <v>Covered</v>
      </c>
      <c r="BX271" s="587"/>
    </row>
    <row r="272" spans="1:76">
      <c r="A272" s="612" t="s">
        <v>2381</v>
      </c>
      <c r="B272" s="612" t="s">
        <v>316</v>
      </c>
      <c r="C272" s="457" t="s">
        <v>316</v>
      </c>
      <c r="D272" s="457" t="s">
        <v>309</v>
      </c>
      <c r="E272" s="551" t="s">
        <v>2687</v>
      </c>
      <c r="F272" s="457" t="s">
        <v>297</v>
      </c>
      <c r="G272" s="551" t="str">
        <f>VLOOKUP(WWWW[[#This Row],[Village  Name]],SiteDB6[[Site Name]:[Location Type]],8,FALSE)</f>
        <v>Village</v>
      </c>
      <c r="H272" s="457" t="s">
        <v>440</v>
      </c>
      <c r="I272" s="611">
        <v>73</v>
      </c>
      <c r="J272" s="611">
        <v>320</v>
      </c>
      <c r="K272" s="461">
        <v>42736</v>
      </c>
      <c r="L272" s="55">
        <v>44551</v>
      </c>
      <c r="M272" s="611"/>
      <c r="N272" s="611"/>
      <c r="O272" s="611"/>
      <c r="P272" s="611"/>
      <c r="Q272" s="611"/>
      <c r="R272" s="611"/>
      <c r="S272" s="611"/>
      <c r="T272" s="643"/>
      <c r="U272" s="611"/>
      <c r="V272" s="611" t="s">
        <v>132</v>
      </c>
      <c r="W272" s="611"/>
      <c r="X272" s="611"/>
      <c r="Y272" s="611"/>
      <c r="Z272" s="611"/>
      <c r="AA272" s="611"/>
      <c r="AB272" s="643"/>
      <c r="AC272" s="611"/>
      <c r="AD272" s="611"/>
      <c r="AE272" s="611"/>
      <c r="AF272" s="611"/>
      <c r="AG272" s="611"/>
      <c r="AH272" s="611"/>
      <c r="AI272" s="611"/>
      <c r="AJ272" s="611"/>
      <c r="AK272" s="611"/>
      <c r="AL272" s="611"/>
      <c r="AM272" s="643"/>
      <c r="AN272" s="611"/>
      <c r="AO272" s="611"/>
      <c r="AP27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2" s="565">
        <f>WWWW[[#This Row],[%Equitable and continuous access to sufficient quantity of safe drinking water]]*WWWW[[#This Row],[Total PoP ]]</f>
        <v>0</v>
      </c>
      <c r="AR27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2" s="565">
        <f>WWWW[[#This Row],[% Access to unimproved water points]]*WWWW[[#This Row],[Total PoP ]]</f>
        <v>0</v>
      </c>
      <c r="AT27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2" s="565">
        <f>WWWW[[#This Row],[HRP1]]/250</f>
        <v>0</v>
      </c>
      <c r="AW272" s="555">
        <f>1-WWWW[[#This Row],[% Equitable and continuous access to sufficient quantity of domestic water]]</f>
        <v>1</v>
      </c>
      <c r="AX272" s="565">
        <f>WWWW[[#This Row],[%equitable and continuous access to sufficient quantity of safe drinking and domestic water''s GAP]]*WWWW[[#This Row],[Total PoP ]]</f>
        <v>320</v>
      </c>
      <c r="AY272" s="557">
        <f>IF(WWWW[[#This Row],[Total required water points]]-WWWW[[#This Row],['#Water points coverage]]&lt;0,0,WWWW[[#This Row],[Total required water points]]-WWWW[[#This Row],['#Water points coverage]])</f>
        <v>1</v>
      </c>
      <c r="AZ272" s="557">
        <f>ROUND(IF(WWWW[[#This Row],[Total PoP ]]&lt;250,1,WWWW[[#This Row],[Total PoP ]]/250),0)</f>
        <v>1</v>
      </c>
      <c r="BA27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2" s="565">
        <f>WWWW[[#This Row],[% people access to functioning Latrine]]*WWWW[[#This Row],[Total PoP ]]</f>
        <v>0</v>
      </c>
      <c r="BC272" s="557">
        <f>WWWW[[#This Row],['#_of_Functioning_latrines_in_school]]*50</f>
        <v>0</v>
      </c>
      <c r="BD272" s="557">
        <f>ROUND((WWWW[[#This Row],[Total PoP ]]/6),0)</f>
        <v>53</v>
      </c>
      <c r="BE272" s="557">
        <f>IF(WWWW[[#This Row],[Total required Latrines]]-(WWWW[[#This Row],['#_of_sanitary_fly-proof_HH_latrines]])&lt;0,0,WWWW[[#This Row],[Total required Latrines]]-(WWWW[[#This Row],['#_of_sanitary_fly-proof_HH_latrines]]))</f>
        <v>53</v>
      </c>
      <c r="BF272" s="558">
        <f>1-WWWW[[#This Row],[% people access to functioning Latrine]]</f>
        <v>1</v>
      </c>
      <c r="BG27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2" s="565">
        <f>IF(WWWW[[#This Row],['#_of_functional_handwashing_facilities_at_HH_level]]*6&gt;WWWW[[#This Row],[Total PoP ]],WWWW[[#This Row],[Total PoP ]],WWWW[[#This Row],['#_of_functional_handwashing_facilities_at_HH_level]]*6)</f>
        <v>0</v>
      </c>
      <c r="BI272" s="557">
        <f>IF(WWWW[[#This Row],['# people reached by regular dedicated hygiene promotion]]&gt;WWWW[[#This Row],['# People received regular supply of hygiene items]],WWWW[[#This Row],['# people reached by regular dedicated hygiene promotion]],WWWW[[#This Row],['# People received regular supply of hygiene items]])</f>
        <v>0</v>
      </c>
      <c r="BJ272" s="555">
        <f>IF(WWWW[[#This Row],[HRP3]]/WWWW[[#This Row],[Total PoP ]]&gt;100%,100%,WWWW[[#This Row],[HRP3]]/WWWW[[#This Row],[Total PoP ]])</f>
        <v>0</v>
      </c>
      <c r="BK272" s="558">
        <f>1-WWWW[[#This Row],[Hygiene Coverage%]]</f>
        <v>1</v>
      </c>
      <c r="BL272" s="556">
        <f>WWWW[[#This Row],['# people reached by regular dedicated hygiene promotion]]/WWWW[[#This Row],[Total PoP ]]</f>
        <v>0</v>
      </c>
      <c r="BM27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2" s="557">
        <f>WWWW[[#This Row],['#_of_affected_women_and_girls_receiving_a_sufficient_quantity_of_sanitary_pads]]</f>
        <v>0</v>
      </c>
      <c r="BO272" s="611">
        <f>IF(WWWW[[#This Row],['# People with access to soap]]&gt;WWWW[[#This Row],['# People with access to Sanity Pads]],WWWW[[#This Row],['# People with access to soap]],WWWW[[#This Row],['# People with access to Sanity Pads]])</f>
        <v>0</v>
      </c>
      <c r="BP272" s="565" t="str">
        <f>IF(OR(WWWW[[#This Row],['#of students in school]]="",WWWW[[#This Row],['#of students in school]]=0),"No","Yes")</f>
        <v>No</v>
      </c>
      <c r="BQ272" s="559" t="str">
        <f>VLOOKUP(WWWW[[#This Row],[Village  Name]],SiteDB6[[Site Name]:[Location Type 1]],9,FALSE)</f>
        <v>Village</v>
      </c>
      <c r="BR272" s="559" t="str">
        <f>VLOOKUP(WWWW[[#This Row],[Village  Name]],SiteDB6[[Site Name]:[Type of Accommodation]],10,FALSE)</f>
        <v>Village</v>
      </c>
      <c r="BS272" s="559" t="str">
        <f>VLOOKUP(WWWW[[#This Row],[Village  Name]],SiteDB6[[Site Name]:[Ethnic or GCA/NGCA]],11,FALSE)</f>
        <v>Rakhine</v>
      </c>
      <c r="BT272" s="559">
        <f>VLOOKUP(WWWW[[#This Row],[Village  Name]],SiteDB6[[Site Name]:[Lat]],12,FALSE)</f>
        <v>20.2023601531982</v>
      </c>
      <c r="BU272" s="559">
        <f>VLOOKUP(WWWW[[#This Row],[Village  Name]],SiteDB6[[Site Name]:[Long]],13,FALSE)</f>
        <v>92.812782287597699</v>
      </c>
      <c r="BV272" s="559">
        <f>VLOOKUP(WWWW[[#This Row],[Village  Name]],SiteDB6[[Site Name]:[Pcode]],3,FALSE)</f>
        <v>196159</v>
      </c>
      <c r="BW272" s="559" t="str">
        <f t="shared" si="11"/>
        <v>Covered</v>
      </c>
      <c r="BX272" s="587"/>
    </row>
    <row r="273" spans="1:76">
      <c r="A273" s="612" t="s">
        <v>2381</v>
      </c>
      <c r="B273" s="612" t="s">
        <v>316</v>
      </c>
      <c r="C273" s="457" t="s">
        <v>316</v>
      </c>
      <c r="D273" s="457" t="s">
        <v>309</v>
      </c>
      <c r="E273" s="551" t="s">
        <v>2687</v>
      </c>
      <c r="F273" s="457" t="s">
        <v>297</v>
      </c>
      <c r="G273" s="551" t="str">
        <f>VLOOKUP(WWWW[[#This Row],[Village  Name]],SiteDB6[[Site Name]:[Location Type]],8,FALSE)</f>
        <v>Village</v>
      </c>
      <c r="H273" s="457" t="s">
        <v>2617</v>
      </c>
      <c r="I273" s="611">
        <v>266</v>
      </c>
      <c r="J273" s="611">
        <v>1416</v>
      </c>
      <c r="K273" s="461">
        <v>42736</v>
      </c>
      <c r="L273" s="55">
        <v>44551</v>
      </c>
      <c r="M273" s="611"/>
      <c r="N273" s="611"/>
      <c r="O273" s="611"/>
      <c r="P273" s="611"/>
      <c r="Q273" s="611"/>
      <c r="R273" s="611"/>
      <c r="S273" s="611"/>
      <c r="T273" s="643"/>
      <c r="U273" s="611"/>
      <c r="V273" s="611" t="s">
        <v>132</v>
      </c>
      <c r="W273" s="611"/>
      <c r="X273" s="611"/>
      <c r="Y273" s="611"/>
      <c r="Z273" s="611"/>
      <c r="AA273" s="611"/>
      <c r="AB273" s="643"/>
      <c r="AC273" s="611"/>
      <c r="AD273" s="611"/>
      <c r="AE273" s="611"/>
      <c r="AF273" s="611"/>
      <c r="AG273" s="611"/>
      <c r="AH273" s="611"/>
      <c r="AI273" s="611"/>
      <c r="AJ273" s="611"/>
      <c r="AK273" s="611"/>
      <c r="AL273" s="611"/>
      <c r="AM273" s="643"/>
      <c r="AN273" s="611"/>
      <c r="AO273" s="611"/>
      <c r="AP27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3" s="565">
        <f>WWWW[[#This Row],[%Equitable and continuous access to sufficient quantity of safe drinking water]]*WWWW[[#This Row],[Total PoP ]]</f>
        <v>0</v>
      </c>
      <c r="AR27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3" s="565">
        <f>WWWW[[#This Row],[% Access to unimproved water points]]*WWWW[[#This Row],[Total PoP ]]</f>
        <v>0</v>
      </c>
      <c r="AT27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3" s="565">
        <f>WWWW[[#This Row],[HRP1]]/250</f>
        <v>0</v>
      </c>
      <c r="AW273" s="555">
        <f>1-WWWW[[#This Row],[% Equitable and continuous access to sufficient quantity of domestic water]]</f>
        <v>1</v>
      </c>
      <c r="AX273" s="565">
        <f>WWWW[[#This Row],[%equitable and continuous access to sufficient quantity of safe drinking and domestic water''s GAP]]*WWWW[[#This Row],[Total PoP ]]</f>
        <v>1416</v>
      </c>
      <c r="AY273" s="557">
        <f>IF(WWWW[[#This Row],[Total required water points]]-WWWW[[#This Row],['#Water points coverage]]&lt;0,0,WWWW[[#This Row],[Total required water points]]-WWWW[[#This Row],['#Water points coverage]])</f>
        <v>6</v>
      </c>
      <c r="AZ273" s="557">
        <f>ROUND(IF(WWWW[[#This Row],[Total PoP ]]&lt;250,1,WWWW[[#This Row],[Total PoP ]]/250),0)</f>
        <v>6</v>
      </c>
      <c r="BA27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3" s="565">
        <f>WWWW[[#This Row],[% people access to functioning Latrine]]*WWWW[[#This Row],[Total PoP ]]</f>
        <v>0</v>
      </c>
      <c r="BC273" s="557">
        <f>WWWW[[#This Row],['#_of_Functioning_latrines_in_school]]*50</f>
        <v>0</v>
      </c>
      <c r="BD273" s="557">
        <f>ROUND((WWWW[[#This Row],[Total PoP ]]/6),0)</f>
        <v>236</v>
      </c>
      <c r="BE273" s="557">
        <f>IF(WWWW[[#This Row],[Total required Latrines]]-(WWWW[[#This Row],['#_of_sanitary_fly-proof_HH_latrines]])&lt;0,0,WWWW[[#This Row],[Total required Latrines]]-(WWWW[[#This Row],['#_of_sanitary_fly-proof_HH_latrines]]))</f>
        <v>236</v>
      </c>
      <c r="BF273" s="558">
        <f>1-WWWW[[#This Row],[% people access to functioning Latrine]]</f>
        <v>1</v>
      </c>
      <c r="BG27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3" s="565">
        <f>IF(WWWW[[#This Row],['#_of_functional_handwashing_facilities_at_HH_level]]*6&gt;WWWW[[#This Row],[Total PoP ]],WWWW[[#This Row],[Total PoP ]],WWWW[[#This Row],['#_of_functional_handwashing_facilities_at_HH_level]]*6)</f>
        <v>0</v>
      </c>
      <c r="BI273" s="557">
        <f>IF(WWWW[[#This Row],['# people reached by regular dedicated hygiene promotion]]&gt;WWWW[[#This Row],['# People received regular supply of hygiene items]],WWWW[[#This Row],['# people reached by regular dedicated hygiene promotion]],WWWW[[#This Row],['# People received regular supply of hygiene items]])</f>
        <v>0</v>
      </c>
      <c r="BJ273" s="555">
        <f>IF(WWWW[[#This Row],[HRP3]]/WWWW[[#This Row],[Total PoP ]]&gt;100%,100%,WWWW[[#This Row],[HRP3]]/WWWW[[#This Row],[Total PoP ]])</f>
        <v>0</v>
      </c>
      <c r="BK273" s="558">
        <f>1-WWWW[[#This Row],[Hygiene Coverage%]]</f>
        <v>1</v>
      </c>
      <c r="BL273" s="556">
        <f>WWWW[[#This Row],['# people reached by regular dedicated hygiene promotion]]/WWWW[[#This Row],[Total PoP ]]</f>
        <v>0</v>
      </c>
      <c r="BM27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3" s="557">
        <f>WWWW[[#This Row],['#_of_affected_women_and_girls_receiving_a_sufficient_quantity_of_sanitary_pads]]</f>
        <v>0</v>
      </c>
      <c r="BO273" s="611">
        <f>IF(WWWW[[#This Row],['# People with access to soap]]&gt;WWWW[[#This Row],['# People with access to Sanity Pads]],WWWW[[#This Row],['# People with access to soap]],WWWW[[#This Row],['# People with access to Sanity Pads]])</f>
        <v>0</v>
      </c>
      <c r="BP273" s="565" t="str">
        <f>IF(OR(WWWW[[#This Row],['#of students in school]]="",WWWW[[#This Row],['#of students in school]]=0),"No","Yes")</f>
        <v>No</v>
      </c>
      <c r="BQ273" s="559" t="str">
        <f>VLOOKUP(WWWW[[#This Row],[Village  Name]],SiteDB6[[Site Name]:[Location Type 1]],9,FALSE)</f>
        <v>Village</v>
      </c>
      <c r="BR273" s="559" t="str">
        <f>VLOOKUP(WWWW[[#This Row],[Village  Name]],SiteDB6[[Site Name]:[Type of Accommodation]],10,FALSE)</f>
        <v>Village</v>
      </c>
      <c r="BS273" s="559">
        <f>VLOOKUP(WWWW[[#This Row],[Village  Name]],SiteDB6[[Site Name]:[Ethnic or GCA/NGCA]],11,FALSE)</f>
        <v>0</v>
      </c>
      <c r="BT273" s="559">
        <f>VLOOKUP(WWWW[[#This Row],[Village  Name]],SiteDB6[[Site Name]:[Lat]],12,FALSE)</f>
        <v>20.199499130248999</v>
      </c>
      <c r="BU273" s="559">
        <f>VLOOKUP(WWWW[[#This Row],[Village  Name]],SiteDB6[[Site Name]:[Long]],13,FALSE)</f>
        <v>92.834327697753906</v>
      </c>
      <c r="BV273" s="559">
        <f>VLOOKUP(WWWW[[#This Row],[Village  Name]],SiteDB6[[Site Name]:[Pcode]],3,FALSE)</f>
        <v>196126</v>
      </c>
      <c r="BW273" s="559" t="str">
        <f t="shared" si="11"/>
        <v>Covered</v>
      </c>
      <c r="BX273" s="587"/>
    </row>
    <row r="274" spans="1:76">
      <c r="A274" s="612" t="s">
        <v>2381</v>
      </c>
      <c r="B274" s="612" t="s">
        <v>316</v>
      </c>
      <c r="C274" s="457" t="s">
        <v>316</v>
      </c>
      <c r="D274" s="457" t="s">
        <v>309</v>
      </c>
      <c r="E274" s="551" t="s">
        <v>2687</v>
      </c>
      <c r="F274" s="457" t="s">
        <v>297</v>
      </c>
      <c r="G274" s="551" t="str">
        <f>VLOOKUP(WWWW[[#This Row],[Village  Name]],SiteDB6[[Site Name]:[Location Type]],8,FALSE)</f>
        <v>Village</v>
      </c>
      <c r="H274" s="457" t="s">
        <v>2618</v>
      </c>
      <c r="I274" s="611">
        <v>179</v>
      </c>
      <c r="J274" s="611">
        <v>853</v>
      </c>
      <c r="K274" s="461">
        <v>42736</v>
      </c>
      <c r="L274" s="55">
        <v>44551</v>
      </c>
      <c r="M274" s="611"/>
      <c r="N274" s="611"/>
      <c r="O274" s="611"/>
      <c r="P274" s="611"/>
      <c r="Q274" s="611"/>
      <c r="R274" s="611"/>
      <c r="S274" s="611"/>
      <c r="T274" s="643"/>
      <c r="U274" s="611"/>
      <c r="V274" s="611" t="s">
        <v>132</v>
      </c>
      <c r="W274" s="611"/>
      <c r="X274" s="611"/>
      <c r="Y274" s="611"/>
      <c r="Z274" s="611"/>
      <c r="AA274" s="611"/>
      <c r="AB274" s="643"/>
      <c r="AC274" s="611"/>
      <c r="AD274" s="611"/>
      <c r="AE274" s="611"/>
      <c r="AF274" s="611"/>
      <c r="AG274" s="611"/>
      <c r="AH274" s="611"/>
      <c r="AI274" s="611"/>
      <c r="AJ274" s="611"/>
      <c r="AK274" s="611"/>
      <c r="AL274" s="611"/>
      <c r="AM274" s="643"/>
      <c r="AN274" s="611"/>
      <c r="AO274" s="611"/>
      <c r="AP27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4" s="565">
        <f>WWWW[[#This Row],[%Equitable and continuous access to sufficient quantity of safe drinking water]]*WWWW[[#This Row],[Total PoP ]]</f>
        <v>0</v>
      </c>
      <c r="AR27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4" s="565">
        <f>WWWW[[#This Row],[% Access to unimproved water points]]*WWWW[[#This Row],[Total PoP ]]</f>
        <v>0</v>
      </c>
      <c r="AT27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4" s="565">
        <f>WWWW[[#This Row],[HRP1]]/250</f>
        <v>0</v>
      </c>
      <c r="AW274" s="555">
        <f>1-WWWW[[#This Row],[% Equitable and continuous access to sufficient quantity of domestic water]]</f>
        <v>1</v>
      </c>
      <c r="AX274" s="565">
        <f>WWWW[[#This Row],[%equitable and continuous access to sufficient quantity of safe drinking and domestic water''s GAP]]*WWWW[[#This Row],[Total PoP ]]</f>
        <v>853</v>
      </c>
      <c r="AY274" s="557">
        <f>IF(WWWW[[#This Row],[Total required water points]]-WWWW[[#This Row],['#Water points coverage]]&lt;0,0,WWWW[[#This Row],[Total required water points]]-WWWW[[#This Row],['#Water points coverage]])</f>
        <v>3</v>
      </c>
      <c r="AZ274" s="557">
        <f>ROUND(IF(WWWW[[#This Row],[Total PoP ]]&lt;250,1,WWWW[[#This Row],[Total PoP ]]/250),0)</f>
        <v>3</v>
      </c>
      <c r="BA27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4" s="565">
        <f>WWWW[[#This Row],[% people access to functioning Latrine]]*WWWW[[#This Row],[Total PoP ]]</f>
        <v>0</v>
      </c>
      <c r="BC274" s="557">
        <f>WWWW[[#This Row],['#_of_Functioning_latrines_in_school]]*50</f>
        <v>0</v>
      </c>
      <c r="BD274" s="557">
        <f>ROUND((WWWW[[#This Row],[Total PoP ]]/6),0)</f>
        <v>142</v>
      </c>
      <c r="BE274" s="557">
        <f>IF(WWWW[[#This Row],[Total required Latrines]]-(WWWW[[#This Row],['#_of_sanitary_fly-proof_HH_latrines]])&lt;0,0,WWWW[[#This Row],[Total required Latrines]]-(WWWW[[#This Row],['#_of_sanitary_fly-proof_HH_latrines]]))</f>
        <v>142</v>
      </c>
      <c r="BF274" s="558">
        <f>1-WWWW[[#This Row],[% people access to functioning Latrine]]</f>
        <v>1</v>
      </c>
      <c r="BG27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4" s="565">
        <f>IF(WWWW[[#This Row],['#_of_functional_handwashing_facilities_at_HH_level]]*6&gt;WWWW[[#This Row],[Total PoP ]],WWWW[[#This Row],[Total PoP ]],WWWW[[#This Row],['#_of_functional_handwashing_facilities_at_HH_level]]*6)</f>
        <v>0</v>
      </c>
      <c r="BI274" s="557">
        <f>IF(WWWW[[#This Row],['# people reached by regular dedicated hygiene promotion]]&gt;WWWW[[#This Row],['# People received regular supply of hygiene items]],WWWW[[#This Row],['# people reached by regular dedicated hygiene promotion]],WWWW[[#This Row],['# People received regular supply of hygiene items]])</f>
        <v>0</v>
      </c>
      <c r="BJ274" s="555">
        <f>IF(WWWW[[#This Row],[HRP3]]/WWWW[[#This Row],[Total PoP ]]&gt;100%,100%,WWWW[[#This Row],[HRP3]]/WWWW[[#This Row],[Total PoP ]])</f>
        <v>0</v>
      </c>
      <c r="BK274" s="558">
        <f>1-WWWW[[#This Row],[Hygiene Coverage%]]</f>
        <v>1</v>
      </c>
      <c r="BL274" s="556">
        <f>WWWW[[#This Row],['# people reached by regular dedicated hygiene promotion]]/WWWW[[#This Row],[Total PoP ]]</f>
        <v>0</v>
      </c>
      <c r="BM27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4" s="557">
        <f>WWWW[[#This Row],['#_of_affected_women_and_girls_receiving_a_sufficient_quantity_of_sanitary_pads]]</f>
        <v>0</v>
      </c>
      <c r="BO274" s="611">
        <f>IF(WWWW[[#This Row],['# People with access to soap]]&gt;WWWW[[#This Row],['# People with access to Sanity Pads]],WWWW[[#This Row],['# People with access to soap]],WWWW[[#This Row],['# People with access to Sanity Pads]])</f>
        <v>0</v>
      </c>
      <c r="BP274" s="565" t="str">
        <f>IF(OR(WWWW[[#This Row],['#of students in school]]="",WWWW[[#This Row],['#of students in school]]=0),"No","Yes")</f>
        <v>No</v>
      </c>
      <c r="BQ274" s="559" t="str">
        <f>VLOOKUP(WWWW[[#This Row],[Village  Name]],SiteDB6[[Site Name]:[Location Type 1]],9,FALSE)</f>
        <v>Village</v>
      </c>
      <c r="BR274" s="559" t="str">
        <f>VLOOKUP(WWWW[[#This Row],[Village  Name]],SiteDB6[[Site Name]:[Type of Accommodation]],10,FALSE)</f>
        <v>Village</v>
      </c>
      <c r="BS274" s="559">
        <f>VLOOKUP(WWWW[[#This Row],[Village  Name]],SiteDB6[[Site Name]:[Ethnic or GCA/NGCA]],11,FALSE)</f>
        <v>0</v>
      </c>
      <c r="BT274" s="559">
        <f>VLOOKUP(WWWW[[#This Row],[Village  Name]],SiteDB6[[Site Name]:[Lat]],12,FALSE)</f>
        <v>20.194370269775401</v>
      </c>
      <c r="BU274" s="559">
        <f>VLOOKUP(WWWW[[#This Row],[Village  Name]],SiteDB6[[Site Name]:[Long]],13,FALSE)</f>
        <v>92.834007263183594</v>
      </c>
      <c r="BV274" s="559">
        <f>VLOOKUP(WWWW[[#This Row],[Village  Name]],SiteDB6[[Site Name]:[Pcode]],3,FALSE)</f>
        <v>196128</v>
      </c>
      <c r="BW274" s="559" t="str">
        <f t="shared" si="11"/>
        <v>Covered</v>
      </c>
      <c r="BX274" s="587"/>
    </row>
    <row r="275" spans="1:76">
      <c r="A275" s="612" t="s">
        <v>2381</v>
      </c>
      <c r="B275" s="612" t="s">
        <v>316</v>
      </c>
      <c r="C275" s="457" t="s">
        <v>316</v>
      </c>
      <c r="D275" s="457" t="s">
        <v>309</v>
      </c>
      <c r="E275" s="551" t="s">
        <v>2687</v>
      </c>
      <c r="F275" s="457" t="s">
        <v>297</v>
      </c>
      <c r="G275" s="551" t="str">
        <f>VLOOKUP(WWWW[[#This Row],[Village  Name]],SiteDB6[[Site Name]:[Location Type]],8,FALSE)</f>
        <v>Village</v>
      </c>
      <c r="H275" s="457" t="s">
        <v>2619</v>
      </c>
      <c r="I275" s="611">
        <v>241</v>
      </c>
      <c r="J275" s="611">
        <v>1027</v>
      </c>
      <c r="K275" s="461">
        <v>42736</v>
      </c>
      <c r="L275" s="55">
        <v>44551</v>
      </c>
      <c r="M275" s="611"/>
      <c r="N275" s="611"/>
      <c r="O275" s="611"/>
      <c r="P275" s="611"/>
      <c r="Q275" s="611"/>
      <c r="R275" s="611"/>
      <c r="S275" s="611"/>
      <c r="T275" s="643"/>
      <c r="U275" s="611"/>
      <c r="V275" s="611" t="s">
        <v>132</v>
      </c>
      <c r="W275" s="611"/>
      <c r="X275" s="611"/>
      <c r="Y275" s="611"/>
      <c r="Z275" s="611"/>
      <c r="AA275" s="611"/>
      <c r="AB275" s="643"/>
      <c r="AC275" s="611"/>
      <c r="AD275" s="611"/>
      <c r="AE275" s="611"/>
      <c r="AF275" s="611"/>
      <c r="AG275" s="611"/>
      <c r="AH275" s="611"/>
      <c r="AI275" s="611"/>
      <c r="AJ275" s="611"/>
      <c r="AK275" s="611"/>
      <c r="AL275" s="611"/>
      <c r="AM275" s="643"/>
      <c r="AN275" s="611"/>
      <c r="AO275" s="611"/>
      <c r="AP27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5" s="565">
        <f>WWWW[[#This Row],[%Equitable and continuous access to sufficient quantity of safe drinking water]]*WWWW[[#This Row],[Total PoP ]]</f>
        <v>0</v>
      </c>
      <c r="AR27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5" s="565">
        <f>WWWW[[#This Row],[% Access to unimproved water points]]*WWWW[[#This Row],[Total PoP ]]</f>
        <v>0</v>
      </c>
      <c r="AT27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5" s="565">
        <f>WWWW[[#This Row],[HRP1]]/250</f>
        <v>0</v>
      </c>
      <c r="AW275" s="555">
        <f>1-WWWW[[#This Row],[% Equitable and continuous access to sufficient quantity of domestic water]]</f>
        <v>1</v>
      </c>
      <c r="AX275" s="565">
        <f>WWWW[[#This Row],[%equitable and continuous access to sufficient quantity of safe drinking and domestic water''s GAP]]*WWWW[[#This Row],[Total PoP ]]</f>
        <v>1027</v>
      </c>
      <c r="AY275" s="557">
        <f>IF(WWWW[[#This Row],[Total required water points]]-WWWW[[#This Row],['#Water points coverage]]&lt;0,0,WWWW[[#This Row],[Total required water points]]-WWWW[[#This Row],['#Water points coverage]])</f>
        <v>4</v>
      </c>
      <c r="AZ275" s="557">
        <f>ROUND(IF(WWWW[[#This Row],[Total PoP ]]&lt;250,1,WWWW[[#This Row],[Total PoP ]]/250),0)</f>
        <v>4</v>
      </c>
      <c r="BA27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5" s="565">
        <f>WWWW[[#This Row],[% people access to functioning Latrine]]*WWWW[[#This Row],[Total PoP ]]</f>
        <v>0</v>
      </c>
      <c r="BC275" s="557">
        <f>WWWW[[#This Row],['#_of_Functioning_latrines_in_school]]*50</f>
        <v>0</v>
      </c>
      <c r="BD275" s="557">
        <f>ROUND((WWWW[[#This Row],[Total PoP ]]/6),0)</f>
        <v>171</v>
      </c>
      <c r="BE275" s="557">
        <f>IF(WWWW[[#This Row],[Total required Latrines]]-(WWWW[[#This Row],['#_of_sanitary_fly-proof_HH_latrines]])&lt;0,0,WWWW[[#This Row],[Total required Latrines]]-(WWWW[[#This Row],['#_of_sanitary_fly-proof_HH_latrines]]))</f>
        <v>171</v>
      </c>
      <c r="BF275" s="558">
        <f>1-WWWW[[#This Row],[% people access to functioning Latrine]]</f>
        <v>1</v>
      </c>
      <c r="BG27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5" s="565">
        <f>IF(WWWW[[#This Row],['#_of_functional_handwashing_facilities_at_HH_level]]*6&gt;WWWW[[#This Row],[Total PoP ]],WWWW[[#This Row],[Total PoP ]],WWWW[[#This Row],['#_of_functional_handwashing_facilities_at_HH_level]]*6)</f>
        <v>0</v>
      </c>
      <c r="BI275" s="557">
        <f>IF(WWWW[[#This Row],['# people reached by regular dedicated hygiene promotion]]&gt;WWWW[[#This Row],['# People received regular supply of hygiene items]],WWWW[[#This Row],['# people reached by regular dedicated hygiene promotion]],WWWW[[#This Row],['# People received regular supply of hygiene items]])</f>
        <v>0</v>
      </c>
      <c r="BJ275" s="555">
        <f>IF(WWWW[[#This Row],[HRP3]]/WWWW[[#This Row],[Total PoP ]]&gt;100%,100%,WWWW[[#This Row],[HRP3]]/WWWW[[#This Row],[Total PoP ]])</f>
        <v>0</v>
      </c>
      <c r="BK275" s="558">
        <f>1-WWWW[[#This Row],[Hygiene Coverage%]]</f>
        <v>1</v>
      </c>
      <c r="BL275" s="556">
        <f>WWWW[[#This Row],['# people reached by regular dedicated hygiene promotion]]/WWWW[[#This Row],[Total PoP ]]</f>
        <v>0</v>
      </c>
      <c r="BM27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5" s="557">
        <f>WWWW[[#This Row],['#_of_affected_women_and_girls_receiving_a_sufficient_quantity_of_sanitary_pads]]</f>
        <v>0</v>
      </c>
      <c r="BO275" s="611">
        <f>IF(WWWW[[#This Row],['# People with access to soap]]&gt;WWWW[[#This Row],['# People with access to Sanity Pads]],WWWW[[#This Row],['# People with access to soap]],WWWW[[#This Row],['# People with access to Sanity Pads]])</f>
        <v>0</v>
      </c>
      <c r="BP275" s="565" t="str">
        <f>IF(OR(WWWW[[#This Row],['#of students in school]]="",WWWW[[#This Row],['#of students in school]]=0),"No","Yes")</f>
        <v>No</v>
      </c>
      <c r="BQ275" s="559" t="str">
        <f>VLOOKUP(WWWW[[#This Row],[Village  Name]],SiteDB6[[Site Name]:[Location Type 1]],9,FALSE)</f>
        <v>Village</v>
      </c>
      <c r="BR275" s="559" t="str">
        <f>VLOOKUP(WWWW[[#This Row],[Village  Name]],SiteDB6[[Site Name]:[Type of Accommodation]],10,FALSE)</f>
        <v>Village</v>
      </c>
      <c r="BS275" s="559">
        <f>VLOOKUP(WWWW[[#This Row],[Village  Name]],SiteDB6[[Site Name]:[Ethnic or GCA/NGCA]],11,FALSE)</f>
        <v>0</v>
      </c>
      <c r="BT275" s="559">
        <f>VLOOKUP(WWWW[[#This Row],[Village  Name]],SiteDB6[[Site Name]:[Lat]],12,FALSE)</f>
        <v>20.2105598449707</v>
      </c>
      <c r="BU275" s="559">
        <f>VLOOKUP(WWWW[[#This Row],[Village  Name]],SiteDB6[[Site Name]:[Long]],13,FALSE)</f>
        <v>92.836456298828097</v>
      </c>
      <c r="BV275" s="559">
        <f>VLOOKUP(WWWW[[#This Row],[Village  Name]],SiteDB6[[Site Name]:[Pcode]],3,FALSE)</f>
        <v>196125</v>
      </c>
      <c r="BW275" s="559" t="str">
        <f t="shared" si="11"/>
        <v>Covered</v>
      </c>
      <c r="BX275" s="587"/>
    </row>
    <row r="276" spans="1:76">
      <c r="A276" s="612" t="s">
        <v>2381</v>
      </c>
      <c r="B276" s="612" t="s">
        <v>316</v>
      </c>
      <c r="C276" s="457" t="s">
        <v>316</v>
      </c>
      <c r="D276" s="457" t="s">
        <v>309</v>
      </c>
      <c r="E276" s="551" t="s">
        <v>2687</v>
      </c>
      <c r="F276" s="457" t="s">
        <v>297</v>
      </c>
      <c r="G276" s="551" t="str">
        <f>VLOOKUP(WWWW[[#This Row],[Village  Name]],SiteDB6[[Site Name]:[Location Type]],8,FALSE)</f>
        <v>Village</v>
      </c>
      <c r="H276" s="457" t="s">
        <v>2620</v>
      </c>
      <c r="I276" s="611">
        <v>77</v>
      </c>
      <c r="J276" s="611">
        <v>370</v>
      </c>
      <c r="K276" s="461">
        <v>42736</v>
      </c>
      <c r="L276" s="55">
        <v>44551</v>
      </c>
      <c r="M276" s="611"/>
      <c r="N276" s="611"/>
      <c r="O276" s="611"/>
      <c r="P276" s="611"/>
      <c r="Q276" s="611"/>
      <c r="R276" s="611"/>
      <c r="S276" s="611"/>
      <c r="T276" s="643"/>
      <c r="U276" s="611"/>
      <c r="V276" s="611" t="s">
        <v>132</v>
      </c>
      <c r="W276" s="611"/>
      <c r="X276" s="611"/>
      <c r="Y276" s="611"/>
      <c r="Z276" s="611"/>
      <c r="AA276" s="611"/>
      <c r="AB276" s="643"/>
      <c r="AC276" s="611"/>
      <c r="AD276" s="611"/>
      <c r="AE276" s="611"/>
      <c r="AF276" s="611"/>
      <c r="AG276" s="611"/>
      <c r="AH276" s="611"/>
      <c r="AI276" s="611"/>
      <c r="AJ276" s="611"/>
      <c r="AK276" s="611"/>
      <c r="AL276" s="611"/>
      <c r="AM276" s="643"/>
      <c r="AN276" s="611"/>
      <c r="AO276" s="611"/>
      <c r="AP27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6" s="565">
        <f>WWWW[[#This Row],[%Equitable and continuous access to sufficient quantity of safe drinking water]]*WWWW[[#This Row],[Total PoP ]]</f>
        <v>0</v>
      </c>
      <c r="AR27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6" s="565">
        <f>WWWW[[#This Row],[% Access to unimproved water points]]*WWWW[[#This Row],[Total PoP ]]</f>
        <v>0</v>
      </c>
      <c r="AT27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6" s="565">
        <f>WWWW[[#This Row],[HRP1]]/250</f>
        <v>0</v>
      </c>
      <c r="AW276" s="555">
        <f>1-WWWW[[#This Row],[% Equitable and continuous access to sufficient quantity of domestic water]]</f>
        <v>1</v>
      </c>
      <c r="AX276" s="565">
        <f>WWWW[[#This Row],[%equitable and continuous access to sufficient quantity of safe drinking and domestic water''s GAP]]*WWWW[[#This Row],[Total PoP ]]</f>
        <v>370</v>
      </c>
      <c r="AY276" s="557">
        <f>IF(WWWW[[#This Row],[Total required water points]]-WWWW[[#This Row],['#Water points coverage]]&lt;0,0,WWWW[[#This Row],[Total required water points]]-WWWW[[#This Row],['#Water points coverage]])</f>
        <v>1</v>
      </c>
      <c r="AZ276" s="557">
        <f>ROUND(IF(WWWW[[#This Row],[Total PoP ]]&lt;250,1,WWWW[[#This Row],[Total PoP ]]/250),0)</f>
        <v>1</v>
      </c>
      <c r="BA27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6" s="565">
        <f>WWWW[[#This Row],[% people access to functioning Latrine]]*WWWW[[#This Row],[Total PoP ]]</f>
        <v>0</v>
      </c>
      <c r="BC276" s="557">
        <f>WWWW[[#This Row],['#_of_Functioning_latrines_in_school]]*50</f>
        <v>0</v>
      </c>
      <c r="BD276" s="557">
        <f>ROUND((WWWW[[#This Row],[Total PoP ]]/6),0)</f>
        <v>62</v>
      </c>
      <c r="BE276" s="557">
        <f>IF(WWWW[[#This Row],[Total required Latrines]]-(WWWW[[#This Row],['#_of_sanitary_fly-proof_HH_latrines]])&lt;0,0,WWWW[[#This Row],[Total required Latrines]]-(WWWW[[#This Row],['#_of_sanitary_fly-proof_HH_latrines]]))</f>
        <v>62</v>
      </c>
      <c r="BF276" s="558">
        <f>1-WWWW[[#This Row],[% people access to functioning Latrine]]</f>
        <v>1</v>
      </c>
      <c r="BG27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6" s="565">
        <f>IF(WWWW[[#This Row],['#_of_functional_handwashing_facilities_at_HH_level]]*6&gt;WWWW[[#This Row],[Total PoP ]],WWWW[[#This Row],[Total PoP ]],WWWW[[#This Row],['#_of_functional_handwashing_facilities_at_HH_level]]*6)</f>
        <v>0</v>
      </c>
      <c r="BI276" s="557">
        <f>IF(WWWW[[#This Row],['# people reached by regular dedicated hygiene promotion]]&gt;WWWW[[#This Row],['# People received regular supply of hygiene items]],WWWW[[#This Row],['# people reached by regular dedicated hygiene promotion]],WWWW[[#This Row],['# People received regular supply of hygiene items]])</f>
        <v>0</v>
      </c>
      <c r="BJ276" s="555">
        <f>IF(WWWW[[#This Row],[HRP3]]/WWWW[[#This Row],[Total PoP ]]&gt;100%,100%,WWWW[[#This Row],[HRP3]]/WWWW[[#This Row],[Total PoP ]])</f>
        <v>0</v>
      </c>
      <c r="BK276" s="558">
        <f>1-WWWW[[#This Row],[Hygiene Coverage%]]</f>
        <v>1</v>
      </c>
      <c r="BL276" s="556">
        <f>WWWW[[#This Row],['# people reached by regular dedicated hygiene promotion]]/WWWW[[#This Row],[Total PoP ]]</f>
        <v>0</v>
      </c>
      <c r="BM27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6" s="557">
        <f>WWWW[[#This Row],['#_of_affected_women_and_girls_receiving_a_sufficient_quantity_of_sanitary_pads]]</f>
        <v>0</v>
      </c>
      <c r="BO276" s="611">
        <f>IF(WWWW[[#This Row],['# People with access to soap]]&gt;WWWW[[#This Row],['# People with access to Sanity Pads]],WWWW[[#This Row],['# People with access to soap]],WWWW[[#This Row],['# People with access to Sanity Pads]])</f>
        <v>0</v>
      </c>
      <c r="BP276" s="565" t="str">
        <f>IF(OR(WWWW[[#This Row],['#of students in school]]="",WWWW[[#This Row],['#of students in school]]=0),"No","Yes")</f>
        <v>No</v>
      </c>
      <c r="BQ276" s="559" t="str">
        <f>VLOOKUP(WWWW[[#This Row],[Village  Name]],SiteDB6[[Site Name]:[Location Type 1]],9,FALSE)</f>
        <v>Village</v>
      </c>
      <c r="BR276" s="559" t="str">
        <f>VLOOKUP(WWWW[[#This Row],[Village  Name]],SiteDB6[[Site Name]:[Type of Accommodation]],10,FALSE)</f>
        <v>Village</v>
      </c>
      <c r="BS276" s="559" t="str">
        <f>VLOOKUP(WWWW[[#This Row],[Village  Name]],SiteDB6[[Site Name]:[Ethnic or GCA/NGCA]],11,FALSE)</f>
        <v>Rakhine</v>
      </c>
      <c r="BT276" s="559">
        <f>VLOOKUP(WWWW[[#This Row],[Village  Name]],SiteDB6[[Site Name]:[Lat]],12,FALSE)</f>
        <v>20.142474</v>
      </c>
      <c r="BU276" s="559">
        <f>VLOOKUP(WWWW[[#This Row],[Village  Name]],SiteDB6[[Site Name]:[Long]],13,FALSE)</f>
        <v>92.494243999999995</v>
      </c>
      <c r="BV276" s="559">
        <f>VLOOKUP(WWWW[[#This Row],[Village  Name]],SiteDB6[[Site Name]:[Pcode]],3,FALSE)</f>
        <v>196130</v>
      </c>
      <c r="BW276" s="559" t="str">
        <f t="shared" si="11"/>
        <v>Covered</v>
      </c>
      <c r="BX276" s="587"/>
    </row>
    <row r="277" spans="1:76">
      <c r="A277" s="612" t="s">
        <v>2381</v>
      </c>
      <c r="B277" s="612" t="s">
        <v>316</v>
      </c>
      <c r="C277" s="457" t="s">
        <v>316</v>
      </c>
      <c r="D277" s="457" t="s">
        <v>309</v>
      </c>
      <c r="E277" s="551" t="s">
        <v>2687</v>
      </c>
      <c r="F277" s="457" t="s">
        <v>297</v>
      </c>
      <c r="G277" s="551" t="str">
        <f>VLOOKUP(WWWW[[#This Row],[Village  Name]],SiteDB6[[Site Name]:[Location Type]],8,FALSE)</f>
        <v>village</v>
      </c>
      <c r="H277" s="457" t="s">
        <v>876</v>
      </c>
      <c r="I277" s="611">
        <v>509</v>
      </c>
      <c r="J277" s="611">
        <v>1574</v>
      </c>
      <c r="K277" s="461">
        <v>42736</v>
      </c>
      <c r="L277" s="55">
        <v>44551</v>
      </c>
      <c r="M277" s="611"/>
      <c r="N277" s="611"/>
      <c r="O277" s="611"/>
      <c r="P277" s="611"/>
      <c r="Q277" s="611"/>
      <c r="R277" s="611"/>
      <c r="S277" s="611"/>
      <c r="T277" s="643"/>
      <c r="U277" s="611"/>
      <c r="V277" s="611" t="s">
        <v>132</v>
      </c>
      <c r="W277" s="611"/>
      <c r="X277" s="611"/>
      <c r="Y277" s="611"/>
      <c r="Z277" s="611"/>
      <c r="AA277" s="611"/>
      <c r="AB277" s="643"/>
      <c r="AC277" s="611"/>
      <c r="AD277" s="611"/>
      <c r="AE277" s="611"/>
      <c r="AF277" s="611"/>
      <c r="AG277" s="611"/>
      <c r="AH277" s="611"/>
      <c r="AI277" s="611"/>
      <c r="AJ277" s="611"/>
      <c r="AK277" s="611"/>
      <c r="AL277" s="611"/>
      <c r="AM277" s="643"/>
      <c r="AN277" s="611"/>
      <c r="AO277" s="611"/>
      <c r="AP27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7" s="565">
        <f>WWWW[[#This Row],[%Equitable and continuous access to sufficient quantity of safe drinking water]]*WWWW[[#This Row],[Total PoP ]]</f>
        <v>0</v>
      </c>
      <c r="AR27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7" s="565">
        <f>WWWW[[#This Row],[% Access to unimproved water points]]*WWWW[[#This Row],[Total PoP ]]</f>
        <v>0</v>
      </c>
      <c r="AT27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7" s="565">
        <f>WWWW[[#This Row],[HRP1]]/250</f>
        <v>0</v>
      </c>
      <c r="AW277" s="555">
        <f>1-WWWW[[#This Row],[% Equitable and continuous access to sufficient quantity of domestic water]]</f>
        <v>1</v>
      </c>
      <c r="AX277" s="565">
        <f>WWWW[[#This Row],[%equitable and continuous access to sufficient quantity of safe drinking and domestic water''s GAP]]*WWWW[[#This Row],[Total PoP ]]</f>
        <v>1574</v>
      </c>
      <c r="AY277" s="557">
        <f>IF(WWWW[[#This Row],[Total required water points]]-WWWW[[#This Row],['#Water points coverage]]&lt;0,0,WWWW[[#This Row],[Total required water points]]-WWWW[[#This Row],['#Water points coverage]])</f>
        <v>6</v>
      </c>
      <c r="AZ277" s="557">
        <f>ROUND(IF(WWWW[[#This Row],[Total PoP ]]&lt;250,1,WWWW[[#This Row],[Total PoP ]]/250),0)</f>
        <v>6</v>
      </c>
      <c r="BA27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7" s="565">
        <f>WWWW[[#This Row],[% people access to functioning Latrine]]*WWWW[[#This Row],[Total PoP ]]</f>
        <v>0</v>
      </c>
      <c r="BC277" s="557">
        <f>WWWW[[#This Row],['#_of_Functioning_latrines_in_school]]*50</f>
        <v>0</v>
      </c>
      <c r="BD277" s="557">
        <f>ROUND((WWWW[[#This Row],[Total PoP ]]/6),0)</f>
        <v>262</v>
      </c>
      <c r="BE277" s="557">
        <f>IF(WWWW[[#This Row],[Total required Latrines]]-(WWWW[[#This Row],['#_of_sanitary_fly-proof_HH_latrines]])&lt;0,0,WWWW[[#This Row],[Total required Latrines]]-(WWWW[[#This Row],['#_of_sanitary_fly-proof_HH_latrines]]))</f>
        <v>262</v>
      </c>
      <c r="BF277" s="558">
        <f>1-WWWW[[#This Row],[% people access to functioning Latrine]]</f>
        <v>1</v>
      </c>
      <c r="BG27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7" s="565">
        <f>IF(WWWW[[#This Row],['#_of_functional_handwashing_facilities_at_HH_level]]*6&gt;WWWW[[#This Row],[Total PoP ]],WWWW[[#This Row],[Total PoP ]],WWWW[[#This Row],['#_of_functional_handwashing_facilities_at_HH_level]]*6)</f>
        <v>0</v>
      </c>
      <c r="BI277" s="557">
        <f>IF(WWWW[[#This Row],['# people reached by regular dedicated hygiene promotion]]&gt;WWWW[[#This Row],['# People received regular supply of hygiene items]],WWWW[[#This Row],['# people reached by regular dedicated hygiene promotion]],WWWW[[#This Row],['# People received regular supply of hygiene items]])</f>
        <v>0</v>
      </c>
      <c r="BJ277" s="555">
        <f>IF(WWWW[[#This Row],[HRP3]]/WWWW[[#This Row],[Total PoP ]]&gt;100%,100%,WWWW[[#This Row],[HRP3]]/WWWW[[#This Row],[Total PoP ]])</f>
        <v>0</v>
      </c>
      <c r="BK277" s="558">
        <f>1-WWWW[[#This Row],[Hygiene Coverage%]]</f>
        <v>1</v>
      </c>
      <c r="BL277" s="556">
        <f>WWWW[[#This Row],['# people reached by regular dedicated hygiene promotion]]/WWWW[[#This Row],[Total PoP ]]</f>
        <v>0</v>
      </c>
      <c r="BM27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7" s="557">
        <f>WWWW[[#This Row],['#_of_affected_women_and_girls_receiving_a_sufficient_quantity_of_sanitary_pads]]</f>
        <v>0</v>
      </c>
      <c r="BO277" s="611">
        <f>IF(WWWW[[#This Row],['# People with access to soap]]&gt;WWWW[[#This Row],['# People with access to Sanity Pads]],WWWW[[#This Row],['# People with access to soap]],WWWW[[#This Row],['# People with access to Sanity Pads]])</f>
        <v>0</v>
      </c>
      <c r="BP277" s="565" t="str">
        <f>IF(OR(WWWW[[#This Row],['#of students in school]]="",WWWW[[#This Row],['#of students in school]]=0),"No","Yes")</f>
        <v>No</v>
      </c>
      <c r="BQ277" s="559" t="str">
        <f>VLOOKUP(WWWW[[#This Row],[Village  Name]],SiteDB6[[Site Name]:[Location Type 1]],9,FALSE)</f>
        <v>Village</v>
      </c>
      <c r="BR277" s="559" t="str">
        <f>VLOOKUP(WWWW[[#This Row],[Village  Name]],SiteDB6[[Site Name]:[Type of Accommodation]],10,FALSE)</f>
        <v>village</v>
      </c>
      <c r="BS277" s="559" t="str">
        <f>VLOOKUP(WWWW[[#This Row],[Village  Name]],SiteDB6[[Site Name]:[Ethnic or GCA/NGCA]],11,FALSE)</f>
        <v>Rakhine</v>
      </c>
      <c r="BT277" s="559">
        <f>VLOOKUP(WWWW[[#This Row],[Village  Name]],SiteDB6[[Site Name]:[Lat]],12,FALSE)</f>
        <v>20.226730346679702</v>
      </c>
      <c r="BU277" s="559">
        <f>VLOOKUP(WWWW[[#This Row],[Village  Name]],SiteDB6[[Site Name]:[Long]],13,FALSE)</f>
        <v>92.836929321289105</v>
      </c>
      <c r="BV277" s="559">
        <f>VLOOKUP(WWWW[[#This Row],[Village  Name]],SiteDB6[[Site Name]:[Pcode]],3,FALSE)</f>
        <v>196129</v>
      </c>
      <c r="BW277" s="559" t="str">
        <f t="shared" si="11"/>
        <v>Covered</v>
      </c>
      <c r="BX277" s="587"/>
    </row>
    <row r="278" spans="1:76">
      <c r="A278" s="612" t="s">
        <v>2381</v>
      </c>
      <c r="B278" s="612" t="s">
        <v>316</v>
      </c>
      <c r="C278" s="457" t="s">
        <v>316</v>
      </c>
      <c r="D278" s="457" t="s">
        <v>309</v>
      </c>
      <c r="E278" s="551" t="s">
        <v>2687</v>
      </c>
      <c r="F278" s="457" t="s">
        <v>297</v>
      </c>
      <c r="G278" s="551" t="str">
        <f>VLOOKUP(WWWW[[#This Row],[Village  Name]],SiteDB6[[Site Name]:[Location Type]],8,FALSE)</f>
        <v>Village</v>
      </c>
      <c r="H278" s="457" t="s">
        <v>2022</v>
      </c>
      <c r="I278" s="611">
        <v>301</v>
      </c>
      <c r="J278" s="611">
        <v>1529</v>
      </c>
      <c r="K278" s="461">
        <v>42736</v>
      </c>
      <c r="L278" s="55">
        <v>44551</v>
      </c>
      <c r="M278" s="611"/>
      <c r="N278" s="611"/>
      <c r="O278" s="611"/>
      <c r="P278" s="611"/>
      <c r="Q278" s="611"/>
      <c r="R278" s="611"/>
      <c r="S278" s="611"/>
      <c r="T278" s="643"/>
      <c r="U278" s="611"/>
      <c r="V278" s="611" t="s">
        <v>132</v>
      </c>
      <c r="W278" s="611"/>
      <c r="X278" s="611"/>
      <c r="Y278" s="611"/>
      <c r="Z278" s="611"/>
      <c r="AA278" s="611"/>
      <c r="AB278" s="643"/>
      <c r="AC278" s="611"/>
      <c r="AD278" s="611"/>
      <c r="AE278" s="611"/>
      <c r="AF278" s="611"/>
      <c r="AG278" s="611"/>
      <c r="AH278" s="611"/>
      <c r="AI278" s="611"/>
      <c r="AJ278" s="611"/>
      <c r="AK278" s="611"/>
      <c r="AL278" s="611"/>
      <c r="AM278" s="643"/>
      <c r="AN278" s="611"/>
      <c r="AO278" s="611"/>
      <c r="AP27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8" s="565">
        <f>WWWW[[#This Row],[%Equitable and continuous access to sufficient quantity of safe drinking water]]*WWWW[[#This Row],[Total PoP ]]</f>
        <v>0</v>
      </c>
      <c r="AR27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8" s="565">
        <f>WWWW[[#This Row],[% Access to unimproved water points]]*WWWW[[#This Row],[Total PoP ]]</f>
        <v>0</v>
      </c>
      <c r="AT27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8" s="565">
        <f>WWWW[[#This Row],[HRP1]]/250</f>
        <v>0</v>
      </c>
      <c r="AW278" s="555">
        <f>1-WWWW[[#This Row],[% Equitable and continuous access to sufficient quantity of domestic water]]</f>
        <v>1</v>
      </c>
      <c r="AX278" s="565">
        <f>WWWW[[#This Row],[%equitable and continuous access to sufficient quantity of safe drinking and domestic water''s GAP]]*WWWW[[#This Row],[Total PoP ]]</f>
        <v>1529</v>
      </c>
      <c r="AY278" s="557">
        <f>IF(WWWW[[#This Row],[Total required water points]]-WWWW[[#This Row],['#Water points coverage]]&lt;0,0,WWWW[[#This Row],[Total required water points]]-WWWW[[#This Row],['#Water points coverage]])</f>
        <v>6</v>
      </c>
      <c r="AZ278" s="557">
        <f>ROUND(IF(WWWW[[#This Row],[Total PoP ]]&lt;250,1,WWWW[[#This Row],[Total PoP ]]/250),0)</f>
        <v>6</v>
      </c>
      <c r="BA27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8" s="565">
        <f>WWWW[[#This Row],[% people access to functioning Latrine]]*WWWW[[#This Row],[Total PoP ]]</f>
        <v>0</v>
      </c>
      <c r="BC278" s="557">
        <f>WWWW[[#This Row],['#_of_Functioning_latrines_in_school]]*50</f>
        <v>0</v>
      </c>
      <c r="BD278" s="557">
        <f>ROUND((WWWW[[#This Row],[Total PoP ]]/6),0)</f>
        <v>255</v>
      </c>
      <c r="BE278" s="557">
        <f>IF(WWWW[[#This Row],[Total required Latrines]]-(WWWW[[#This Row],['#_of_sanitary_fly-proof_HH_latrines]])&lt;0,0,WWWW[[#This Row],[Total required Latrines]]-(WWWW[[#This Row],['#_of_sanitary_fly-proof_HH_latrines]]))</f>
        <v>255</v>
      </c>
      <c r="BF278" s="558">
        <f>1-WWWW[[#This Row],[% people access to functioning Latrine]]</f>
        <v>1</v>
      </c>
      <c r="BG27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8" s="565">
        <f>IF(WWWW[[#This Row],['#_of_functional_handwashing_facilities_at_HH_level]]*6&gt;WWWW[[#This Row],[Total PoP ]],WWWW[[#This Row],[Total PoP ]],WWWW[[#This Row],['#_of_functional_handwashing_facilities_at_HH_level]]*6)</f>
        <v>0</v>
      </c>
      <c r="BI278" s="557">
        <f>IF(WWWW[[#This Row],['# people reached by regular dedicated hygiene promotion]]&gt;WWWW[[#This Row],['# People received regular supply of hygiene items]],WWWW[[#This Row],['# people reached by regular dedicated hygiene promotion]],WWWW[[#This Row],['# People received regular supply of hygiene items]])</f>
        <v>0</v>
      </c>
      <c r="BJ278" s="555">
        <f>IF(WWWW[[#This Row],[HRP3]]/WWWW[[#This Row],[Total PoP ]]&gt;100%,100%,WWWW[[#This Row],[HRP3]]/WWWW[[#This Row],[Total PoP ]])</f>
        <v>0</v>
      </c>
      <c r="BK278" s="558">
        <f>1-WWWW[[#This Row],[Hygiene Coverage%]]</f>
        <v>1</v>
      </c>
      <c r="BL278" s="556">
        <f>WWWW[[#This Row],['# people reached by regular dedicated hygiene promotion]]/WWWW[[#This Row],[Total PoP ]]</f>
        <v>0</v>
      </c>
      <c r="BM27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8" s="557">
        <f>WWWW[[#This Row],['#_of_affected_women_and_girls_receiving_a_sufficient_quantity_of_sanitary_pads]]</f>
        <v>0</v>
      </c>
      <c r="BO278" s="611">
        <f>IF(WWWW[[#This Row],['# People with access to soap]]&gt;WWWW[[#This Row],['# People with access to Sanity Pads]],WWWW[[#This Row],['# People with access to soap]],WWWW[[#This Row],['# People with access to Sanity Pads]])</f>
        <v>0</v>
      </c>
      <c r="BP278" s="565" t="str">
        <f>IF(OR(WWWW[[#This Row],['#of students in school]]="",WWWW[[#This Row],['#of students in school]]=0),"No","Yes")</f>
        <v>No</v>
      </c>
      <c r="BQ278" s="559" t="str">
        <f>VLOOKUP(WWWW[[#This Row],[Village  Name]],SiteDB6[[Site Name]:[Location Type 1]],9,FALSE)</f>
        <v>Village</v>
      </c>
      <c r="BR278" s="559" t="str">
        <f>VLOOKUP(WWWW[[#This Row],[Village  Name]],SiteDB6[[Site Name]:[Type of Accommodation]],10,FALSE)</f>
        <v>Village</v>
      </c>
      <c r="BS278" s="559" t="str">
        <f>VLOOKUP(WWWW[[#This Row],[Village  Name]],SiteDB6[[Site Name]:[Ethnic or GCA/NGCA]],11,FALSE)</f>
        <v>Rakhine</v>
      </c>
      <c r="BT278" s="559">
        <f>VLOOKUP(WWWW[[#This Row],[Village  Name]],SiteDB6[[Site Name]:[Lat]],12,FALSE)</f>
        <v>20.257850650000002</v>
      </c>
      <c r="BU278" s="559">
        <f>VLOOKUP(WWWW[[#This Row],[Village  Name]],SiteDB6[[Site Name]:[Long]],13,FALSE)</f>
        <v>92.811126709999996</v>
      </c>
      <c r="BV278" s="559">
        <f>VLOOKUP(WWWW[[#This Row],[Village  Name]],SiteDB6[[Site Name]:[Pcode]],3,FALSE)</f>
        <v>196161</v>
      </c>
      <c r="BW278" s="559" t="str">
        <f t="shared" si="11"/>
        <v>Covered</v>
      </c>
      <c r="BX278" s="587"/>
    </row>
    <row r="279" spans="1:76">
      <c r="A279" s="612" t="s">
        <v>2381</v>
      </c>
      <c r="B279" s="612" t="s">
        <v>316</v>
      </c>
      <c r="C279" s="457" t="s">
        <v>316</v>
      </c>
      <c r="D279" s="457" t="s">
        <v>309</v>
      </c>
      <c r="E279" s="551" t="s">
        <v>2687</v>
      </c>
      <c r="F279" s="457" t="s">
        <v>297</v>
      </c>
      <c r="G279" s="551" t="str">
        <f>VLOOKUP(WWWW[[#This Row],[Village  Name]],SiteDB6[[Site Name]:[Location Type]],8,FALSE)</f>
        <v>Village</v>
      </c>
      <c r="H279" s="457" t="s">
        <v>2621</v>
      </c>
      <c r="I279" s="611">
        <v>85</v>
      </c>
      <c r="J279" s="611">
        <v>369</v>
      </c>
      <c r="K279" s="461">
        <v>42736</v>
      </c>
      <c r="L279" s="55">
        <v>44551</v>
      </c>
      <c r="M279" s="611"/>
      <c r="N279" s="611"/>
      <c r="O279" s="611"/>
      <c r="P279" s="611"/>
      <c r="Q279" s="611"/>
      <c r="R279" s="611"/>
      <c r="S279" s="611"/>
      <c r="T279" s="643"/>
      <c r="U279" s="611"/>
      <c r="V279" s="611" t="s">
        <v>132</v>
      </c>
      <c r="W279" s="611"/>
      <c r="X279" s="611"/>
      <c r="Y279" s="611"/>
      <c r="Z279" s="611"/>
      <c r="AA279" s="611"/>
      <c r="AB279" s="643"/>
      <c r="AC279" s="611"/>
      <c r="AD279" s="611"/>
      <c r="AE279" s="611"/>
      <c r="AF279" s="611"/>
      <c r="AG279" s="611"/>
      <c r="AH279" s="611"/>
      <c r="AI279" s="611"/>
      <c r="AJ279" s="611"/>
      <c r="AK279" s="611"/>
      <c r="AL279" s="611"/>
      <c r="AM279" s="643"/>
      <c r="AN279" s="611"/>
      <c r="AO279" s="611"/>
      <c r="AP27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79" s="565">
        <f>WWWW[[#This Row],[%Equitable and continuous access to sufficient quantity of safe drinking water]]*WWWW[[#This Row],[Total PoP ]]</f>
        <v>0</v>
      </c>
      <c r="AR27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79" s="565">
        <f>WWWW[[#This Row],[% Access to unimproved water points]]*WWWW[[#This Row],[Total PoP ]]</f>
        <v>0</v>
      </c>
      <c r="AT27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7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79" s="565">
        <f>WWWW[[#This Row],[HRP1]]/250</f>
        <v>0</v>
      </c>
      <c r="AW279" s="555">
        <f>1-WWWW[[#This Row],[% Equitable and continuous access to sufficient quantity of domestic water]]</f>
        <v>1</v>
      </c>
      <c r="AX279" s="565">
        <f>WWWW[[#This Row],[%equitable and continuous access to sufficient quantity of safe drinking and domestic water''s GAP]]*WWWW[[#This Row],[Total PoP ]]</f>
        <v>369</v>
      </c>
      <c r="AY279" s="557">
        <f>IF(WWWW[[#This Row],[Total required water points]]-WWWW[[#This Row],['#Water points coverage]]&lt;0,0,WWWW[[#This Row],[Total required water points]]-WWWW[[#This Row],['#Water points coverage]])</f>
        <v>1</v>
      </c>
      <c r="AZ279" s="557">
        <f>ROUND(IF(WWWW[[#This Row],[Total PoP ]]&lt;250,1,WWWW[[#This Row],[Total PoP ]]/250),0)</f>
        <v>1</v>
      </c>
      <c r="BA27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79" s="565">
        <f>WWWW[[#This Row],[% people access to functioning Latrine]]*WWWW[[#This Row],[Total PoP ]]</f>
        <v>0</v>
      </c>
      <c r="BC279" s="557">
        <f>WWWW[[#This Row],['#_of_Functioning_latrines_in_school]]*50</f>
        <v>0</v>
      </c>
      <c r="BD279" s="557">
        <f>ROUND((WWWW[[#This Row],[Total PoP ]]/6),0)</f>
        <v>62</v>
      </c>
      <c r="BE279" s="557">
        <f>IF(WWWW[[#This Row],[Total required Latrines]]-(WWWW[[#This Row],['#_of_sanitary_fly-proof_HH_latrines]])&lt;0,0,WWWW[[#This Row],[Total required Latrines]]-(WWWW[[#This Row],['#_of_sanitary_fly-proof_HH_latrines]]))</f>
        <v>62</v>
      </c>
      <c r="BF279" s="558">
        <f>1-WWWW[[#This Row],[% people access to functioning Latrine]]</f>
        <v>1</v>
      </c>
      <c r="BG27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79" s="565">
        <f>IF(WWWW[[#This Row],['#_of_functional_handwashing_facilities_at_HH_level]]*6&gt;WWWW[[#This Row],[Total PoP ]],WWWW[[#This Row],[Total PoP ]],WWWW[[#This Row],['#_of_functional_handwashing_facilities_at_HH_level]]*6)</f>
        <v>0</v>
      </c>
      <c r="BI279" s="557">
        <f>IF(WWWW[[#This Row],['# people reached by regular dedicated hygiene promotion]]&gt;WWWW[[#This Row],['# People received regular supply of hygiene items]],WWWW[[#This Row],['# people reached by regular dedicated hygiene promotion]],WWWW[[#This Row],['# People received regular supply of hygiene items]])</f>
        <v>0</v>
      </c>
      <c r="BJ279" s="555">
        <f>IF(WWWW[[#This Row],[HRP3]]/WWWW[[#This Row],[Total PoP ]]&gt;100%,100%,WWWW[[#This Row],[HRP3]]/WWWW[[#This Row],[Total PoP ]])</f>
        <v>0</v>
      </c>
      <c r="BK279" s="558">
        <f>1-WWWW[[#This Row],[Hygiene Coverage%]]</f>
        <v>1</v>
      </c>
      <c r="BL279" s="556">
        <f>WWWW[[#This Row],['# people reached by regular dedicated hygiene promotion]]/WWWW[[#This Row],[Total PoP ]]</f>
        <v>0</v>
      </c>
      <c r="BM27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79" s="557">
        <f>WWWW[[#This Row],['#_of_affected_women_and_girls_receiving_a_sufficient_quantity_of_sanitary_pads]]</f>
        <v>0</v>
      </c>
      <c r="BO279" s="611">
        <f>IF(WWWW[[#This Row],['# People with access to soap]]&gt;WWWW[[#This Row],['# People with access to Sanity Pads]],WWWW[[#This Row],['# People with access to soap]],WWWW[[#This Row],['# People with access to Sanity Pads]])</f>
        <v>0</v>
      </c>
      <c r="BP279" s="565" t="str">
        <f>IF(OR(WWWW[[#This Row],['#of students in school]]="",WWWW[[#This Row],['#of students in school]]=0),"No","Yes")</f>
        <v>No</v>
      </c>
      <c r="BQ279" s="559" t="str">
        <f>VLOOKUP(WWWW[[#This Row],[Village  Name]],SiteDB6[[Site Name]:[Location Type 1]],9,FALSE)</f>
        <v>Village</v>
      </c>
      <c r="BR279" s="559" t="str">
        <f>VLOOKUP(WWWW[[#This Row],[Village  Name]],SiteDB6[[Site Name]:[Type of Accommodation]],10,FALSE)</f>
        <v>Village</v>
      </c>
      <c r="BS279" s="559">
        <f>VLOOKUP(WWWW[[#This Row],[Village  Name]],SiteDB6[[Site Name]:[Ethnic or GCA/NGCA]],11,FALSE)</f>
        <v>0</v>
      </c>
      <c r="BT279" s="559">
        <f>VLOOKUP(WWWW[[#This Row],[Village  Name]],SiteDB6[[Site Name]:[Lat]],12,FALSE)</f>
        <v>20.261358000000001</v>
      </c>
      <c r="BU279" s="559">
        <f>VLOOKUP(WWWW[[#This Row],[Village  Name]],SiteDB6[[Site Name]:[Long]],13,FALSE)</f>
        <v>92.805672999999999</v>
      </c>
      <c r="BV279" s="559">
        <f>VLOOKUP(WWWW[[#This Row],[Village  Name]],SiteDB6[[Site Name]:[Pcode]],3,FALSE)</f>
        <v>220593</v>
      </c>
      <c r="BW279" s="559" t="str">
        <f t="shared" si="11"/>
        <v>Covered</v>
      </c>
      <c r="BX279" s="587"/>
    </row>
    <row r="280" spans="1:76">
      <c r="A280" s="612" t="s">
        <v>2381</v>
      </c>
      <c r="B280" s="612" t="s">
        <v>316</v>
      </c>
      <c r="C280" s="457" t="s">
        <v>316</v>
      </c>
      <c r="D280" s="457" t="s">
        <v>309</v>
      </c>
      <c r="E280" s="551" t="s">
        <v>2687</v>
      </c>
      <c r="F280" s="457" t="s">
        <v>297</v>
      </c>
      <c r="G280" s="551" t="str">
        <f>VLOOKUP(WWWW[[#This Row],[Village  Name]],SiteDB6[[Site Name]:[Location Type]],8,FALSE)</f>
        <v>Village</v>
      </c>
      <c r="H280" s="457" t="s">
        <v>452</v>
      </c>
      <c r="I280" s="611">
        <v>175</v>
      </c>
      <c r="J280" s="611">
        <v>811</v>
      </c>
      <c r="K280" s="461">
        <v>42736</v>
      </c>
      <c r="L280" s="55">
        <v>44551</v>
      </c>
      <c r="M280" s="611"/>
      <c r="N280" s="611"/>
      <c r="O280" s="611"/>
      <c r="P280" s="611"/>
      <c r="Q280" s="611"/>
      <c r="R280" s="611"/>
      <c r="S280" s="611"/>
      <c r="T280" s="643"/>
      <c r="U280" s="611"/>
      <c r="V280" s="611" t="s">
        <v>132</v>
      </c>
      <c r="W280" s="611"/>
      <c r="X280" s="611"/>
      <c r="Y280" s="611"/>
      <c r="Z280" s="611"/>
      <c r="AA280" s="611"/>
      <c r="AB280" s="643"/>
      <c r="AC280" s="611"/>
      <c r="AD280" s="611"/>
      <c r="AE280" s="611"/>
      <c r="AF280" s="611"/>
      <c r="AG280" s="611"/>
      <c r="AH280" s="611"/>
      <c r="AI280" s="611"/>
      <c r="AJ280" s="611"/>
      <c r="AK280" s="611"/>
      <c r="AL280" s="611"/>
      <c r="AM280" s="643"/>
      <c r="AN280" s="611"/>
      <c r="AO280" s="611"/>
      <c r="AP28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0" s="565">
        <f>WWWW[[#This Row],[%Equitable and continuous access to sufficient quantity of safe drinking water]]*WWWW[[#This Row],[Total PoP ]]</f>
        <v>0</v>
      </c>
      <c r="AR28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0" s="565">
        <f>WWWW[[#This Row],[% Access to unimproved water points]]*WWWW[[#This Row],[Total PoP ]]</f>
        <v>0</v>
      </c>
      <c r="AT28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0" s="565">
        <f>WWWW[[#This Row],[HRP1]]/250</f>
        <v>0</v>
      </c>
      <c r="AW280" s="555">
        <f>1-WWWW[[#This Row],[% Equitable and continuous access to sufficient quantity of domestic water]]</f>
        <v>1</v>
      </c>
      <c r="AX280" s="565">
        <f>WWWW[[#This Row],[%equitable and continuous access to sufficient quantity of safe drinking and domestic water''s GAP]]*WWWW[[#This Row],[Total PoP ]]</f>
        <v>811</v>
      </c>
      <c r="AY280" s="557">
        <f>IF(WWWW[[#This Row],[Total required water points]]-WWWW[[#This Row],['#Water points coverage]]&lt;0,0,WWWW[[#This Row],[Total required water points]]-WWWW[[#This Row],['#Water points coverage]])</f>
        <v>3</v>
      </c>
      <c r="AZ280" s="557">
        <f>ROUND(IF(WWWW[[#This Row],[Total PoP ]]&lt;250,1,WWWW[[#This Row],[Total PoP ]]/250),0)</f>
        <v>3</v>
      </c>
      <c r="BA28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0" s="565">
        <f>WWWW[[#This Row],[% people access to functioning Latrine]]*WWWW[[#This Row],[Total PoP ]]</f>
        <v>0</v>
      </c>
      <c r="BC280" s="557">
        <f>WWWW[[#This Row],['#_of_Functioning_latrines_in_school]]*50</f>
        <v>0</v>
      </c>
      <c r="BD280" s="557">
        <f>ROUND((WWWW[[#This Row],[Total PoP ]]/6),0)</f>
        <v>135</v>
      </c>
      <c r="BE280" s="557">
        <f>IF(WWWW[[#This Row],[Total required Latrines]]-(WWWW[[#This Row],['#_of_sanitary_fly-proof_HH_latrines]])&lt;0,0,WWWW[[#This Row],[Total required Latrines]]-(WWWW[[#This Row],['#_of_sanitary_fly-proof_HH_latrines]]))</f>
        <v>135</v>
      </c>
      <c r="BF280" s="558">
        <f>1-WWWW[[#This Row],[% people access to functioning Latrine]]</f>
        <v>1</v>
      </c>
      <c r="BG28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0" s="565">
        <f>IF(WWWW[[#This Row],['#_of_functional_handwashing_facilities_at_HH_level]]*6&gt;WWWW[[#This Row],[Total PoP ]],WWWW[[#This Row],[Total PoP ]],WWWW[[#This Row],['#_of_functional_handwashing_facilities_at_HH_level]]*6)</f>
        <v>0</v>
      </c>
      <c r="BI280" s="557">
        <f>IF(WWWW[[#This Row],['# people reached by regular dedicated hygiene promotion]]&gt;WWWW[[#This Row],['# People received regular supply of hygiene items]],WWWW[[#This Row],['# people reached by regular dedicated hygiene promotion]],WWWW[[#This Row],['# People received regular supply of hygiene items]])</f>
        <v>0</v>
      </c>
      <c r="BJ280" s="555">
        <f>IF(WWWW[[#This Row],[HRP3]]/WWWW[[#This Row],[Total PoP ]]&gt;100%,100%,WWWW[[#This Row],[HRP3]]/WWWW[[#This Row],[Total PoP ]])</f>
        <v>0</v>
      </c>
      <c r="BK280" s="558">
        <f>1-WWWW[[#This Row],[Hygiene Coverage%]]</f>
        <v>1</v>
      </c>
      <c r="BL280" s="556">
        <f>WWWW[[#This Row],['# people reached by regular dedicated hygiene promotion]]/WWWW[[#This Row],[Total PoP ]]</f>
        <v>0</v>
      </c>
      <c r="BM28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0" s="557">
        <f>WWWW[[#This Row],['#_of_affected_women_and_girls_receiving_a_sufficient_quantity_of_sanitary_pads]]</f>
        <v>0</v>
      </c>
      <c r="BO280" s="611">
        <f>IF(WWWW[[#This Row],['# People with access to soap]]&gt;WWWW[[#This Row],['# People with access to Sanity Pads]],WWWW[[#This Row],['# People with access to soap]],WWWW[[#This Row],['# People with access to Sanity Pads]])</f>
        <v>0</v>
      </c>
      <c r="BP280" s="565" t="str">
        <f>IF(OR(WWWW[[#This Row],['#of students in school]]="",WWWW[[#This Row],['#of students in school]]=0),"No","Yes")</f>
        <v>No</v>
      </c>
      <c r="BQ280" s="559" t="str">
        <f>VLOOKUP(WWWW[[#This Row],[Village  Name]],SiteDB6[[Site Name]:[Location Type 1]],9,FALSE)</f>
        <v>Village</v>
      </c>
      <c r="BR280" s="559" t="str">
        <f>VLOOKUP(WWWW[[#This Row],[Village  Name]],SiteDB6[[Site Name]:[Type of Accommodation]],10,FALSE)</f>
        <v>Village</v>
      </c>
      <c r="BS280" s="559" t="str">
        <f>VLOOKUP(WWWW[[#This Row],[Village  Name]],SiteDB6[[Site Name]:[Ethnic or GCA/NGCA]],11,FALSE)</f>
        <v>Rakhine</v>
      </c>
      <c r="BT280" s="559">
        <f>VLOOKUP(WWWW[[#This Row],[Village  Name]],SiteDB6[[Site Name]:[Lat]],12,FALSE)</f>
        <v>20.245159149999999</v>
      </c>
      <c r="BU280" s="559">
        <f>VLOOKUP(WWWW[[#This Row],[Village  Name]],SiteDB6[[Site Name]:[Long]],13,FALSE)</f>
        <v>92.807418819999995</v>
      </c>
      <c r="BV280" s="559">
        <f>VLOOKUP(WWWW[[#This Row],[Village  Name]],SiteDB6[[Site Name]:[Pcode]],3,FALSE)</f>
        <v>196137</v>
      </c>
      <c r="BW280" s="559" t="str">
        <f t="shared" si="11"/>
        <v>Covered</v>
      </c>
      <c r="BX280" s="587"/>
    </row>
    <row r="281" spans="1:76">
      <c r="A281" s="612" t="s">
        <v>2381</v>
      </c>
      <c r="B281" s="612" t="s">
        <v>316</v>
      </c>
      <c r="C281" s="457" t="s">
        <v>316</v>
      </c>
      <c r="D281" s="457" t="s">
        <v>309</v>
      </c>
      <c r="E281" s="551" t="s">
        <v>2687</v>
      </c>
      <c r="F281" s="457" t="s">
        <v>297</v>
      </c>
      <c r="G281" s="551" t="str">
        <f>VLOOKUP(WWWW[[#This Row],[Village  Name]],SiteDB6[[Site Name]:[Location Type]],8,FALSE)</f>
        <v>Village</v>
      </c>
      <c r="H281" s="457" t="s">
        <v>2023</v>
      </c>
      <c r="I281" s="611">
        <v>355</v>
      </c>
      <c r="J281" s="611">
        <v>2168</v>
      </c>
      <c r="K281" s="461">
        <v>42736</v>
      </c>
      <c r="L281" s="55">
        <v>44551</v>
      </c>
      <c r="M281" s="611"/>
      <c r="N281" s="611"/>
      <c r="O281" s="611"/>
      <c r="P281" s="611"/>
      <c r="Q281" s="611"/>
      <c r="R281" s="611"/>
      <c r="S281" s="611"/>
      <c r="T281" s="643"/>
      <c r="U281" s="611"/>
      <c r="V281" s="611" t="s">
        <v>132</v>
      </c>
      <c r="W281" s="611"/>
      <c r="X281" s="611"/>
      <c r="Y281" s="611"/>
      <c r="Z281" s="611"/>
      <c r="AA281" s="611"/>
      <c r="AB281" s="643"/>
      <c r="AC281" s="611"/>
      <c r="AD281" s="611"/>
      <c r="AE281" s="611"/>
      <c r="AF281" s="611"/>
      <c r="AG281" s="611"/>
      <c r="AH281" s="611"/>
      <c r="AI281" s="611"/>
      <c r="AJ281" s="611"/>
      <c r="AK281" s="611"/>
      <c r="AL281" s="611"/>
      <c r="AM281" s="643"/>
      <c r="AN281" s="611"/>
      <c r="AO281" s="611"/>
      <c r="AP28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1" s="565">
        <f>WWWW[[#This Row],[%Equitable and continuous access to sufficient quantity of safe drinking water]]*WWWW[[#This Row],[Total PoP ]]</f>
        <v>0</v>
      </c>
      <c r="AR28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1" s="565">
        <f>WWWW[[#This Row],[% Access to unimproved water points]]*WWWW[[#This Row],[Total PoP ]]</f>
        <v>0</v>
      </c>
      <c r="AT28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1" s="565">
        <f>WWWW[[#This Row],[HRP1]]/250</f>
        <v>0</v>
      </c>
      <c r="AW281" s="555">
        <f>1-WWWW[[#This Row],[% Equitable and continuous access to sufficient quantity of domestic water]]</f>
        <v>1</v>
      </c>
      <c r="AX281" s="565">
        <f>WWWW[[#This Row],[%equitable and continuous access to sufficient quantity of safe drinking and domestic water''s GAP]]*WWWW[[#This Row],[Total PoP ]]</f>
        <v>2168</v>
      </c>
      <c r="AY281" s="557">
        <f>IF(WWWW[[#This Row],[Total required water points]]-WWWW[[#This Row],['#Water points coverage]]&lt;0,0,WWWW[[#This Row],[Total required water points]]-WWWW[[#This Row],['#Water points coverage]])</f>
        <v>9</v>
      </c>
      <c r="AZ281" s="557">
        <f>ROUND(IF(WWWW[[#This Row],[Total PoP ]]&lt;250,1,WWWW[[#This Row],[Total PoP ]]/250),0)</f>
        <v>9</v>
      </c>
      <c r="BA28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1" s="565">
        <f>WWWW[[#This Row],[% people access to functioning Latrine]]*WWWW[[#This Row],[Total PoP ]]</f>
        <v>0</v>
      </c>
      <c r="BC281" s="557">
        <f>WWWW[[#This Row],['#_of_Functioning_latrines_in_school]]*50</f>
        <v>0</v>
      </c>
      <c r="BD281" s="557">
        <f>ROUND((WWWW[[#This Row],[Total PoP ]]/6),0)</f>
        <v>361</v>
      </c>
      <c r="BE281" s="557">
        <f>IF(WWWW[[#This Row],[Total required Latrines]]-(WWWW[[#This Row],['#_of_sanitary_fly-proof_HH_latrines]])&lt;0,0,WWWW[[#This Row],[Total required Latrines]]-(WWWW[[#This Row],['#_of_sanitary_fly-proof_HH_latrines]]))</f>
        <v>361</v>
      </c>
      <c r="BF281" s="558">
        <f>1-WWWW[[#This Row],[% people access to functioning Latrine]]</f>
        <v>1</v>
      </c>
      <c r="BG28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1" s="565">
        <f>IF(WWWW[[#This Row],['#_of_functional_handwashing_facilities_at_HH_level]]*6&gt;WWWW[[#This Row],[Total PoP ]],WWWW[[#This Row],[Total PoP ]],WWWW[[#This Row],['#_of_functional_handwashing_facilities_at_HH_level]]*6)</f>
        <v>0</v>
      </c>
      <c r="BI281" s="557">
        <f>IF(WWWW[[#This Row],['# people reached by regular dedicated hygiene promotion]]&gt;WWWW[[#This Row],['# People received regular supply of hygiene items]],WWWW[[#This Row],['# people reached by regular dedicated hygiene promotion]],WWWW[[#This Row],['# People received regular supply of hygiene items]])</f>
        <v>0</v>
      </c>
      <c r="BJ281" s="555">
        <f>IF(WWWW[[#This Row],[HRP3]]/WWWW[[#This Row],[Total PoP ]]&gt;100%,100%,WWWW[[#This Row],[HRP3]]/WWWW[[#This Row],[Total PoP ]])</f>
        <v>0</v>
      </c>
      <c r="BK281" s="558">
        <f>1-WWWW[[#This Row],[Hygiene Coverage%]]</f>
        <v>1</v>
      </c>
      <c r="BL281" s="556">
        <f>WWWW[[#This Row],['# people reached by regular dedicated hygiene promotion]]/WWWW[[#This Row],[Total PoP ]]</f>
        <v>0</v>
      </c>
      <c r="BM28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1" s="557">
        <f>WWWW[[#This Row],['#_of_affected_women_and_girls_receiving_a_sufficient_quantity_of_sanitary_pads]]</f>
        <v>0</v>
      </c>
      <c r="BO281" s="611">
        <f>IF(WWWW[[#This Row],['# People with access to soap]]&gt;WWWW[[#This Row],['# People with access to Sanity Pads]],WWWW[[#This Row],['# People with access to soap]],WWWW[[#This Row],['# People with access to Sanity Pads]])</f>
        <v>0</v>
      </c>
      <c r="BP281" s="565" t="str">
        <f>IF(OR(WWWW[[#This Row],['#of students in school]]="",WWWW[[#This Row],['#of students in school]]=0),"No","Yes")</f>
        <v>No</v>
      </c>
      <c r="BQ281" s="559" t="str">
        <f>VLOOKUP(WWWW[[#This Row],[Village  Name]],SiteDB6[[Site Name]:[Location Type 1]],9,FALSE)</f>
        <v>Village</v>
      </c>
      <c r="BR281" s="559" t="str">
        <f>VLOOKUP(WWWW[[#This Row],[Village  Name]],SiteDB6[[Site Name]:[Type of Accommodation]],10,FALSE)</f>
        <v>Village</v>
      </c>
      <c r="BS281" s="559">
        <f>VLOOKUP(WWWW[[#This Row],[Village  Name]],SiteDB6[[Site Name]:[Ethnic or GCA/NGCA]],11,FALSE)</f>
        <v>0</v>
      </c>
      <c r="BT281" s="559">
        <f>VLOOKUP(WWWW[[#This Row],[Village  Name]],SiteDB6[[Site Name]:[Lat]],12,FALSE)</f>
        <v>20.246250152587901</v>
      </c>
      <c r="BU281" s="559">
        <f>VLOOKUP(WWWW[[#This Row],[Village  Name]],SiteDB6[[Site Name]:[Long]],13,FALSE)</f>
        <v>92.822059631347699</v>
      </c>
      <c r="BV281" s="559">
        <f>VLOOKUP(WWWW[[#This Row],[Village  Name]],SiteDB6[[Site Name]:[Pcode]],3,FALSE)</f>
        <v>196160</v>
      </c>
      <c r="BW281" s="559" t="str">
        <f t="shared" si="11"/>
        <v>Covered</v>
      </c>
      <c r="BX281" s="587"/>
    </row>
    <row r="282" spans="1:76">
      <c r="A282" s="612" t="s">
        <v>2381</v>
      </c>
      <c r="B282" s="612" t="s">
        <v>316</v>
      </c>
      <c r="C282" s="457" t="s">
        <v>316</v>
      </c>
      <c r="D282" s="457" t="s">
        <v>309</v>
      </c>
      <c r="E282" s="551" t="s">
        <v>2687</v>
      </c>
      <c r="F282" s="457" t="s">
        <v>297</v>
      </c>
      <c r="G282" s="551" t="str">
        <f>VLOOKUP(WWWW[[#This Row],[Village  Name]],SiteDB6[[Site Name]:[Location Type]],8,FALSE)</f>
        <v>Village</v>
      </c>
      <c r="H282" s="457" t="s">
        <v>2622</v>
      </c>
      <c r="I282" s="611">
        <v>300</v>
      </c>
      <c r="J282" s="611">
        <v>1369</v>
      </c>
      <c r="K282" s="461">
        <v>42736</v>
      </c>
      <c r="L282" s="55">
        <v>44551</v>
      </c>
      <c r="M282" s="611"/>
      <c r="N282" s="611"/>
      <c r="O282" s="611"/>
      <c r="P282" s="611"/>
      <c r="Q282" s="611"/>
      <c r="R282" s="611"/>
      <c r="S282" s="611"/>
      <c r="T282" s="643"/>
      <c r="U282" s="611"/>
      <c r="V282" s="611" t="s">
        <v>132</v>
      </c>
      <c r="W282" s="611"/>
      <c r="X282" s="611"/>
      <c r="Y282" s="611"/>
      <c r="Z282" s="611"/>
      <c r="AA282" s="611"/>
      <c r="AB282" s="643"/>
      <c r="AC282" s="611"/>
      <c r="AD282" s="611"/>
      <c r="AE282" s="611"/>
      <c r="AF282" s="611"/>
      <c r="AG282" s="611"/>
      <c r="AH282" s="611"/>
      <c r="AI282" s="611"/>
      <c r="AJ282" s="611"/>
      <c r="AK282" s="611"/>
      <c r="AL282" s="611"/>
      <c r="AM282" s="643"/>
      <c r="AN282" s="611"/>
      <c r="AO282" s="611"/>
      <c r="AP28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2" s="565">
        <f>WWWW[[#This Row],[%Equitable and continuous access to sufficient quantity of safe drinking water]]*WWWW[[#This Row],[Total PoP ]]</f>
        <v>0</v>
      </c>
      <c r="AR28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2" s="565">
        <f>WWWW[[#This Row],[% Access to unimproved water points]]*WWWW[[#This Row],[Total PoP ]]</f>
        <v>0</v>
      </c>
      <c r="AT28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2" s="565">
        <f>WWWW[[#This Row],[HRP1]]/250</f>
        <v>0</v>
      </c>
      <c r="AW282" s="555">
        <f>1-WWWW[[#This Row],[% Equitable and continuous access to sufficient quantity of domestic water]]</f>
        <v>1</v>
      </c>
      <c r="AX282" s="565">
        <f>WWWW[[#This Row],[%equitable and continuous access to sufficient quantity of safe drinking and domestic water''s GAP]]*WWWW[[#This Row],[Total PoP ]]</f>
        <v>1369</v>
      </c>
      <c r="AY282" s="557">
        <f>IF(WWWW[[#This Row],[Total required water points]]-WWWW[[#This Row],['#Water points coverage]]&lt;0,0,WWWW[[#This Row],[Total required water points]]-WWWW[[#This Row],['#Water points coverage]])</f>
        <v>5</v>
      </c>
      <c r="AZ282" s="557">
        <f>ROUND(IF(WWWW[[#This Row],[Total PoP ]]&lt;250,1,WWWW[[#This Row],[Total PoP ]]/250),0)</f>
        <v>5</v>
      </c>
      <c r="BA28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2" s="565">
        <f>WWWW[[#This Row],[% people access to functioning Latrine]]*WWWW[[#This Row],[Total PoP ]]</f>
        <v>0</v>
      </c>
      <c r="BC282" s="557">
        <f>WWWW[[#This Row],['#_of_Functioning_latrines_in_school]]*50</f>
        <v>0</v>
      </c>
      <c r="BD282" s="557">
        <f>ROUND((WWWW[[#This Row],[Total PoP ]]/6),0)</f>
        <v>228</v>
      </c>
      <c r="BE282" s="557">
        <f>IF(WWWW[[#This Row],[Total required Latrines]]-(WWWW[[#This Row],['#_of_sanitary_fly-proof_HH_latrines]])&lt;0,0,WWWW[[#This Row],[Total required Latrines]]-(WWWW[[#This Row],['#_of_sanitary_fly-proof_HH_latrines]]))</f>
        <v>228</v>
      </c>
      <c r="BF282" s="558">
        <f>1-WWWW[[#This Row],[% people access to functioning Latrine]]</f>
        <v>1</v>
      </c>
      <c r="BG28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2" s="565">
        <f>IF(WWWW[[#This Row],['#_of_functional_handwashing_facilities_at_HH_level]]*6&gt;WWWW[[#This Row],[Total PoP ]],WWWW[[#This Row],[Total PoP ]],WWWW[[#This Row],['#_of_functional_handwashing_facilities_at_HH_level]]*6)</f>
        <v>0</v>
      </c>
      <c r="BI282" s="557">
        <f>IF(WWWW[[#This Row],['# people reached by regular dedicated hygiene promotion]]&gt;WWWW[[#This Row],['# People received regular supply of hygiene items]],WWWW[[#This Row],['# people reached by regular dedicated hygiene promotion]],WWWW[[#This Row],['# People received regular supply of hygiene items]])</f>
        <v>0</v>
      </c>
      <c r="BJ282" s="555">
        <f>IF(WWWW[[#This Row],[HRP3]]/WWWW[[#This Row],[Total PoP ]]&gt;100%,100%,WWWW[[#This Row],[HRP3]]/WWWW[[#This Row],[Total PoP ]])</f>
        <v>0</v>
      </c>
      <c r="BK282" s="558">
        <f>1-WWWW[[#This Row],[Hygiene Coverage%]]</f>
        <v>1</v>
      </c>
      <c r="BL282" s="556">
        <f>WWWW[[#This Row],['# people reached by regular dedicated hygiene promotion]]/WWWW[[#This Row],[Total PoP ]]</f>
        <v>0</v>
      </c>
      <c r="BM28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2" s="557">
        <f>WWWW[[#This Row],['#_of_affected_women_and_girls_receiving_a_sufficient_quantity_of_sanitary_pads]]</f>
        <v>0</v>
      </c>
      <c r="BO282" s="611">
        <f>IF(WWWW[[#This Row],['# People with access to soap]]&gt;WWWW[[#This Row],['# People with access to Sanity Pads]],WWWW[[#This Row],['# People with access to soap]],WWWW[[#This Row],['# People with access to Sanity Pads]])</f>
        <v>0</v>
      </c>
      <c r="BP282" s="565" t="str">
        <f>IF(OR(WWWW[[#This Row],['#of students in school]]="",WWWW[[#This Row],['#of students in school]]=0),"No","Yes")</f>
        <v>No</v>
      </c>
      <c r="BQ282" s="559" t="str">
        <f>VLOOKUP(WWWW[[#This Row],[Village  Name]],SiteDB6[[Site Name]:[Location Type 1]],9,FALSE)</f>
        <v>Village</v>
      </c>
      <c r="BR282" s="559" t="str">
        <f>VLOOKUP(WWWW[[#This Row],[Village  Name]],SiteDB6[[Site Name]:[Type of Accommodation]],10,FALSE)</f>
        <v>Village</v>
      </c>
      <c r="BS282" s="559">
        <f>VLOOKUP(WWWW[[#This Row],[Village  Name]],SiteDB6[[Site Name]:[Ethnic or GCA/NGCA]],11,FALSE)</f>
        <v>0</v>
      </c>
      <c r="BT282" s="559">
        <f>VLOOKUP(WWWW[[#This Row],[Village  Name]],SiteDB6[[Site Name]:[Lat]],12,FALSE)</f>
        <v>20.239799499511701</v>
      </c>
      <c r="BU282" s="559">
        <f>VLOOKUP(WWWW[[#This Row],[Village  Name]],SiteDB6[[Site Name]:[Long]],13,FALSE)</f>
        <v>92.825088500976605</v>
      </c>
      <c r="BV282" s="559">
        <f>VLOOKUP(WWWW[[#This Row],[Village  Name]],SiteDB6[[Site Name]:[Pcode]],3,FALSE)</f>
        <v>196131</v>
      </c>
      <c r="BW282" s="559" t="str">
        <f t="shared" si="11"/>
        <v>Covered</v>
      </c>
      <c r="BX282" s="587"/>
    </row>
    <row r="283" spans="1:76">
      <c r="A283" s="612" t="s">
        <v>2381</v>
      </c>
      <c r="B283" s="612" t="s">
        <v>316</v>
      </c>
      <c r="C283" s="457" t="s">
        <v>316</v>
      </c>
      <c r="D283" s="457" t="s">
        <v>329</v>
      </c>
      <c r="E283" s="551" t="s">
        <v>2687</v>
      </c>
      <c r="F283" s="457" t="s">
        <v>297</v>
      </c>
      <c r="G283" s="551" t="str">
        <f>VLOOKUP(WWWW[[#This Row],[Village  Name]],SiteDB6[[Site Name]:[Location Type]],8,FALSE)</f>
        <v>Village</v>
      </c>
      <c r="H283" s="457" t="s">
        <v>671</v>
      </c>
      <c r="I283" s="611">
        <v>331</v>
      </c>
      <c r="J283" s="611">
        <v>1473</v>
      </c>
      <c r="K283" s="461">
        <v>42736</v>
      </c>
      <c r="L283" s="55">
        <v>44551</v>
      </c>
      <c r="M283" s="611"/>
      <c r="N283" s="611"/>
      <c r="O283" s="611"/>
      <c r="P283" s="611"/>
      <c r="Q283" s="611"/>
      <c r="R283" s="611"/>
      <c r="S283" s="611"/>
      <c r="T283" s="643"/>
      <c r="U283" s="611"/>
      <c r="V283" s="611" t="s">
        <v>132</v>
      </c>
      <c r="W283" s="611"/>
      <c r="X283" s="611"/>
      <c r="Y283" s="611"/>
      <c r="Z283" s="611"/>
      <c r="AA283" s="611"/>
      <c r="AB283" s="643"/>
      <c r="AC283" s="611"/>
      <c r="AD283" s="611"/>
      <c r="AE283" s="611"/>
      <c r="AF283" s="611"/>
      <c r="AG283" s="611"/>
      <c r="AH283" s="611"/>
      <c r="AI283" s="611"/>
      <c r="AJ283" s="611"/>
      <c r="AK283" s="611"/>
      <c r="AL283" s="611"/>
      <c r="AM283" s="643"/>
      <c r="AN283" s="611"/>
      <c r="AO283" s="611"/>
      <c r="AP28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3" s="565">
        <f>WWWW[[#This Row],[%Equitable and continuous access to sufficient quantity of safe drinking water]]*WWWW[[#This Row],[Total PoP ]]</f>
        <v>0</v>
      </c>
      <c r="AR28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3" s="565">
        <f>WWWW[[#This Row],[% Access to unimproved water points]]*WWWW[[#This Row],[Total PoP ]]</f>
        <v>0</v>
      </c>
      <c r="AT28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3" s="565">
        <f>WWWW[[#This Row],[HRP1]]/250</f>
        <v>0</v>
      </c>
      <c r="AW283" s="555">
        <f>1-WWWW[[#This Row],[% Equitable and continuous access to sufficient quantity of domestic water]]</f>
        <v>1</v>
      </c>
      <c r="AX283" s="565">
        <f>WWWW[[#This Row],[%equitable and continuous access to sufficient quantity of safe drinking and domestic water''s GAP]]*WWWW[[#This Row],[Total PoP ]]</f>
        <v>1473</v>
      </c>
      <c r="AY283" s="557">
        <f>IF(WWWW[[#This Row],[Total required water points]]-WWWW[[#This Row],['#Water points coverage]]&lt;0,0,WWWW[[#This Row],[Total required water points]]-WWWW[[#This Row],['#Water points coverage]])</f>
        <v>6</v>
      </c>
      <c r="AZ283" s="557">
        <f>ROUND(IF(WWWW[[#This Row],[Total PoP ]]&lt;250,1,WWWW[[#This Row],[Total PoP ]]/250),0)</f>
        <v>6</v>
      </c>
      <c r="BA28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3" s="565">
        <f>WWWW[[#This Row],[% people access to functioning Latrine]]*WWWW[[#This Row],[Total PoP ]]</f>
        <v>0</v>
      </c>
      <c r="BC283" s="557">
        <f>WWWW[[#This Row],['#_of_Functioning_latrines_in_school]]*50</f>
        <v>0</v>
      </c>
      <c r="BD283" s="557">
        <f>ROUND((WWWW[[#This Row],[Total PoP ]]/6),0)</f>
        <v>246</v>
      </c>
      <c r="BE283" s="557">
        <f>IF(WWWW[[#This Row],[Total required Latrines]]-(WWWW[[#This Row],['#_of_sanitary_fly-proof_HH_latrines]])&lt;0,0,WWWW[[#This Row],[Total required Latrines]]-(WWWW[[#This Row],['#_of_sanitary_fly-proof_HH_latrines]]))</f>
        <v>246</v>
      </c>
      <c r="BF283" s="558">
        <f>1-WWWW[[#This Row],[% people access to functioning Latrine]]</f>
        <v>1</v>
      </c>
      <c r="BG28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3" s="565">
        <f>IF(WWWW[[#This Row],['#_of_functional_handwashing_facilities_at_HH_level]]*6&gt;WWWW[[#This Row],[Total PoP ]],WWWW[[#This Row],[Total PoP ]],WWWW[[#This Row],['#_of_functional_handwashing_facilities_at_HH_level]]*6)</f>
        <v>0</v>
      </c>
      <c r="BI283" s="557">
        <f>IF(WWWW[[#This Row],['# people reached by regular dedicated hygiene promotion]]&gt;WWWW[[#This Row],['# People received regular supply of hygiene items]],WWWW[[#This Row],['# people reached by regular dedicated hygiene promotion]],WWWW[[#This Row],['# People received regular supply of hygiene items]])</f>
        <v>0</v>
      </c>
      <c r="BJ283" s="555">
        <f>IF(WWWW[[#This Row],[HRP3]]/WWWW[[#This Row],[Total PoP ]]&gt;100%,100%,WWWW[[#This Row],[HRP3]]/WWWW[[#This Row],[Total PoP ]])</f>
        <v>0</v>
      </c>
      <c r="BK283" s="558">
        <f>1-WWWW[[#This Row],[Hygiene Coverage%]]</f>
        <v>1</v>
      </c>
      <c r="BL283" s="556">
        <f>WWWW[[#This Row],['# people reached by regular dedicated hygiene promotion]]/WWWW[[#This Row],[Total PoP ]]</f>
        <v>0</v>
      </c>
      <c r="BM28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3" s="557">
        <f>WWWW[[#This Row],['#_of_affected_women_and_girls_receiving_a_sufficient_quantity_of_sanitary_pads]]</f>
        <v>0</v>
      </c>
      <c r="BO283" s="611">
        <f>IF(WWWW[[#This Row],['# People with access to soap]]&gt;WWWW[[#This Row],['# People with access to Sanity Pads]],WWWW[[#This Row],['# People with access to soap]],WWWW[[#This Row],['# People with access to Sanity Pads]])</f>
        <v>0</v>
      </c>
      <c r="BP283" s="565" t="str">
        <f>IF(OR(WWWW[[#This Row],['#of students in school]]="",WWWW[[#This Row],['#of students in school]]=0),"No","Yes")</f>
        <v>No</v>
      </c>
      <c r="BQ283" s="559" t="str">
        <f>VLOOKUP(WWWW[[#This Row],[Village  Name]],SiteDB6[[Site Name]:[Location Type 1]],9,FALSE)</f>
        <v>Village</v>
      </c>
      <c r="BR283" s="559" t="str">
        <f>VLOOKUP(WWWW[[#This Row],[Village  Name]],SiteDB6[[Site Name]:[Type of Accommodation]],10,FALSE)</f>
        <v>Village</v>
      </c>
      <c r="BS283" s="559">
        <f>VLOOKUP(WWWW[[#This Row],[Village  Name]],SiteDB6[[Site Name]:[Ethnic or GCA/NGCA]],11,FALSE)</f>
        <v>0</v>
      </c>
      <c r="BT283" s="559">
        <f>VLOOKUP(WWWW[[#This Row],[Village  Name]],SiteDB6[[Site Name]:[Lat]],12,FALSE)</f>
        <v>20.128850936889599</v>
      </c>
      <c r="BU283" s="559">
        <f>VLOOKUP(WWWW[[#This Row],[Village  Name]],SiteDB6[[Site Name]:[Long]],13,FALSE)</f>
        <v>92.872497558593807</v>
      </c>
      <c r="BV283" s="559">
        <f>VLOOKUP(WWWW[[#This Row],[Village  Name]],SiteDB6[[Site Name]:[Pcode]],3,FALSE)</f>
        <v>196208</v>
      </c>
      <c r="BW283" s="559" t="str">
        <f t="shared" si="11"/>
        <v>Covered</v>
      </c>
      <c r="BX283" s="587"/>
    </row>
    <row r="284" spans="1:76">
      <c r="A284" s="612" t="s">
        <v>2381</v>
      </c>
      <c r="B284" s="612" t="s">
        <v>2307</v>
      </c>
      <c r="C284" s="612" t="s">
        <v>2307</v>
      </c>
      <c r="D284" s="457" t="s">
        <v>40</v>
      </c>
      <c r="E284" s="551" t="s">
        <v>2687</v>
      </c>
      <c r="F284" s="457" t="s">
        <v>297</v>
      </c>
      <c r="G284" s="551" t="str">
        <f>VLOOKUP(WWWW[[#This Row],[Village  Name]],SiteDB6[[Site Name]:[Location Type]],8,FALSE)</f>
        <v>Village</v>
      </c>
      <c r="H284" s="457" t="s">
        <v>438</v>
      </c>
      <c r="I284" s="611">
        <v>200</v>
      </c>
      <c r="J284" s="611">
        <v>1065</v>
      </c>
      <c r="K284" s="461">
        <v>43009</v>
      </c>
      <c r="L284" s="55">
        <v>44104</v>
      </c>
      <c r="M284" s="611"/>
      <c r="N284" s="611">
        <v>0</v>
      </c>
      <c r="O284" s="611"/>
      <c r="P284" s="611">
        <v>7</v>
      </c>
      <c r="Q284" s="611"/>
      <c r="R284" s="611"/>
      <c r="S284" s="611"/>
      <c r="T284" s="643"/>
      <c r="U284" s="611"/>
      <c r="V284" s="611" t="s">
        <v>132</v>
      </c>
      <c r="W284" s="611"/>
      <c r="X284" s="611"/>
      <c r="Y284" s="611"/>
      <c r="Z284" s="611"/>
      <c r="AA284" s="611"/>
      <c r="AB284" s="643"/>
      <c r="AC284" s="611"/>
      <c r="AD284" s="611"/>
      <c r="AE284" s="611"/>
      <c r="AF284" s="611"/>
      <c r="AG284" s="611"/>
      <c r="AH284" s="611"/>
      <c r="AI284" s="611"/>
      <c r="AJ284" s="611"/>
      <c r="AK284" s="611"/>
      <c r="AL284" s="611"/>
      <c r="AM284" s="643"/>
      <c r="AN284" s="611"/>
      <c r="AO284" s="611"/>
      <c r="AP28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284" s="565">
        <f>WWWW[[#This Row],[%Equitable and continuous access to sufficient quantity of safe drinking water]]*WWWW[[#This Row],[Total PoP ]]</f>
        <v>1065</v>
      </c>
      <c r="AR28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4" s="565">
        <f>WWWW[[#This Row],[% Access to unimproved water points]]*WWWW[[#This Row],[Total PoP ]]</f>
        <v>0</v>
      </c>
      <c r="AT28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28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1065</v>
      </c>
      <c r="AV284" s="565">
        <f>WWWW[[#This Row],[HRP1]]/250</f>
        <v>4.26</v>
      </c>
      <c r="AW284" s="555">
        <f>1-WWWW[[#This Row],[% Equitable and continuous access to sufficient quantity of domestic water]]</f>
        <v>0</v>
      </c>
      <c r="AX284" s="565">
        <f>WWWW[[#This Row],[%equitable and continuous access to sufficient quantity of safe drinking and domestic water''s GAP]]*WWWW[[#This Row],[Total PoP ]]</f>
        <v>0</v>
      </c>
      <c r="AY284" s="557">
        <f>IF(WWWW[[#This Row],[Total required water points]]-WWWW[[#This Row],['#Water points coverage]]&lt;0,0,WWWW[[#This Row],[Total required water points]]-WWWW[[#This Row],['#Water points coverage]])</f>
        <v>0</v>
      </c>
      <c r="AZ284" s="557">
        <f>ROUND(IF(WWWW[[#This Row],[Total PoP ]]&lt;250,1,WWWW[[#This Row],[Total PoP ]]/250),0)</f>
        <v>4</v>
      </c>
      <c r="BA28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4" s="565">
        <f>WWWW[[#This Row],[% people access to functioning Latrine]]*WWWW[[#This Row],[Total PoP ]]</f>
        <v>0</v>
      </c>
      <c r="BC284" s="557">
        <f>WWWW[[#This Row],['#_of_Functioning_latrines_in_school]]*50</f>
        <v>0</v>
      </c>
      <c r="BD284" s="557">
        <f>ROUND((WWWW[[#This Row],[Total PoP ]]/6),0)</f>
        <v>178</v>
      </c>
      <c r="BE284" s="557">
        <f>IF(WWWW[[#This Row],[Total required Latrines]]-(WWWW[[#This Row],['#_of_sanitary_fly-proof_HH_latrines]])&lt;0,0,WWWW[[#This Row],[Total required Latrines]]-(WWWW[[#This Row],['#_of_sanitary_fly-proof_HH_latrines]]))</f>
        <v>178</v>
      </c>
      <c r="BF284" s="558">
        <f>1-WWWW[[#This Row],[% people access to functioning Latrine]]</f>
        <v>1</v>
      </c>
      <c r="BG28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4" s="565">
        <f>IF(WWWW[[#This Row],['#_of_functional_handwashing_facilities_at_HH_level]]*6&gt;WWWW[[#This Row],[Total PoP ]],WWWW[[#This Row],[Total PoP ]],WWWW[[#This Row],['#_of_functional_handwashing_facilities_at_HH_level]]*6)</f>
        <v>0</v>
      </c>
      <c r="BI284" s="557">
        <f>IF(WWWW[[#This Row],['# people reached by regular dedicated hygiene promotion]]&gt;WWWW[[#This Row],['# People received regular supply of hygiene items]],WWWW[[#This Row],['# people reached by regular dedicated hygiene promotion]],WWWW[[#This Row],['# People received regular supply of hygiene items]])</f>
        <v>0</v>
      </c>
      <c r="BJ284" s="555">
        <f>IF(WWWW[[#This Row],[HRP3]]/WWWW[[#This Row],[Total PoP ]]&gt;100%,100%,WWWW[[#This Row],[HRP3]]/WWWW[[#This Row],[Total PoP ]])</f>
        <v>0</v>
      </c>
      <c r="BK284" s="558">
        <f>1-WWWW[[#This Row],[Hygiene Coverage%]]</f>
        <v>1</v>
      </c>
      <c r="BL284" s="556">
        <f>WWWW[[#This Row],['# people reached by regular dedicated hygiene promotion]]/WWWW[[#This Row],[Total PoP ]]</f>
        <v>0</v>
      </c>
      <c r="BM28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4" s="557">
        <f>WWWW[[#This Row],['#_of_affected_women_and_girls_receiving_a_sufficient_quantity_of_sanitary_pads]]</f>
        <v>0</v>
      </c>
      <c r="BO284" s="611">
        <f>IF(WWWW[[#This Row],['# People with access to soap]]&gt;WWWW[[#This Row],['# People with access to Sanity Pads]],WWWW[[#This Row],['# People with access to soap]],WWWW[[#This Row],['# People with access to Sanity Pads]])</f>
        <v>0</v>
      </c>
      <c r="BP284" s="565" t="str">
        <f>IF(OR(WWWW[[#This Row],['#of students in school]]="",WWWW[[#This Row],['#of students in school]]=0),"No","Yes")</f>
        <v>No</v>
      </c>
      <c r="BQ284" s="559" t="str">
        <f>VLOOKUP(WWWW[[#This Row],[Village  Name]],SiteDB6[[Site Name]:[Location Type 1]],9,FALSE)</f>
        <v>Village</v>
      </c>
      <c r="BR284" s="559" t="str">
        <f>VLOOKUP(WWWW[[#This Row],[Village  Name]],SiteDB6[[Site Name]:[Type of Accommodation]],10,FALSE)</f>
        <v>Village</v>
      </c>
      <c r="BS284" s="559" t="str">
        <f>VLOOKUP(WWWW[[#This Row],[Village  Name]],SiteDB6[[Site Name]:[Ethnic or GCA/NGCA]],11,FALSE)</f>
        <v>Muslim</v>
      </c>
      <c r="BT284" s="559">
        <f>VLOOKUP(WWWW[[#This Row],[Village  Name]],SiteDB6[[Site Name]:[Lat]],12,FALSE)</f>
        <v>20.197549819999999</v>
      </c>
      <c r="BU284" s="559">
        <f>VLOOKUP(WWWW[[#This Row],[Village  Name]],SiteDB6[[Site Name]:[Long]],13,FALSE)</f>
        <v>92.785682679999994</v>
      </c>
      <c r="BV284" s="559">
        <f>VLOOKUP(WWWW[[#This Row],[Village  Name]],SiteDB6[[Site Name]:[Pcode]],3,FALSE)</f>
        <v>196156</v>
      </c>
      <c r="BW284" s="559" t="str">
        <f t="shared" si="11"/>
        <v>Covered</v>
      </c>
      <c r="BX284" s="587"/>
    </row>
    <row r="285" spans="1:76">
      <c r="A285" s="612" t="s">
        <v>2381</v>
      </c>
      <c r="B285" s="612" t="s">
        <v>316</v>
      </c>
      <c r="C285" s="457" t="s">
        <v>316</v>
      </c>
      <c r="D285" s="457" t="s">
        <v>309</v>
      </c>
      <c r="E285" s="551" t="s">
        <v>2687</v>
      </c>
      <c r="F285" s="457" t="s">
        <v>297</v>
      </c>
      <c r="G285" s="551" t="str">
        <f>VLOOKUP(WWWW[[#This Row],[Village  Name]],SiteDB6[[Site Name]:[Location Type]],8,FALSE)</f>
        <v>Village</v>
      </c>
      <c r="H285" s="457" t="s">
        <v>2623</v>
      </c>
      <c r="I285" s="611">
        <v>326</v>
      </c>
      <c r="J285" s="611">
        <v>4476</v>
      </c>
      <c r="K285" s="461">
        <v>42736</v>
      </c>
      <c r="L285" s="55">
        <v>44551</v>
      </c>
      <c r="M285" s="611"/>
      <c r="N285" s="611"/>
      <c r="O285" s="611"/>
      <c r="P285" s="611"/>
      <c r="Q285" s="611"/>
      <c r="R285" s="611"/>
      <c r="S285" s="611"/>
      <c r="T285" s="643"/>
      <c r="U285" s="611"/>
      <c r="V285" s="611" t="s">
        <v>132</v>
      </c>
      <c r="W285" s="611"/>
      <c r="X285" s="611"/>
      <c r="Y285" s="611"/>
      <c r="Z285" s="611"/>
      <c r="AA285" s="611"/>
      <c r="AB285" s="643"/>
      <c r="AC285" s="611"/>
      <c r="AD285" s="611"/>
      <c r="AE285" s="611"/>
      <c r="AF285" s="611"/>
      <c r="AG285" s="611"/>
      <c r="AH285" s="611"/>
      <c r="AI285" s="611"/>
      <c r="AJ285" s="611"/>
      <c r="AK285" s="611"/>
      <c r="AL285" s="611"/>
      <c r="AM285" s="643"/>
      <c r="AN285" s="611"/>
      <c r="AO285" s="611"/>
      <c r="AP28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5" s="565">
        <f>WWWW[[#This Row],[%Equitable and continuous access to sufficient quantity of safe drinking water]]*WWWW[[#This Row],[Total PoP ]]</f>
        <v>0</v>
      </c>
      <c r="AR28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5" s="565">
        <f>WWWW[[#This Row],[% Access to unimproved water points]]*WWWW[[#This Row],[Total PoP ]]</f>
        <v>0</v>
      </c>
      <c r="AT28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5" s="565">
        <f>WWWW[[#This Row],[HRP1]]/250</f>
        <v>0</v>
      </c>
      <c r="AW285" s="555">
        <f>1-WWWW[[#This Row],[% Equitable and continuous access to sufficient quantity of domestic water]]</f>
        <v>1</v>
      </c>
      <c r="AX285" s="565">
        <f>WWWW[[#This Row],[%equitable and continuous access to sufficient quantity of safe drinking and domestic water''s GAP]]*WWWW[[#This Row],[Total PoP ]]</f>
        <v>4476</v>
      </c>
      <c r="AY285" s="557">
        <f>IF(WWWW[[#This Row],[Total required water points]]-WWWW[[#This Row],['#Water points coverage]]&lt;0,0,WWWW[[#This Row],[Total required water points]]-WWWW[[#This Row],['#Water points coverage]])</f>
        <v>18</v>
      </c>
      <c r="AZ285" s="557">
        <f>ROUND(IF(WWWW[[#This Row],[Total PoP ]]&lt;250,1,WWWW[[#This Row],[Total PoP ]]/250),0)</f>
        <v>18</v>
      </c>
      <c r="BA28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5" s="565">
        <f>WWWW[[#This Row],[% people access to functioning Latrine]]*WWWW[[#This Row],[Total PoP ]]</f>
        <v>0</v>
      </c>
      <c r="BC285" s="557">
        <f>WWWW[[#This Row],['#_of_Functioning_latrines_in_school]]*50</f>
        <v>0</v>
      </c>
      <c r="BD285" s="557">
        <f>ROUND((WWWW[[#This Row],[Total PoP ]]/6),0)</f>
        <v>746</v>
      </c>
      <c r="BE285" s="557">
        <f>IF(WWWW[[#This Row],[Total required Latrines]]-(WWWW[[#This Row],['#_of_sanitary_fly-proof_HH_latrines]])&lt;0,0,WWWW[[#This Row],[Total required Latrines]]-(WWWW[[#This Row],['#_of_sanitary_fly-proof_HH_latrines]]))</f>
        <v>746</v>
      </c>
      <c r="BF285" s="558">
        <f>1-WWWW[[#This Row],[% people access to functioning Latrine]]</f>
        <v>1</v>
      </c>
      <c r="BG28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5" s="565">
        <f>IF(WWWW[[#This Row],['#_of_functional_handwashing_facilities_at_HH_level]]*6&gt;WWWW[[#This Row],[Total PoP ]],WWWW[[#This Row],[Total PoP ]],WWWW[[#This Row],['#_of_functional_handwashing_facilities_at_HH_level]]*6)</f>
        <v>0</v>
      </c>
      <c r="BI285" s="557">
        <f>IF(WWWW[[#This Row],['# people reached by regular dedicated hygiene promotion]]&gt;WWWW[[#This Row],['# People received regular supply of hygiene items]],WWWW[[#This Row],['# people reached by regular dedicated hygiene promotion]],WWWW[[#This Row],['# People received regular supply of hygiene items]])</f>
        <v>0</v>
      </c>
      <c r="BJ285" s="555">
        <f>IF(WWWW[[#This Row],[HRP3]]/WWWW[[#This Row],[Total PoP ]]&gt;100%,100%,WWWW[[#This Row],[HRP3]]/WWWW[[#This Row],[Total PoP ]])</f>
        <v>0</v>
      </c>
      <c r="BK285" s="558">
        <f>1-WWWW[[#This Row],[Hygiene Coverage%]]</f>
        <v>1</v>
      </c>
      <c r="BL285" s="556">
        <f>WWWW[[#This Row],['# people reached by regular dedicated hygiene promotion]]/WWWW[[#This Row],[Total PoP ]]</f>
        <v>0</v>
      </c>
      <c r="BM28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5" s="557">
        <f>WWWW[[#This Row],['#_of_affected_women_and_girls_receiving_a_sufficient_quantity_of_sanitary_pads]]</f>
        <v>0</v>
      </c>
      <c r="BO285" s="611">
        <f>IF(WWWW[[#This Row],['# People with access to soap]]&gt;WWWW[[#This Row],['# People with access to Sanity Pads]],WWWW[[#This Row],['# People with access to soap]],WWWW[[#This Row],['# People with access to Sanity Pads]])</f>
        <v>0</v>
      </c>
      <c r="BP285" s="565" t="str">
        <f>IF(OR(WWWW[[#This Row],['#of students in school]]="",WWWW[[#This Row],['#of students in school]]=0),"No","Yes")</f>
        <v>No</v>
      </c>
      <c r="BQ285" s="559" t="str">
        <f>VLOOKUP(WWWW[[#This Row],[Village  Name]],SiteDB6[[Site Name]:[Location Type 1]],9,FALSE)</f>
        <v>Village</v>
      </c>
      <c r="BR285" s="559" t="str">
        <f>VLOOKUP(WWWW[[#This Row],[Village  Name]],SiteDB6[[Site Name]:[Type of Accommodation]],10,FALSE)</f>
        <v>Village</v>
      </c>
      <c r="BS285" s="559">
        <f>VLOOKUP(WWWW[[#This Row],[Village  Name]],SiteDB6[[Site Name]:[Ethnic or GCA/NGCA]],11,FALSE)</f>
        <v>0</v>
      </c>
      <c r="BT285" s="559">
        <f>VLOOKUP(WWWW[[#This Row],[Village  Name]],SiteDB6[[Site Name]:[Lat]],12,FALSE)</f>
        <v>20.142469406127901</v>
      </c>
      <c r="BU285" s="559">
        <f>VLOOKUP(WWWW[[#This Row],[Village  Name]],SiteDB6[[Site Name]:[Long]],13,FALSE)</f>
        <v>92.863967895507798</v>
      </c>
      <c r="BV285" s="559">
        <f>VLOOKUP(WWWW[[#This Row],[Village  Name]],SiteDB6[[Site Name]:[Pcode]],3,FALSE)</f>
        <v>196203</v>
      </c>
      <c r="BW285" s="559" t="str">
        <f t="shared" si="11"/>
        <v>Covered</v>
      </c>
      <c r="BX285" s="587"/>
    </row>
    <row r="286" spans="1:76">
      <c r="A286" s="612" t="s">
        <v>2381</v>
      </c>
      <c r="B286" s="612" t="s">
        <v>316</v>
      </c>
      <c r="C286" s="457" t="s">
        <v>316</v>
      </c>
      <c r="D286" s="457" t="s">
        <v>309</v>
      </c>
      <c r="E286" s="551" t="s">
        <v>2687</v>
      </c>
      <c r="F286" s="457" t="s">
        <v>297</v>
      </c>
      <c r="G286" s="551" t="str">
        <f>VLOOKUP(WWWW[[#This Row],[Village  Name]],SiteDB6[[Site Name]:[Location Type]],8,FALSE)</f>
        <v>Village</v>
      </c>
      <c r="H286" s="457" t="s">
        <v>2624</v>
      </c>
      <c r="I286" s="611">
        <v>335</v>
      </c>
      <c r="J286" s="611">
        <v>1867</v>
      </c>
      <c r="K286" s="461">
        <v>42736</v>
      </c>
      <c r="L286" s="55">
        <v>44551</v>
      </c>
      <c r="M286" s="611"/>
      <c r="N286" s="611"/>
      <c r="O286" s="611"/>
      <c r="P286" s="611"/>
      <c r="Q286" s="611"/>
      <c r="R286" s="611"/>
      <c r="S286" s="611"/>
      <c r="T286" s="643"/>
      <c r="U286" s="611"/>
      <c r="V286" s="611" t="s">
        <v>132</v>
      </c>
      <c r="W286" s="611"/>
      <c r="X286" s="611"/>
      <c r="Y286" s="611"/>
      <c r="Z286" s="611"/>
      <c r="AA286" s="611"/>
      <c r="AB286" s="643"/>
      <c r="AC286" s="611"/>
      <c r="AD286" s="611"/>
      <c r="AE286" s="611"/>
      <c r="AF286" s="611"/>
      <c r="AG286" s="611"/>
      <c r="AH286" s="611"/>
      <c r="AI286" s="611"/>
      <c r="AJ286" s="611"/>
      <c r="AK286" s="611"/>
      <c r="AL286" s="611"/>
      <c r="AM286" s="643"/>
      <c r="AN286" s="611"/>
      <c r="AO286" s="611"/>
      <c r="AP28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6" s="565">
        <f>WWWW[[#This Row],[%Equitable and continuous access to sufficient quantity of safe drinking water]]*WWWW[[#This Row],[Total PoP ]]</f>
        <v>0</v>
      </c>
      <c r="AR28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6" s="565">
        <f>WWWW[[#This Row],[% Access to unimproved water points]]*WWWW[[#This Row],[Total PoP ]]</f>
        <v>0</v>
      </c>
      <c r="AT28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6" s="565">
        <f>WWWW[[#This Row],[HRP1]]/250</f>
        <v>0</v>
      </c>
      <c r="AW286" s="555">
        <f>1-WWWW[[#This Row],[% Equitable and continuous access to sufficient quantity of domestic water]]</f>
        <v>1</v>
      </c>
      <c r="AX286" s="565">
        <f>WWWW[[#This Row],[%equitable and continuous access to sufficient quantity of safe drinking and domestic water''s GAP]]*WWWW[[#This Row],[Total PoP ]]</f>
        <v>1867</v>
      </c>
      <c r="AY286" s="557">
        <f>IF(WWWW[[#This Row],[Total required water points]]-WWWW[[#This Row],['#Water points coverage]]&lt;0,0,WWWW[[#This Row],[Total required water points]]-WWWW[[#This Row],['#Water points coverage]])</f>
        <v>7</v>
      </c>
      <c r="AZ286" s="557">
        <f>ROUND(IF(WWWW[[#This Row],[Total PoP ]]&lt;250,1,WWWW[[#This Row],[Total PoP ]]/250),0)</f>
        <v>7</v>
      </c>
      <c r="BA28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6" s="565">
        <f>WWWW[[#This Row],[% people access to functioning Latrine]]*WWWW[[#This Row],[Total PoP ]]</f>
        <v>0</v>
      </c>
      <c r="BC286" s="557">
        <f>WWWW[[#This Row],['#_of_Functioning_latrines_in_school]]*50</f>
        <v>0</v>
      </c>
      <c r="BD286" s="557">
        <f>ROUND((WWWW[[#This Row],[Total PoP ]]/6),0)</f>
        <v>311</v>
      </c>
      <c r="BE286" s="557">
        <f>IF(WWWW[[#This Row],[Total required Latrines]]-(WWWW[[#This Row],['#_of_sanitary_fly-proof_HH_latrines]])&lt;0,0,WWWW[[#This Row],[Total required Latrines]]-(WWWW[[#This Row],['#_of_sanitary_fly-proof_HH_latrines]]))</f>
        <v>311</v>
      </c>
      <c r="BF286" s="558">
        <f>1-WWWW[[#This Row],[% people access to functioning Latrine]]</f>
        <v>1</v>
      </c>
      <c r="BG28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6" s="565">
        <f>IF(WWWW[[#This Row],['#_of_functional_handwashing_facilities_at_HH_level]]*6&gt;WWWW[[#This Row],[Total PoP ]],WWWW[[#This Row],[Total PoP ]],WWWW[[#This Row],['#_of_functional_handwashing_facilities_at_HH_level]]*6)</f>
        <v>0</v>
      </c>
      <c r="BI286" s="557">
        <f>IF(WWWW[[#This Row],['# people reached by regular dedicated hygiene promotion]]&gt;WWWW[[#This Row],['# People received regular supply of hygiene items]],WWWW[[#This Row],['# people reached by regular dedicated hygiene promotion]],WWWW[[#This Row],['# People received regular supply of hygiene items]])</f>
        <v>0</v>
      </c>
      <c r="BJ286" s="555">
        <f>IF(WWWW[[#This Row],[HRP3]]/WWWW[[#This Row],[Total PoP ]]&gt;100%,100%,WWWW[[#This Row],[HRP3]]/WWWW[[#This Row],[Total PoP ]])</f>
        <v>0</v>
      </c>
      <c r="BK286" s="558">
        <f>1-WWWW[[#This Row],[Hygiene Coverage%]]</f>
        <v>1</v>
      </c>
      <c r="BL286" s="556">
        <f>WWWW[[#This Row],['# people reached by regular dedicated hygiene promotion]]/WWWW[[#This Row],[Total PoP ]]</f>
        <v>0</v>
      </c>
      <c r="BM28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6" s="557">
        <f>WWWW[[#This Row],['#_of_affected_women_and_girls_receiving_a_sufficient_quantity_of_sanitary_pads]]</f>
        <v>0</v>
      </c>
      <c r="BO286" s="611">
        <f>IF(WWWW[[#This Row],['# People with access to soap]]&gt;WWWW[[#This Row],['# People with access to Sanity Pads]],WWWW[[#This Row],['# People with access to soap]],WWWW[[#This Row],['# People with access to Sanity Pads]])</f>
        <v>0</v>
      </c>
      <c r="BP286" s="565" t="str">
        <f>IF(OR(WWWW[[#This Row],['#of students in school]]="",WWWW[[#This Row],['#of students in school]]=0),"No","Yes")</f>
        <v>No</v>
      </c>
      <c r="BQ286" s="559" t="str">
        <f>VLOOKUP(WWWW[[#This Row],[Village  Name]],SiteDB6[[Site Name]:[Location Type 1]],9,FALSE)</f>
        <v>Village</v>
      </c>
      <c r="BR286" s="559" t="str">
        <f>VLOOKUP(WWWW[[#This Row],[Village  Name]],SiteDB6[[Site Name]:[Type of Accommodation]],10,FALSE)</f>
        <v>Village</v>
      </c>
      <c r="BS286" s="559">
        <f>VLOOKUP(WWWW[[#This Row],[Village  Name]],SiteDB6[[Site Name]:[Ethnic or GCA/NGCA]],11,FALSE)</f>
        <v>0</v>
      </c>
      <c r="BT286" s="559">
        <f>VLOOKUP(WWWW[[#This Row],[Village  Name]],SiteDB6[[Site Name]:[Lat]],12,FALSE)</f>
        <v>20.170469284057599</v>
      </c>
      <c r="BU286" s="559">
        <f>VLOOKUP(WWWW[[#This Row],[Village  Name]],SiteDB6[[Site Name]:[Long]],13,FALSE)</f>
        <v>92.8343505859375</v>
      </c>
      <c r="BV286" s="559">
        <f>VLOOKUP(WWWW[[#This Row],[Village  Name]],SiteDB6[[Site Name]:[Pcode]],3,FALSE)</f>
        <v>196202</v>
      </c>
      <c r="BW286" s="559" t="str">
        <f t="shared" si="11"/>
        <v>Covered</v>
      </c>
      <c r="BX286" s="587"/>
    </row>
    <row r="287" spans="1:76">
      <c r="A287" s="612" t="s">
        <v>2381</v>
      </c>
      <c r="B287" s="612" t="s">
        <v>316</v>
      </c>
      <c r="C287" s="457" t="s">
        <v>316</v>
      </c>
      <c r="D287" s="457" t="s">
        <v>309</v>
      </c>
      <c r="E287" s="551" t="s">
        <v>2687</v>
      </c>
      <c r="F287" s="457" t="s">
        <v>297</v>
      </c>
      <c r="G287" s="551" t="str">
        <f>VLOOKUP(WWWW[[#This Row],[Village  Name]],SiteDB6[[Site Name]:[Location Type]],8,FALSE)</f>
        <v>Village</v>
      </c>
      <c r="H287" s="457" t="s">
        <v>1751</v>
      </c>
      <c r="I287" s="611">
        <v>863</v>
      </c>
      <c r="J287" s="611">
        <v>3768</v>
      </c>
      <c r="K287" s="461">
        <v>42736</v>
      </c>
      <c r="L287" s="55">
        <v>44551</v>
      </c>
      <c r="M287" s="611"/>
      <c r="N287" s="611"/>
      <c r="O287" s="611"/>
      <c r="P287" s="611"/>
      <c r="Q287" s="611"/>
      <c r="R287" s="611"/>
      <c r="S287" s="611"/>
      <c r="T287" s="643"/>
      <c r="U287" s="611"/>
      <c r="V287" s="611" t="s">
        <v>132</v>
      </c>
      <c r="W287" s="611"/>
      <c r="X287" s="611"/>
      <c r="Y287" s="611"/>
      <c r="Z287" s="611"/>
      <c r="AA287" s="611"/>
      <c r="AB287" s="643"/>
      <c r="AC287" s="611"/>
      <c r="AD287" s="611"/>
      <c r="AE287" s="611"/>
      <c r="AF287" s="611"/>
      <c r="AG287" s="611"/>
      <c r="AH287" s="611"/>
      <c r="AI287" s="611"/>
      <c r="AJ287" s="611"/>
      <c r="AK287" s="611"/>
      <c r="AL287" s="611"/>
      <c r="AM287" s="643"/>
      <c r="AN287" s="611"/>
      <c r="AO287" s="611"/>
      <c r="AP28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7" s="565">
        <f>WWWW[[#This Row],[%Equitable and continuous access to sufficient quantity of safe drinking water]]*WWWW[[#This Row],[Total PoP ]]</f>
        <v>0</v>
      </c>
      <c r="AR28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7" s="565">
        <f>WWWW[[#This Row],[% Access to unimproved water points]]*WWWW[[#This Row],[Total PoP ]]</f>
        <v>0</v>
      </c>
      <c r="AT28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7" s="565">
        <f>WWWW[[#This Row],[HRP1]]/250</f>
        <v>0</v>
      </c>
      <c r="AW287" s="555">
        <f>1-WWWW[[#This Row],[% Equitable and continuous access to sufficient quantity of domestic water]]</f>
        <v>1</v>
      </c>
      <c r="AX287" s="565">
        <f>WWWW[[#This Row],[%equitable and continuous access to sufficient quantity of safe drinking and domestic water''s GAP]]*WWWW[[#This Row],[Total PoP ]]</f>
        <v>3768</v>
      </c>
      <c r="AY287" s="557">
        <f>IF(WWWW[[#This Row],[Total required water points]]-WWWW[[#This Row],['#Water points coverage]]&lt;0,0,WWWW[[#This Row],[Total required water points]]-WWWW[[#This Row],['#Water points coverage]])</f>
        <v>15</v>
      </c>
      <c r="AZ287" s="557">
        <f>ROUND(IF(WWWW[[#This Row],[Total PoP ]]&lt;250,1,WWWW[[#This Row],[Total PoP ]]/250),0)</f>
        <v>15</v>
      </c>
      <c r="BA28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7" s="565">
        <f>WWWW[[#This Row],[% people access to functioning Latrine]]*WWWW[[#This Row],[Total PoP ]]</f>
        <v>0</v>
      </c>
      <c r="BC287" s="557">
        <f>WWWW[[#This Row],['#_of_Functioning_latrines_in_school]]*50</f>
        <v>0</v>
      </c>
      <c r="BD287" s="557">
        <f>ROUND((WWWW[[#This Row],[Total PoP ]]/6),0)</f>
        <v>628</v>
      </c>
      <c r="BE287" s="557">
        <f>IF(WWWW[[#This Row],[Total required Latrines]]-(WWWW[[#This Row],['#_of_sanitary_fly-proof_HH_latrines]])&lt;0,0,WWWW[[#This Row],[Total required Latrines]]-(WWWW[[#This Row],['#_of_sanitary_fly-proof_HH_latrines]]))</f>
        <v>628</v>
      </c>
      <c r="BF287" s="558">
        <f>1-WWWW[[#This Row],[% people access to functioning Latrine]]</f>
        <v>1</v>
      </c>
      <c r="BG28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7" s="565">
        <f>IF(WWWW[[#This Row],['#_of_functional_handwashing_facilities_at_HH_level]]*6&gt;WWWW[[#This Row],[Total PoP ]],WWWW[[#This Row],[Total PoP ]],WWWW[[#This Row],['#_of_functional_handwashing_facilities_at_HH_level]]*6)</f>
        <v>0</v>
      </c>
      <c r="BI287" s="557">
        <f>IF(WWWW[[#This Row],['# people reached by regular dedicated hygiene promotion]]&gt;WWWW[[#This Row],['# People received regular supply of hygiene items]],WWWW[[#This Row],['# people reached by regular dedicated hygiene promotion]],WWWW[[#This Row],['# People received regular supply of hygiene items]])</f>
        <v>0</v>
      </c>
      <c r="BJ287" s="555">
        <f>IF(WWWW[[#This Row],[HRP3]]/WWWW[[#This Row],[Total PoP ]]&gt;100%,100%,WWWW[[#This Row],[HRP3]]/WWWW[[#This Row],[Total PoP ]])</f>
        <v>0</v>
      </c>
      <c r="BK287" s="558">
        <f>1-WWWW[[#This Row],[Hygiene Coverage%]]</f>
        <v>1</v>
      </c>
      <c r="BL287" s="556">
        <f>WWWW[[#This Row],['# people reached by regular dedicated hygiene promotion]]/WWWW[[#This Row],[Total PoP ]]</f>
        <v>0</v>
      </c>
      <c r="BM28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7" s="557">
        <f>WWWW[[#This Row],['#_of_affected_women_and_girls_receiving_a_sufficient_quantity_of_sanitary_pads]]</f>
        <v>0</v>
      </c>
      <c r="BO287" s="611">
        <f>IF(WWWW[[#This Row],['# People with access to soap]]&gt;WWWW[[#This Row],['# People with access to Sanity Pads]],WWWW[[#This Row],['# People with access to soap]],WWWW[[#This Row],['# People with access to Sanity Pads]])</f>
        <v>0</v>
      </c>
      <c r="BP287" s="565" t="str">
        <f>IF(OR(WWWW[[#This Row],['#of students in school]]="",WWWW[[#This Row],['#of students in school]]=0),"No","Yes")</f>
        <v>No</v>
      </c>
      <c r="BQ287" s="559" t="str">
        <f>VLOOKUP(WWWW[[#This Row],[Village  Name]],SiteDB6[[Site Name]:[Location Type 1]],9,FALSE)</f>
        <v>Village</v>
      </c>
      <c r="BR287" s="559" t="str">
        <f>VLOOKUP(WWWW[[#This Row],[Village  Name]],SiteDB6[[Site Name]:[Type of Accommodation]],10,FALSE)</f>
        <v>Village</v>
      </c>
      <c r="BS287" s="559">
        <f>VLOOKUP(WWWW[[#This Row],[Village  Name]],SiteDB6[[Site Name]:[Ethnic or GCA/NGCA]],11,FALSE)</f>
        <v>0</v>
      </c>
      <c r="BT287" s="559">
        <f>VLOOKUP(WWWW[[#This Row],[Village  Name]],SiteDB6[[Site Name]:[Lat]],12,FALSE)</f>
        <v>20.168970108032202</v>
      </c>
      <c r="BU287" s="559">
        <f>VLOOKUP(WWWW[[#This Row],[Village  Name]],SiteDB6[[Site Name]:[Long]],13,FALSE)</f>
        <v>92.826896667480497</v>
      </c>
      <c r="BV287" s="559">
        <f>VLOOKUP(WWWW[[#This Row],[Village  Name]],SiteDB6[[Site Name]:[Pcode]],3,FALSE)</f>
        <v>196206</v>
      </c>
      <c r="BW287" s="559" t="str">
        <f t="shared" si="11"/>
        <v>Covered</v>
      </c>
      <c r="BX287" s="587"/>
    </row>
    <row r="288" spans="1:76">
      <c r="A288" s="612" t="s">
        <v>2381</v>
      </c>
      <c r="B288" s="612" t="s">
        <v>316</v>
      </c>
      <c r="C288" s="457" t="s">
        <v>316</v>
      </c>
      <c r="D288" s="457" t="s">
        <v>309</v>
      </c>
      <c r="E288" s="551" t="s">
        <v>2687</v>
      </c>
      <c r="F288" s="457" t="s">
        <v>297</v>
      </c>
      <c r="G288" s="551" t="str">
        <f>VLOOKUP(WWWW[[#This Row],[Village  Name]],SiteDB6[[Site Name]:[Location Type]],8,FALSE)</f>
        <v>Village</v>
      </c>
      <c r="H288" s="457" t="s">
        <v>2625</v>
      </c>
      <c r="I288" s="611">
        <v>310</v>
      </c>
      <c r="J288" s="611">
        <v>1750</v>
      </c>
      <c r="K288" s="461">
        <v>42736</v>
      </c>
      <c r="L288" s="55">
        <v>44551</v>
      </c>
      <c r="M288" s="611"/>
      <c r="N288" s="611"/>
      <c r="O288" s="611"/>
      <c r="P288" s="611"/>
      <c r="Q288" s="611"/>
      <c r="R288" s="611"/>
      <c r="S288" s="611"/>
      <c r="T288" s="643"/>
      <c r="U288" s="611"/>
      <c r="V288" s="611" t="s">
        <v>132</v>
      </c>
      <c r="W288" s="611"/>
      <c r="X288" s="611"/>
      <c r="Y288" s="611"/>
      <c r="Z288" s="611"/>
      <c r="AA288" s="611"/>
      <c r="AB288" s="643"/>
      <c r="AC288" s="611"/>
      <c r="AD288" s="611"/>
      <c r="AE288" s="611"/>
      <c r="AF288" s="611"/>
      <c r="AG288" s="611"/>
      <c r="AH288" s="611"/>
      <c r="AI288" s="611"/>
      <c r="AJ288" s="611"/>
      <c r="AK288" s="611"/>
      <c r="AL288" s="611"/>
      <c r="AM288" s="643"/>
      <c r="AN288" s="611"/>
      <c r="AO288" s="611"/>
      <c r="AP28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8" s="565">
        <f>WWWW[[#This Row],[%Equitable and continuous access to sufficient quantity of safe drinking water]]*WWWW[[#This Row],[Total PoP ]]</f>
        <v>0</v>
      </c>
      <c r="AR28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8" s="565">
        <f>WWWW[[#This Row],[% Access to unimproved water points]]*WWWW[[#This Row],[Total PoP ]]</f>
        <v>0</v>
      </c>
      <c r="AT28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8" s="565">
        <f>WWWW[[#This Row],[HRP1]]/250</f>
        <v>0</v>
      </c>
      <c r="AW288" s="555">
        <f>1-WWWW[[#This Row],[% Equitable and continuous access to sufficient quantity of domestic water]]</f>
        <v>1</v>
      </c>
      <c r="AX288" s="565">
        <f>WWWW[[#This Row],[%equitable and continuous access to sufficient quantity of safe drinking and domestic water''s GAP]]*WWWW[[#This Row],[Total PoP ]]</f>
        <v>1750</v>
      </c>
      <c r="AY288" s="557">
        <f>IF(WWWW[[#This Row],[Total required water points]]-WWWW[[#This Row],['#Water points coverage]]&lt;0,0,WWWW[[#This Row],[Total required water points]]-WWWW[[#This Row],['#Water points coverage]])</f>
        <v>7</v>
      </c>
      <c r="AZ288" s="557">
        <f>ROUND(IF(WWWW[[#This Row],[Total PoP ]]&lt;250,1,WWWW[[#This Row],[Total PoP ]]/250),0)</f>
        <v>7</v>
      </c>
      <c r="BA28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8" s="565">
        <f>WWWW[[#This Row],[% people access to functioning Latrine]]*WWWW[[#This Row],[Total PoP ]]</f>
        <v>0</v>
      </c>
      <c r="BC288" s="557">
        <f>WWWW[[#This Row],['#_of_Functioning_latrines_in_school]]*50</f>
        <v>0</v>
      </c>
      <c r="BD288" s="557">
        <f>ROUND((WWWW[[#This Row],[Total PoP ]]/6),0)</f>
        <v>292</v>
      </c>
      <c r="BE288" s="557">
        <f>IF(WWWW[[#This Row],[Total required Latrines]]-(WWWW[[#This Row],['#_of_sanitary_fly-proof_HH_latrines]])&lt;0,0,WWWW[[#This Row],[Total required Latrines]]-(WWWW[[#This Row],['#_of_sanitary_fly-proof_HH_latrines]]))</f>
        <v>292</v>
      </c>
      <c r="BF288" s="558">
        <f>1-WWWW[[#This Row],[% people access to functioning Latrine]]</f>
        <v>1</v>
      </c>
      <c r="BG28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8" s="565">
        <f>IF(WWWW[[#This Row],['#_of_functional_handwashing_facilities_at_HH_level]]*6&gt;WWWW[[#This Row],[Total PoP ]],WWWW[[#This Row],[Total PoP ]],WWWW[[#This Row],['#_of_functional_handwashing_facilities_at_HH_level]]*6)</f>
        <v>0</v>
      </c>
      <c r="BI288" s="557">
        <f>IF(WWWW[[#This Row],['# people reached by regular dedicated hygiene promotion]]&gt;WWWW[[#This Row],['# People received regular supply of hygiene items]],WWWW[[#This Row],['# people reached by regular dedicated hygiene promotion]],WWWW[[#This Row],['# People received regular supply of hygiene items]])</f>
        <v>0</v>
      </c>
      <c r="BJ288" s="555">
        <f>IF(WWWW[[#This Row],[HRP3]]/WWWW[[#This Row],[Total PoP ]]&gt;100%,100%,WWWW[[#This Row],[HRP3]]/WWWW[[#This Row],[Total PoP ]])</f>
        <v>0</v>
      </c>
      <c r="BK288" s="558">
        <f>1-WWWW[[#This Row],[Hygiene Coverage%]]</f>
        <v>1</v>
      </c>
      <c r="BL288" s="556">
        <f>WWWW[[#This Row],['# people reached by regular dedicated hygiene promotion]]/WWWW[[#This Row],[Total PoP ]]</f>
        <v>0</v>
      </c>
      <c r="BM28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8" s="557">
        <f>WWWW[[#This Row],['#_of_affected_women_and_girls_receiving_a_sufficient_quantity_of_sanitary_pads]]</f>
        <v>0</v>
      </c>
      <c r="BO288" s="611">
        <f>IF(WWWW[[#This Row],['# People with access to soap]]&gt;WWWW[[#This Row],['# People with access to Sanity Pads]],WWWW[[#This Row],['# People with access to soap]],WWWW[[#This Row],['# People with access to Sanity Pads]])</f>
        <v>0</v>
      </c>
      <c r="BP288" s="565" t="str">
        <f>IF(OR(WWWW[[#This Row],['#of students in school]]="",WWWW[[#This Row],['#of students in school]]=0),"No","Yes")</f>
        <v>No</v>
      </c>
      <c r="BQ288" s="559" t="str">
        <f>VLOOKUP(WWWW[[#This Row],[Village  Name]],SiteDB6[[Site Name]:[Location Type 1]],9,FALSE)</f>
        <v>Village</v>
      </c>
      <c r="BR288" s="559" t="str">
        <f>VLOOKUP(WWWW[[#This Row],[Village  Name]],SiteDB6[[Site Name]:[Type of Accommodation]],10,FALSE)</f>
        <v>Village</v>
      </c>
      <c r="BS288" s="559">
        <f>VLOOKUP(WWWW[[#This Row],[Village  Name]],SiteDB6[[Site Name]:[Ethnic or GCA/NGCA]],11,FALSE)</f>
        <v>0</v>
      </c>
      <c r="BT288" s="559">
        <f>VLOOKUP(WWWW[[#This Row],[Village  Name]],SiteDB6[[Site Name]:[Lat]],12,FALSE)</f>
        <v>0</v>
      </c>
      <c r="BU288" s="559">
        <f>VLOOKUP(WWWW[[#This Row],[Village  Name]],SiteDB6[[Site Name]:[Long]],13,FALSE)</f>
        <v>0</v>
      </c>
      <c r="BV288" s="559">
        <f>VLOOKUP(WWWW[[#This Row],[Village  Name]],SiteDB6[[Site Name]:[Pcode]],3,FALSE)</f>
        <v>0</v>
      </c>
      <c r="BW288" s="559" t="str">
        <f t="shared" si="11"/>
        <v>Covered</v>
      </c>
      <c r="BX288" s="587"/>
    </row>
    <row r="289" spans="1:76">
      <c r="A289" s="612" t="s">
        <v>2381</v>
      </c>
      <c r="B289" s="612" t="s">
        <v>316</v>
      </c>
      <c r="C289" s="457" t="s">
        <v>316</v>
      </c>
      <c r="D289" s="457" t="s">
        <v>309</v>
      </c>
      <c r="E289" s="551" t="s">
        <v>2687</v>
      </c>
      <c r="F289" s="457" t="s">
        <v>314</v>
      </c>
      <c r="G289" s="551" t="str">
        <f>VLOOKUP(WWWW[[#This Row],[Village  Name]],SiteDB6[[Site Name]:[Location Type]],8,FALSE)</f>
        <v>Village</v>
      </c>
      <c r="H289" s="457" t="s">
        <v>467</v>
      </c>
      <c r="I289" s="611">
        <v>125</v>
      </c>
      <c r="J289" s="611">
        <v>513</v>
      </c>
      <c r="K289" s="461">
        <v>42736</v>
      </c>
      <c r="L289" s="55">
        <v>44551</v>
      </c>
      <c r="M289" s="611"/>
      <c r="N289" s="611"/>
      <c r="O289" s="611"/>
      <c r="P289" s="611"/>
      <c r="Q289" s="611"/>
      <c r="R289" s="611"/>
      <c r="S289" s="611"/>
      <c r="T289" s="643"/>
      <c r="U289" s="611"/>
      <c r="V289" s="611" t="s">
        <v>132</v>
      </c>
      <c r="W289" s="611"/>
      <c r="X289" s="611"/>
      <c r="Y289" s="611"/>
      <c r="Z289" s="611"/>
      <c r="AA289" s="611"/>
      <c r="AB289" s="643"/>
      <c r="AC289" s="611"/>
      <c r="AD289" s="611"/>
      <c r="AE289" s="611"/>
      <c r="AF289" s="611"/>
      <c r="AG289" s="611"/>
      <c r="AH289" s="611"/>
      <c r="AI289" s="611"/>
      <c r="AJ289" s="611"/>
      <c r="AK289" s="611"/>
      <c r="AL289" s="611"/>
      <c r="AM289" s="643"/>
      <c r="AN289" s="611"/>
      <c r="AO289" s="611"/>
      <c r="AP28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89" s="565">
        <f>WWWW[[#This Row],[%Equitable and continuous access to sufficient quantity of safe drinking water]]*WWWW[[#This Row],[Total PoP ]]</f>
        <v>0</v>
      </c>
      <c r="AR28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89" s="565">
        <f>WWWW[[#This Row],[% Access to unimproved water points]]*WWWW[[#This Row],[Total PoP ]]</f>
        <v>0</v>
      </c>
      <c r="AT28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8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89" s="565">
        <f>WWWW[[#This Row],[HRP1]]/250</f>
        <v>0</v>
      </c>
      <c r="AW289" s="555">
        <f>1-WWWW[[#This Row],[% Equitable and continuous access to sufficient quantity of domestic water]]</f>
        <v>1</v>
      </c>
      <c r="AX289" s="565">
        <f>WWWW[[#This Row],[%equitable and continuous access to sufficient quantity of safe drinking and domestic water''s GAP]]*WWWW[[#This Row],[Total PoP ]]</f>
        <v>513</v>
      </c>
      <c r="AY289" s="557">
        <f>IF(WWWW[[#This Row],[Total required water points]]-WWWW[[#This Row],['#Water points coverage]]&lt;0,0,WWWW[[#This Row],[Total required water points]]-WWWW[[#This Row],['#Water points coverage]])</f>
        <v>2</v>
      </c>
      <c r="AZ289" s="557">
        <f>ROUND(IF(WWWW[[#This Row],[Total PoP ]]&lt;250,1,WWWW[[#This Row],[Total PoP ]]/250),0)</f>
        <v>2</v>
      </c>
      <c r="BA28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89" s="565">
        <f>WWWW[[#This Row],[% people access to functioning Latrine]]*WWWW[[#This Row],[Total PoP ]]</f>
        <v>0</v>
      </c>
      <c r="BC289" s="557">
        <f>WWWW[[#This Row],['#_of_Functioning_latrines_in_school]]*50</f>
        <v>0</v>
      </c>
      <c r="BD289" s="557">
        <f>ROUND((WWWW[[#This Row],[Total PoP ]]/6),0)</f>
        <v>86</v>
      </c>
      <c r="BE289" s="557">
        <f>IF(WWWW[[#This Row],[Total required Latrines]]-(WWWW[[#This Row],['#_of_sanitary_fly-proof_HH_latrines]])&lt;0,0,WWWW[[#This Row],[Total required Latrines]]-(WWWW[[#This Row],['#_of_sanitary_fly-proof_HH_latrines]]))</f>
        <v>86</v>
      </c>
      <c r="BF289" s="558">
        <f>1-WWWW[[#This Row],[% people access to functioning Latrine]]</f>
        <v>1</v>
      </c>
      <c r="BG28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89" s="565">
        <f>IF(WWWW[[#This Row],['#_of_functional_handwashing_facilities_at_HH_level]]*6&gt;WWWW[[#This Row],[Total PoP ]],WWWW[[#This Row],[Total PoP ]],WWWW[[#This Row],['#_of_functional_handwashing_facilities_at_HH_level]]*6)</f>
        <v>0</v>
      </c>
      <c r="BI289" s="557">
        <f>IF(WWWW[[#This Row],['# people reached by regular dedicated hygiene promotion]]&gt;WWWW[[#This Row],['# People received regular supply of hygiene items]],WWWW[[#This Row],['# people reached by regular dedicated hygiene promotion]],WWWW[[#This Row],['# People received regular supply of hygiene items]])</f>
        <v>0</v>
      </c>
      <c r="BJ289" s="555">
        <f>IF(WWWW[[#This Row],[HRP3]]/WWWW[[#This Row],[Total PoP ]]&gt;100%,100%,WWWW[[#This Row],[HRP3]]/WWWW[[#This Row],[Total PoP ]])</f>
        <v>0</v>
      </c>
      <c r="BK289" s="558">
        <f>1-WWWW[[#This Row],[Hygiene Coverage%]]</f>
        <v>1</v>
      </c>
      <c r="BL289" s="556">
        <f>WWWW[[#This Row],['# people reached by regular dedicated hygiene promotion]]/WWWW[[#This Row],[Total PoP ]]</f>
        <v>0</v>
      </c>
      <c r="BM28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89" s="557">
        <f>WWWW[[#This Row],['#_of_affected_women_and_girls_receiving_a_sufficient_quantity_of_sanitary_pads]]</f>
        <v>0</v>
      </c>
      <c r="BO289" s="611">
        <f>IF(WWWW[[#This Row],['# People with access to soap]]&gt;WWWW[[#This Row],['# People with access to Sanity Pads]],WWWW[[#This Row],['# People with access to soap]],WWWW[[#This Row],['# People with access to Sanity Pads]])</f>
        <v>0</v>
      </c>
      <c r="BP289" s="565" t="str">
        <f>IF(OR(WWWW[[#This Row],['#of students in school]]="",WWWW[[#This Row],['#of students in school]]=0),"No","Yes")</f>
        <v>No</v>
      </c>
      <c r="BQ289" s="559" t="str">
        <f>VLOOKUP(WWWW[[#This Row],[Village  Name]],SiteDB6[[Site Name]:[Location Type 1]],9,FALSE)</f>
        <v>Village</v>
      </c>
      <c r="BR289" s="559" t="str">
        <f>VLOOKUP(WWWW[[#This Row],[Village  Name]],SiteDB6[[Site Name]:[Type of Accommodation]],10,FALSE)</f>
        <v>Returned</v>
      </c>
      <c r="BS289" s="559" t="str">
        <f>VLOOKUP(WWWW[[#This Row],[Village  Name]],SiteDB6[[Site Name]:[Ethnic or GCA/NGCA]],11,FALSE)</f>
        <v>Muslim</v>
      </c>
      <c r="BT289" s="559">
        <f>VLOOKUP(WWWW[[#This Row],[Village  Name]],SiteDB6[[Site Name]:[Lat]],12,FALSE)</f>
        <v>20.39902</v>
      </c>
      <c r="BU289" s="559">
        <f>VLOOKUP(WWWW[[#This Row],[Village  Name]],SiteDB6[[Site Name]:[Long]],13,FALSE)</f>
        <v>93.249669999999995</v>
      </c>
      <c r="BV289" s="559" t="str">
        <f>VLOOKUP(WWWW[[#This Row],[Village  Name]],SiteDB6[[Site Name]:[Pcode]],3,FALSE)</f>
        <v>MMR012CMP003</v>
      </c>
      <c r="BW289" s="559" t="str">
        <f t="shared" si="11"/>
        <v>Covered</v>
      </c>
      <c r="BX289" s="587"/>
    </row>
    <row r="290" spans="1:76">
      <c r="A290" s="612" t="s">
        <v>2381</v>
      </c>
      <c r="B290" s="612" t="s">
        <v>316</v>
      </c>
      <c r="C290" s="457" t="s">
        <v>316</v>
      </c>
      <c r="D290" s="457" t="s">
        <v>329</v>
      </c>
      <c r="E290" s="551" t="s">
        <v>2687</v>
      </c>
      <c r="F290" s="457" t="s">
        <v>297</v>
      </c>
      <c r="G290" s="551" t="str">
        <f>VLOOKUP(WWWW[[#This Row],[Village  Name]],SiteDB6[[Site Name]:[Location Type]],8,FALSE)</f>
        <v>Village</v>
      </c>
      <c r="H290" s="457" t="s">
        <v>2626</v>
      </c>
      <c r="I290" s="611">
        <v>92</v>
      </c>
      <c r="J290" s="611">
        <v>715</v>
      </c>
      <c r="K290" s="461">
        <v>42736</v>
      </c>
      <c r="L290" s="55">
        <v>44551</v>
      </c>
      <c r="M290" s="611"/>
      <c r="N290" s="611"/>
      <c r="O290" s="611"/>
      <c r="P290" s="611"/>
      <c r="Q290" s="611"/>
      <c r="R290" s="611"/>
      <c r="S290" s="611"/>
      <c r="T290" s="643"/>
      <c r="U290" s="611"/>
      <c r="V290" s="611" t="s">
        <v>132</v>
      </c>
      <c r="W290" s="611"/>
      <c r="X290" s="611"/>
      <c r="Y290" s="611"/>
      <c r="Z290" s="611"/>
      <c r="AA290" s="611"/>
      <c r="AB290" s="643"/>
      <c r="AC290" s="611"/>
      <c r="AD290" s="611"/>
      <c r="AE290" s="611"/>
      <c r="AF290" s="611"/>
      <c r="AG290" s="611"/>
      <c r="AH290" s="611"/>
      <c r="AI290" s="611"/>
      <c r="AJ290" s="611"/>
      <c r="AK290" s="611"/>
      <c r="AL290" s="611"/>
      <c r="AM290" s="643"/>
      <c r="AN290" s="611"/>
      <c r="AO290" s="611"/>
      <c r="AP29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0" s="565">
        <f>WWWW[[#This Row],[%Equitable and continuous access to sufficient quantity of safe drinking water]]*WWWW[[#This Row],[Total PoP ]]</f>
        <v>0</v>
      </c>
      <c r="AR29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0" s="565">
        <f>WWWW[[#This Row],[% Access to unimproved water points]]*WWWW[[#This Row],[Total PoP ]]</f>
        <v>0</v>
      </c>
      <c r="AT29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0" s="565">
        <f>WWWW[[#This Row],[HRP1]]/250</f>
        <v>0</v>
      </c>
      <c r="AW290" s="555">
        <f>1-WWWW[[#This Row],[% Equitable and continuous access to sufficient quantity of domestic water]]</f>
        <v>1</v>
      </c>
      <c r="AX290" s="565">
        <f>WWWW[[#This Row],[%equitable and continuous access to sufficient quantity of safe drinking and domestic water''s GAP]]*WWWW[[#This Row],[Total PoP ]]</f>
        <v>715</v>
      </c>
      <c r="AY290" s="557">
        <f>IF(WWWW[[#This Row],[Total required water points]]-WWWW[[#This Row],['#Water points coverage]]&lt;0,0,WWWW[[#This Row],[Total required water points]]-WWWW[[#This Row],['#Water points coverage]])</f>
        <v>3</v>
      </c>
      <c r="AZ290" s="557">
        <f>ROUND(IF(WWWW[[#This Row],[Total PoP ]]&lt;250,1,WWWW[[#This Row],[Total PoP ]]/250),0)</f>
        <v>3</v>
      </c>
      <c r="BA29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0" s="565">
        <f>WWWW[[#This Row],[% people access to functioning Latrine]]*WWWW[[#This Row],[Total PoP ]]</f>
        <v>0</v>
      </c>
      <c r="BC290" s="557">
        <f>WWWW[[#This Row],['#_of_Functioning_latrines_in_school]]*50</f>
        <v>0</v>
      </c>
      <c r="BD290" s="557">
        <f>ROUND((WWWW[[#This Row],[Total PoP ]]/6),0)</f>
        <v>119</v>
      </c>
      <c r="BE290" s="557">
        <f>IF(WWWW[[#This Row],[Total required Latrines]]-(WWWW[[#This Row],['#_of_sanitary_fly-proof_HH_latrines]])&lt;0,0,WWWW[[#This Row],[Total required Latrines]]-(WWWW[[#This Row],['#_of_sanitary_fly-proof_HH_latrines]]))</f>
        <v>119</v>
      </c>
      <c r="BF290" s="558">
        <f>1-WWWW[[#This Row],[% people access to functioning Latrine]]</f>
        <v>1</v>
      </c>
      <c r="BG29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0" s="565">
        <f>IF(WWWW[[#This Row],['#_of_functional_handwashing_facilities_at_HH_level]]*6&gt;WWWW[[#This Row],[Total PoP ]],WWWW[[#This Row],[Total PoP ]],WWWW[[#This Row],['#_of_functional_handwashing_facilities_at_HH_level]]*6)</f>
        <v>0</v>
      </c>
      <c r="BI290" s="557">
        <f>IF(WWWW[[#This Row],['# people reached by regular dedicated hygiene promotion]]&gt;WWWW[[#This Row],['# People received regular supply of hygiene items]],WWWW[[#This Row],['# people reached by regular dedicated hygiene promotion]],WWWW[[#This Row],['# People received regular supply of hygiene items]])</f>
        <v>0</v>
      </c>
      <c r="BJ290" s="555">
        <f>IF(WWWW[[#This Row],[HRP3]]/WWWW[[#This Row],[Total PoP ]]&gt;100%,100%,WWWW[[#This Row],[HRP3]]/WWWW[[#This Row],[Total PoP ]])</f>
        <v>0</v>
      </c>
      <c r="BK290" s="558">
        <f>1-WWWW[[#This Row],[Hygiene Coverage%]]</f>
        <v>1</v>
      </c>
      <c r="BL290" s="556">
        <f>WWWW[[#This Row],['# people reached by regular dedicated hygiene promotion]]/WWWW[[#This Row],[Total PoP ]]</f>
        <v>0</v>
      </c>
      <c r="BM29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0" s="557">
        <f>WWWW[[#This Row],['#_of_affected_women_and_girls_receiving_a_sufficient_quantity_of_sanitary_pads]]</f>
        <v>0</v>
      </c>
      <c r="BO290" s="611">
        <f>IF(WWWW[[#This Row],['# People with access to soap]]&gt;WWWW[[#This Row],['# People with access to Sanity Pads]],WWWW[[#This Row],['# People with access to soap]],WWWW[[#This Row],['# People with access to Sanity Pads]])</f>
        <v>0</v>
      </c>
      <c r="BP290" s="565" t="str">
        <f>IF(OR(WWWW[[#This Row],['#of students in school]]="",WWWW[[#This Row],['#of students in school]]=0),"No","Yes")</f>
        <v>No</v>
      </c>
      <c r="BQ290" s="559" t="str">
        <f>VLOOKUP(WWWW[[#This Row],[Village  Name]],SiteDB6[[Site Name]:[Location Type 1]],9,FALSE)</f>
        <v>Village</v>
      </c>
      <c r="BR290" s="559" t="str">
        <f>VLOOKUP(WWWW[[#This Row],[Village  Name]],SiteDB6[[Site Name]:[Type of Accommodation]],10,FALSE)</f>
        <v>Village</v>
      </c>
      <c r="BS290" s="559">
        <f>VLOOKUP(WWWW[[#This Row],[Village  Name]],SiteDB6[[Site Name]:[Ethnic or GCA/NGCA]],11,FALSE)</f>
        <v>0</v>
      </c>
      <c r="BT290" s="559">
        <f>VLOOKUP(WWWW[[#This Row],[Village  Name]],SiteDB6[[Site Name]:[Lat]],12,FALSE)</f>
        <v>20.172649383544901</v>
      </c>
      <c r="BU290" s="559">
        <f>VLOOKUP(WWWW[[#This Row],[Village  Name]],SiteDB6[[Site Name]:[Long]],13,FALSE)</f>
        <v>92.874351501464801</v>
      </c>
      <c r="BV290" s="559">
        <f>VLOOKUP(WWWW[[#This Row],[Village  Name]],SiteDB6[[Site Name]:[Pcode]],3,FALSE)</f>
        <v>196195</v>
      </c>
      <c r="BW290" s="559" t="str">
        <f t="shared" si="11"/>
        <v>Covered</v>
      </c>
      <c r="BX290" s="587"/>
    </row>
    <row r="291" spans="1:76">
      <c r="A291" s="612" t="s">
        <v>2381</v>
      </c>
      <c r="B291" s="612" t="s">
        <v>316</v>
      </c>
      <c r="C291" s="457" t="s">
        <v>316</v>
      </c>
      <c r="D291" s="457" t="s">
        <v>329</v>
      </c>
      <c r="E291" s="551" t="s">
        <v>2687</v>
      </c>
      <c r="F291" s="457" t="s">
        <v>297</v>
      </c>
      <c r="G291" s="551" t="str">
        <f>VLOOKUP(WWWW[[#This Row],[Village  Name]],SiteDB6[[Site Name]:[Location Type]],8,FALSE)</f>
        <v>Village</v>
      </c>
      <c r="H291" s="457" t="s">
        <v>431</v>
      </c>
      <c r="I291" s="611">
        <v>381</v>
      </c>
      <c r="J291" s="611">
        <v>2256</v>
      </c>
      <c r="K291" s="461">
        <v>42736</v>
      </c>
      <c r="L291" s="55">
        <v>44551</v>
      </c>
      <c r="M291" s="611"/>
      <c r="N291" s="611"/>
      <c r="O291" s="611"/>
      <c r="P291" s="611"/>
      <c r="Q291" s="611"/>
      <c r="R291" s="611"/>
      <c r="S291" s="611"/>
      <c r="T291" s="643"/>
      <c r="U291" s="611"/>
      <c r="V291" s="611" t="s">
        <v>132</v>
      </c>
      <c r="W291" s="611"/>
      <c r="X291" s="611"/>
      <c r="Y291" s="611"/>
      <c r="Z291" s="611"/>
      <c r="AA291" s="611"/>
      <c r="AB291" s="643"/>
      <c r="AC291" s="611"/>
      <c r="AD291" s="611"/>
      <c r="AE291" s="611"/>
      <c r="AF291" s="611"/>
      <c r="AG291" s="611"/>
      <c r="AH291" s="611"/>
      <c r="AI291" s="611"/>
      <c r="AJ291" s="611"/>
      <c r="AK291" s="611"/>
      <c r="AL291" s="611"/>
      <c r="AM291" s="643"/>
      <c r="AN291" s="611"/>
      <c r="AO291" s="611"/>
      <c r="AP29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1" s="565">
        <f>WWWW[[#This Row],[%Equitable and continuous access to sufficient quantity of safe drinking water]]*WWWW[[#This Row],[Total PoP ]]</f>
        <v>0</v>
      </c>
      <c r="AR29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1" s="565">
        <f>WWWW[[#This Row],[% Access to unimproved water points]]*WWWW[[#This Row],[Total PoP ]]</f>
        <v>0</v>
      </c>
      <c r="AT29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1" s="565">
        <f>WWWW[[#This Row],[HRP1]]/250</f>
        <v>0</v>
      </c>
      <c r="AW291" s="555">
        <f>1-WWWW[[#This Row],[% Equitable and continuous access to sufficient quantity of domestic water]]</f>
        <v>1</v>
      </c>
      <c r="AX291" s="565">
        <f>WWWW[[#This Row],[%equitable and continuous access to sufficient quantity of safe drinking and domestic water''s GAP]]*WWWW[[#This Row],[Total PoP ]]</f>
        <v>2256</v>
      </c>
      <c r="AY291" s="557">
        <f>IF(WWWW[[#This Row],[Total required water points]]-WWWW[[#This Row],['#Water points coverage]]&lt;0,0,WWWW[[#This Row],[Total required water points]]-WWWW[[#This Row],['#Water points coverage]])</f>
        <v>9</v>
      </c>
      <c r="AZ291" s="557">
        <f>ROUND(IF(WWWW[[#This Row],[Total PoP ]]&lt;250,1,WWWW[[#This Row],[Total PoP ]]/250),0)</f>
        <v>9</v>
      </c>
      <c r="BA29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1" s="565">
        <f>WWWW[[#This Row],[% people access to functioning Latrine]]*WWWW[[#This Row],[Total PoP ]]</f>
        <v>0</v>
      </c>
      <c r="BC291" s="557">
        <f>WWWW[[#This Row],['#_of_Functioning_latrines_in_school]]*50</f>
        <v>0</v>
      </c>
      <c r="BD291" s="557">
        <f>ROUND((WWWW[[#This Row],[Total PoP ]]/6),0)</f>
        <v>376</v>
      </c>
      <c r="BE291" s="557">
        <f>IF(WWWW[[#This Row],[Total required Latrines]]-(WWWW[[#This Row],['#_of_sanitary_fly-proof_HH_latrines]])&lt;0,0,WWWW[[#This Row],[Total required Latrines]]-(WWWW[[#This Row],['#_of_sanitary_fly-proof_HH_latrines]]))</f>
        <v>376</v>
      </c>
      <c r="BF291" s="558">
        <f>1-WWWW[[#This Row],[% people access to functioning Latrine]]</f>
        <v>1</v>
      </c>
      <c r="BG29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1" s="565">
        <f>IF(WWWW[[#This Row],['#_of_functional_handwashing_facilities_at_HH_level]]*6&gt;WWWW[[#This Row],[Total PoP ]],WWWW[[#This Row],[Total PoP ]],WWWW[[#This Row],['#_of_functional_handwashing_facilities_at_HH_level]]*6)</f>
        <v>0</v>
      </c>
      <c r="BI291" s="557">
        <f>IF(WWWW[[#This Row],['# people reached by regular dedicated hygiene promotion]]&gt;WWWW[[#This Row],['# People received regular supply of hygiene items]],WWWW[[#This Row],['# people reached by regular dedicated hygiene promotion]],WWWW[[#This Row],['# People received regular supply of hygiene items]])</f>
        <v>0</v>
      </c>
      <c r="BJ291" s="555">
        <f>IF(WWWW[[#This Row],[HRP3]]/WWWW[[#This Row],[Total PoP ]]&gt;100%,100%,WWWW[[#This Row],[HRP3]]/WWWW[[#This Row],[Total PoP ]])</f>
        <v>0</v>
      </c>
      <c r="BK291" s="558">
        <f>1-WWWW[[#This Row],[Hygiene Coverage%]]</f>
        <v>1</v>
      </c>
      <c r="BL291" s="556">
        <f>WWWW[[#This Row],['# people reached by regular dedicated hygiene promotion]]/WWWW[[#This Row],[Total PoP ]]</f>
        <v>0</v>
      </c>
      <c r="BM29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1" s="557">
        <f>WWWW[[#This Row],['#_of_affected_women_and_girls_receiving_a_sufficient_quantity_of_sanitary_pads]]</f>
        <v>0</v>
      </c>
      <c r="BO291" s="611">
        <f>IF(WWWW[[#This Row],['# People with access to soap]]&gt;WWWW[[#This Row],['# People with access to Sanity Pads]],WWWW[[#This Row],['# People with access to soap]],WWWW[[#This Row],['# People with access to Sanity Pads]])</f>
        <v>0</v>
      </c>
      <c r="BP291" s="565" t="str">
        <f>IF(OR(WWWW[[#This Row],['#of students in school]]="",WWWW[[#This Row],['#of students in school]]=0),"No","Yes")</f>
        <v>No</v>
      </c>
      <c r="BQ291" s="559" t="str">
        <f>VLOOKUP(WWWW[[#This Row],[Village  Name]],SiteDB6[[Site Name]:[Location Type 1]],9,FALSE)</f>
        <v>Village</v>
      </c>
      <c r="BR291" s="559" t="str">
        <f>VLOOKUP(WWWW[[#This Row],[Village  Name]],SiteDB6[[Site Name]:[Type of Accommodation]],10,FALSE)</f>
        <v>Village</v>
      </c>
      <c r="BS291" s="559">
        <f>VLOOKUP(WWWW[[#This Row],[Village  Name]],SiteDB6[[Site Name]:[Ethnic or GCA/NGCA]],11,FALSE)</f>
        <v>0</v>
      </c>
      <c r="BT291" s="559">
        <f>VLOOKUP(WWWW[[#This Row],[Village  Name]],SiteDB6[[Site Name]:[Lat]],12,FALSE)</f>
        <v>20.183790210000002</v>
      </c>
      <c r="BU291" s="559">
        <f>VLOOKUP(WWWW[[#This Row],[Village  Name]],SiteDB6[[Site Name]:[Long]],13,FALSE)</f>
        <v>92.864143369999994</v>
      </c>
      <c r="BV291" s="559">
        <f>VLOOKUP(WWWW[[#This Row],[Village  Name]],SiteDB6[[Site Name]:[Pcode]],3,FALSE)</f>
        <v>196197</v>
      </c>
      <c r="BW291" s="559" t="str">
        <f t="shared" si="11"/>
        <v>Covered</v>
      </c>
      <c r="BX291" s="587"/>
    </row>
    <row r="292" spans="1:76">
      <c r="A292" s="612" t="s">
        <v>2381</v>
      </c>
      <c r="B292" s="612" t="s">
        <v>316</v>
      </c>
      <c r="C292" s="457" t="s">
        <v>316</v>
      </c>
      <c r="D292" s="457" t="s">
        <v>329</v>
      </c>
      <c r="E292" s="551" t="s">
        <v>2687</v>
      </c>
      <c r="F292" s="457" t="s">
        <v>297</v>
      </c>
      <c r="G292" s="551" t="str">
        <f>VLOOKUP(WWWW[[#This Row],[Village  Name]],SiteDB6[[Site Name]:[Location Type]],8,FALSE)</f>
        <v>Village</v>
      </c>
      <c r="H292" s="457" t="s">
        <v>2628</v>
      </c>
      <c r="I292" s="611">
        <v>2100</v>
      </c>
      <c r="J292" s="611">
        <v>12993</v>
      </c>
      <c r="K292" s="461">
        <v>42736</v>
      </c>
      <c r="L292" s="55">
        <v>44551</v>
      </c>
      <c r="M292" s="611"/>
      <c r="N292" s="611"/>
      <c r="O292" s="611"/>
      <c r="P292" s="611"/>
      <c r="Q292" s="611"/>
      <c r="R292" s="611"/>
      <c r="S292" s="611"/>
      <c r="T292" s="643"/>
      <c r="U292" s="611"/>
      <c r="V292" s="611" t="s">
        <v>132</v>
      </c>
      <c r="W292" s="611"/>
      <c r="X292" s="611"/>
      <c r="Y292" s="611"/>
      <c r="Z292" s="611"/>
      <c r="AA292" s="611"/>
      <c r="AB292" s="643"/>
      <c r="AC292" s="611"/>
      <c r="AD292" s="611"/>
      <c r="AE292" s="611"/>
      <c r="AF292" s="611"/>
      <c r="AG292" s="611"/>
      <c r="AH292" s="611"/>
      <c r="AI292" s="611"/>
      <c r="AJ292" s="611"/>
      <c r="AK292" s="611"/>
      <c r="AL292" s="611"/>
      <c r="AM292" s="643"/>
      <c r="AN292" s="611"/>
      <c r="AO292" s="611"/>
      <c r="AP29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2" s="565">
        <f>WWWW[[#This Row],[%Equitable and continuous access to sufficient quantity of safe drinking water]]*WWWW[[#This Row],[Total PoP ]]</f>
        <v>0</v>
      </c>
      <c r="AR29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2" s="565">
        <f>WWWW[[#This Row],[% Access to unimproved water points]]*WWWW[[#This Row],[Total PoP ]]</f>
        <v>0</v>
      </c>
      <c r="AT29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2" s="565">
        <f>WWWW[[#This Row],[HRP1]]/250</f>
        <v>0</v>
      </c>
      <c r="AW292" s="555">
        <f>1-WWWW[[#This Row],[% Equitable and continuous access to sufficient quantity of domestic water]]</f>
        <v>1</v>
      </c>
      <c r="AX292" s="565">
        <f>WWWW[[#This Row],[%equitable and continuous access to sufficient quantity of safe drinking and domestic water''s GAP]]*WWWW[[#This Row],[Total PoP ]]</f>
        <v>12993</v>
      </c>
      <c r="AY292" s="557">
        <f>IF(WWWW[[#This Row],[Total required water points]]-WWWW[[#This Row],['#Water points coverage]]&lt;0,0,WWWW[[#This Row],[Total required water points]]-WWWW[[#This Row],['#Water points coverage]])</f>
        <v>52</v>
      </c>
      <c r="AZ292" s="557">
        <f>ROUND(IF(WWWW[[#This Row],[Total PoP ]]&lt;250,1,WWWW[[#This Row],[Total PoP ]]/250),0)</f>
        <v>52</v>
      </c>
      <c r="BA29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2" s="565">
        <f>WWWW[[#This Row],[% people access to functioning Latrine]]*WWWW[[#This Row],[Total PoP ]]</f>
        <v>0</v>
      </c>
      <c r="BC292" s="557">
        <f>WWWW[[#This Row],['#_of_Functioning_latrines_in_school]]*50</f>
        <v>0</v>
      </c>
      <c r="BD292" s="557">
        <f>ROUND((WWWW[[#This Row],[Total PoP ]]/6),0)</f>
        <v>2166</v>
      </c>
      <c r="BE292" s="557">
        <f>IF(WWWW[[#This Row],[Total required Latrines]]-(WWWW[[#This Row],['#_of_sanitary_fly-proof_HH_latrines]])&lt;0,0,WWWW[[#This Row],[Total required Latrines]]-(WWWW[[#This Row],['#_of_sanitary_fly-proof_HH_latrines]]))</f>
        <v>2166</v>
      </c>
      <c r="BF292" s="558">
        <f>1-WWWW[[#This Row],[% people access to functioning Latrine]]</f>
        <v>1</v>
      </c>
      <c r="BG29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2" s="565">
        <f>IF(WWWW[[#This Row],['#_of_functional_handwashing_facilities_at_HH_level]]*6&gt;WWWW[[#This Row],[Total PoP ]],WWWW[[#This Row],[Total PoP ]],WWWW[[#This Row],['#_of_functional_handwashing_facilities_at_HH_level]]*6)</f>
        <v>0</v>
      </c>
      <c r="BI292" s="557">
        <f>IF(WWWW[[#This Row],['# people reached by regular dedicated hygiene promotion]]&gt;WWWW[[#This Row],['# People received regular supply of hygiene items]],WWWW[[#This Row],['# people reached by regular dedicated hygiene promotion]],WWWW[[#This Row],['# People received regular supply of hygiene items]])</f>
        <v>0</v>
      </c>
      <c r="BJ292" s="555">
        <f>IF(WWWW[[#This Row],[HRP3]]/WWWW[[#This Row],[Total PoP ]]&gt;100%,100%,WWWW[[#This Row],[HRP3]]/WWWW[[#This Row],[Total PoP ]])</f>
        <v>0</v>
      </c>
      <c r="BK292" s="558">
        <f>1-WWWW[[#This Row],[Hygiene Coverage%]]</f>
        <v>1</v>
      </c>
      <c r="BL292" s="556">
        <f>WWWW[[#This Row],['# people reached by regular dedicated hygiene promotion]]/WWWW[[#This Row],[Total PoP ]]</f>
        <v>0</v>
      </c>
      <c r="BM29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2" s="557">
        <f>WWWW[[#This Row],['#_of_affected_women_and_girls_receiving_a_sufficient_quantity_of_sanitary_pads]]</f>
        <v>0</v>
      </c>
      <c r="BO292" s="611">
        <f>IF(WWWW[[#This Row],['# People with access to soap]]&gt;WWWW[[#This Row],['# People with access to Sanity Pads]],WWWW[[#This Row],['# People with access to soap]],WWWW[[#This Row],['# People with access to Sanity Pads]])</f>
        <v>0</v>
      </c>
      <c r="BP292" s="565" t="str">
        <f>IF(OR(WWWW[[#This Row],['#of students in school]]="",WWWW[[#This Row],['#of students in school]]=0),"No","Yes")</f>
        <v>No</v>
      </c>
      <c r="BQ292" s="559" t="str">
        <f>VLOOKUP(WWWW[[#This Row],[Village  Name]],SiteDB6[[Site Name]:[Location Type 1]],9,FALSE)</f>
        <v>Village</v>
      </c>
      <c r="BR292" s="559" t="str">
        <f>VLOOKUP(WWWW[[#This Row],[Village  Name]],SiteDB6[[Site Name]:[Type of Accommodation]],10,FALSE)</f>
        <v>Village</v>
      </c>
      <c r="BS292" s="559" t="str">
        <f>VLOOKUP(WWWW[[#This Row],[Village  Name]],SiteDB6[[Site Name]:[Ethnic or GCA/NGCA]],11,FALSE)</f>
        <v>Muslim</v>
      </c>
      <c r="BT292" s="559">
        <f>VLOOKUP(WWWW[[#This Row],[Village  Name]],SiteDB6[[Site Name]:[Lat]],12,FALSE)</f>
        <v>0</v>
      </c>
      <c r="BU292" s="559">
        <f>VLOOKUP(WWWW[[#This Row],[Village  Name]],SiteDB6[[Site Name]:[Long]],13,FALSE)</f>
        <v>0</v>
      </c>
      <c r="BV292" s="559">
        <f>VLOOKUP(WWWW[[#This Row],[Village  Name]],SiteDB6[[Site Name]:[Pcode]],3,FALSE)</f>
        <v>0</v>
      </c>
      <c r="BW292" s="559" t="str">
        <f t="shared" si="11"/>
        <v>Covered</v>
      </c>
      <c r="BX292" s="587"/>
    </row>
    <row r="293" spans="1:76">
      <c r="A293" s="612" t="s">
        <v>2381</v>
      </c>
      <c r="B293" s="612" t="s">
        <v>316</v>
      </c>
      <c r="C293" s="457" t="s">
        <v>316</v>
      </c>
      <c r="D293" s="457" t="s">
        <v>309</v>
      </c>
      <c r="E293" s="551" t="s">
        <v>2687</v>
      </c>
      <c r="F293" s="457" t="s">
        <v>314</v>
      </c>
      <c r="G293" s="551" t="str">
        <f>VLOOKUP(WWWW[[#This Row],[Village  Name]],SiteDB6[[Site Name]:[Location Type]],8,FALSE)</f>
        <v>Village</v>
      </c>
      <c r="H293" s="457" t="s">
        <v>1135</v>
      </c>
      <c r="I293" s="611">
        <v>325</v>
      </c>
      <c r="J293" s="611">
        <v>1923</v>
      </c>
      <c r="K293" s="461">
        <v>42736</v>
      </c>
      <c r="L293" s="55">
        <v>44551</v>
      </c>
      <c r="M293" s="611"/>
      <c r="N293" s="611"/>
      <c r="O293" s="611"/>
      <c r="P293" s="611"/>
      <c r="Q293" s="611"/>
      <c r="R293" s="611"/>
      <c r="S293" s="611"/>
      <c r="T293" s="643"/>
      <c r="U293" s="611"/>
      <c r="V293" s="611" t="s">
        <v>132</v>
      </c>
      <c r="W293" s="611"/>
      <c r="X293" s="611"/>
      <c r="Y293" s="611"/>
      <c r="Z293" s="611"/>
      <c r="AA293" s="611"/>
      <c r="AB293" s="643"/>
      <c r="AC293" s="611"/>
      <c r="AD293" s="611"/>
      <c r="AE293" s="611"/>
      <c r="AF293" s="611"/>
      <c r="AG293" s="611"/>
      <c r="AH293" s="611"/>
      <c r="AI293" s="611"/>
      <c r="AJ293" s="611"/>
      <c r="AK293" s="611"/>
      <c r="AL293" s="611"/>
      <c r="AM293" s="643"/>
      <c r="AN293" s="611"/>
      <c r="AO293" s="611"/>
      <c r="AP29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3" s="565">
        <f>WWWW[[#This Row],[%Equitable and continuous access to sufficient quantity of safe drinking water]]*WWWW[[#This Row],[Total PoP ]]</f>
        <v>0</v>
      </c>
      <c r="AR29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3" s="565">
        <f>WWWW[[#This Row],[% Access to unimproved water points]]*WWWW[[#This Row],[Total PoP ]]</f>
        <v>0</v>
      </c>
      <c r="AT29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3" s="565">
        <f>WWWW[[#This Row],[HRP1]]/250</f>
        <v>0</v>
      </c>
      <c r="AW293" s="555">
        <f>1-WWWW[[#This Row],[% Equitable and continuous access to sufficient quantity of domestic water]]</f>
        <v>1</v>
      </c>
      <c r="AX293" s="565">
        <f>WWWW[[#This Row],[%equitable and continuous access to sufficient quantity of safe drinking and domestic water''s GAP]]*WWWW[[#This Row],[Total PoP ]]</f>
        <v>1923</v>
      </c>
      <c r="AY293" s="557">
        <f>IF(WWWW[[#This Row],[Total required water points]]-WWWW[[#This Row],['#Water points coverage]]&lt;0,0,WWWW[[#This Row],[Total required water points]]-WWWW[[#This Row],['#Water points coverage]])</f>
        <v>8</v>
      </c>
      <c r="AZ293" s="557">
        <f>ROUND(IF(WWWW[[#This Row],[Total PoP ]]&lt;250,1,WWWW[[#This Row],[Total PoP ]]/250),0)</f>
        <v>8</v>
      </c>
      <c r="BA29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3" s="565">
        <f>WWWW[[#This Row],[% people access to functioning Latrine]]*WWWW[[#This Row],[Total PoP ]]</f>
        <v>0</v>
      </c>
      <c r="BC293" s="557">
        <f>WWWW[[#This Row],['#_of_Functioning_latrines_in_school]]*50</f>
        <v>0</v>
      </c>
      <c r="BD293" s="557">
        <f>ROUND((WWWW[[#This Row],[Total PoP ]]/6),0)</f>
        <v>321</v>
      </c>
      <c r="BE293" s="557">
        <f>IF(WWWW[[#This Row],[Total required Latrines]]-(WWWW[[#This Row],['#_of_sanitary_fly-proof_HH_latrines]])&lt;0,0,WWWW[[#This Row],[Total required Latrines]]-(WWWW[[#This Row],['#_of_sanitary_fly-proof_HH_latrines]]))</f>
        <v>321</v>
      </c>
      <c r="BF293" s="558">
        <f>1-WWWW[[#This Row],[% people access to functioning Latrine]]</f>
        <v>1</v>
      </c>
      <c r="BG29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3" s="565">
        <f>IF(WWWW[[#This Row],['#_of_functional_handwashing_facilities_at_HH_level]]*6&gt;WWWW[[#This Row],[Total PoP ]],WWWW[[#This Row],[Total PoP ]],WWWW[[#This Row],['#_of_functional_handwashing_facilities_at_HH_level]]*6)</f>
        <v>0</v>
      </c>
      <c r="BI293" s="557">
        <f>IF(WWWW[[#This Row],['# people reached by regular dedicated hygiene promotion]]&gt;WWWW[[#This Row],['# People received regular supply of hygiene items]],WWWW[[#This Row],['# people reached by regular dedicated hygiene promotion]],WWWW[[#This Row],['# People received regular supply of hygiene items]])</f>
        <v>0</v>
      </c>
      <c r="BJ293" s="555">
        <f>IF(WWWW[[#This Row],[HRP3]]/WWWW[[#This Row],[Total PoP ]]&gt;100%,100%,WWWW[[#This Row],[HRP3]]/WWWW[[#This Row],[Total PoP ]])</f>
        <v>0</v>
      </c>
      <c r="BK293" s="558">
        <f>1-WWWW[[#This Row],[Hygiene Coverage%]]</f>
        <v>1</v>
      </c>
      <c r="BL293" s="556">
        <f>WWWW[[#This Row],['# people reached by regular dedicated hygiene promotion]]/WWWW[[#This Row],[Total PoP ]]</f>
        <v>0</v>
      </c>
      <c r="BM29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3" s="557">
        <f>WWWW[[#This Row],['#_of_affected_women_and_girls_receiving_a_sufficient_quantity_of_sanitary_pads]]</f>
        <v>0</v>
      </c>
      <c r="BO293" s="611">
        <f>IF(WWWW[[#This Row],['# People with access to soap]]&gt;WWWW[[#This Row],['# People with access to Sanity Pads]],WWWW[[#This Row],['# People with access to soap]],WWWW[[#This Row],['# People with access to Sanity Pads]])</f>
        <v>0</v>
      </c>
      <c r="BP293" s="565" t="str">
        <f>IF(OR(WWWW[[#This Row],['#of students in school]]="",WWWW[[#This Row],['#of students in school]]=0),"No","Yes")</f>
        <v>No</v>
      </c>
      <c r="BQ293" s="559" t="str">
        <f>VLOOKUP(WWWW[[#This Row],[Village  Name]],SiteDB6[[Site Name]:[Location Type 1]],9,FALSE)</f>
        <v>Village</v>
      </c>
      <c r="BR293" s="559" t="str">
        <f>VLOOKUP(WWWW[[#This Row],[Village  Name]],SiteDB6[[Site Name]:[Type of Accommodation]],10,FALSE)</f>
        <v>Village</v>
      </c>
      <c r="BS293" s="559" t="str">
        <f>VLOOKUP(WWWW[[#This Row],[Village  Name]],SiteDB6[[Site Name]:[Ethnic or GCA/NGCA]],11,FALSE)</f>
        <v>Muslim</v>
      </c>
      <c r="BT293" s="559">
        <f>VLOOKUP(WWWW[[#This Row],[Village  Name]],SiteDB6[[Site Name]:[Lat]],12,FALSE)</f>
        <v>0</v>
      </c>
      <c r="BU293" s="559">
        <f>VLOOKUP(WWWW[[#This Row],[Village  Name]],SiteDB6[[Site Name]:[Long]],13,FALSE)</f>
        <v>0</v>
      </c>
      <c r="BV293" s="559">
        <f>VLOOKUP(WWWW[[#This Row],[Village  Name]],SiteDB6[[Site Name]:[Pcode]],3,FALSE)</f>
        <v>196999</v>
      </c>
      <c r="BW293" s="559" t="str">
        <f t="shared" si="11"/>
        <v>Covered</v>
      </c>
      <c r="BX293" s="587"/>
    </row>
    <row r="294" spans="1:76">
      <c r="A294" s="612" t="s">
        <v>2381</v>
      </c>
      <c r="B294" s="612" t="s">
        <v>316</v>
      </c>
      <c r="C294" s="457" t="s">
        <v>316</v>
      </c>
      <c r="D294" s="457" t="s">
        <v>309</v>
      </c>
      <c r="E294" s="551" t="s">
        <v>2687</v>
      </c>
      <c r="F294" s="457" t="s">
        <v>314</v>
      </c>
      <c r="G294" s="551" t="str">
        <f>VLOOKUP(WWWW[[#This Row],[Village  Name]],SiteDB6[[Site Name]:[Location Type]],8,FALSE)</f>
        <v>Village</v>
      </c>
      <c r="H294" s="457" t="s">
        <v>2629</v>
      </c>
      <c r="I294" s="611">
        <v>146</v>
      </c>
      <c r="J294" s="611">
        <v>801</v>
      </c>
      <c r="K294" s="461">
        <v>42736</v>
      </c>
      <c r="L294" s="55">
        <v>44551</v>
      </c>
      <c r="M294" s="611"/>
      <c r="N294" s="611"/>
      <c r="O294" s="611"/>
      <c r="P294" s="611"/>
      <c r="Q294" s="611"/>
      <c r="R294" s="611"/>
      <c r="S294" s="611"/>
      <c r="T294" s="643"/>
      <c r="U294" s="611"/>
      <c r="V294" s="611" t="s">
        <v>132</v>
      </c>
      <c r="W294" s="611"/>
      <c r="X294" s="611"/>
      <c r="Y294" s="611"/>
      <c r="Z294" s="611"/>
      <c r="AA294" s="611"/>
      <c r="AB294" s="643"/>
      <c r="AC294" s="611"/>
      <c r="AD294" s="611"/>
      <c r="AE294" s="611"/>
      <c r="AF294" s="611"/>
      <c r="AG294" s="611"/>
      <c r="AH294" s="611"/>
      <c r="AI294" s="611"/>
      <c r="AJ294" s="611"/>
      <c r="AK294" s="611"/>
      <c r="AL294" s="611"/>
      <c r="AM294" s="643"/>
      <c r="AN294" s="611"/>
      <c r="AO294" s="611"/>
      <c r="AP29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4" s="565">
        <f>WWWW[[#This Row],[%Equitable and continuous access to sufficient quantity of safe drinking water]]*WWWW[[#This Row],[Total PoP ]]</f>
        <v>0</v>
      </c>
      <c r="AR29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4" s="565">
        <f>WWWW[[#This Row],[% Access to unimproved water points]]*WWWW[[#This Row],[Total PoP ]]</f>
        <v>0</v>
      </c>
      <c r="AT29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4" s="565">
        <f>WWWW[[#This Row],[HRP1]]/250</f>
        <v>0</v>
      </c>
      <c r="AW294" s="555">
        <f>1-WWWW[[#This Row],[% Equitable and continuous access to sufficient quantity of domestic water]]</f>
        <v>1</v>
      </c>
      <c r="AX294" s="565">
        <f>WWWW[[#This Row],[%equitable and continuous access to sufficient quantity of safe drinking and domestic water''s GAP]]*WWWW[[#This Row],[Total PoP ]]</f>
        <v>801</v>
      </c>
      <c r="AY294" s="557">
        <f>IF(WWWW[[#This Row],[Total required water points]]-WWWW[[#This Row],['#Water points coverage]]&lt;0,0,WWWW[[#This Row],[Total required water points]]-WWWW[[#This Row],['#Water points coverage]])</f>
        <v>3</v>
      </c>
      <c r="AZ294" s="557">
        <f>ROUND(IF(WWWW[[#This Row],[Total PoP ]]&lt;250,1,WWWW[[#This Row],[Total PoP ]]/250),0)</f>
        <v>3</v>
      </c>
      <c r="BA29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4" s="565">
        <f>WWWW[[#This Row],[% people access to functioning Latrine]]*WWWW[[#This Row],[Total PoP ]]</f>
        <v>0</v>
      </c>
      <c r="BC294" s="557">
        <f>WWWW[[#This Row],['#_of_Functioning_latrines_in_school]]*50</f>
        <v>0</v>
      </c>
      <c r="BD294" s="557">
        <f>ROUND((WWWW[[#This Row],[Total PoP ]]/6),0)</f>
        <v>134</v>
      </c>
      <c r="BE294" s="557">
        <f>IF(WWWW[[#This Row],[Total required Latrines]]-(WWWW[[#This Row],['#_of_sanitary_fly-proof_HH_latrines]])&lt;0,0,WWWW[[#This Row],[Total required Latrines]]-(WWWW[[#This Row],['#_of_sanitary_fly-proof_HH_latrines]]))</f>
        <v>134</v>
      </c>
      <c r="BF294" s="558">
        <f>1-WWWW[[#This Row],[% people access to functioning Latrine]]</f>
        <v>1</v>
      </c>
      <c r="BG29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4" s="565">
        <f>IF(WWWW[[#This Row],['#_of_functional_handwashing_facilities_at_HH_level]]*6&gt;WWWW[[#This Row],[Total PoP ]],WWWW[[#This Row],[Total PoP ]],WWWW[[#This Row],['#_of_functional_handwashing_facilities_at_HH_level]]*6)</f>
        <v>0</v>
      </c>
      <c r="BI294" s="557">
        <f>IF(WWWW[[#This Row],['# people reached by regular dedicated hygiene promotion]]&gt;WWWW[[#This Row],['# People received regular supply of hygiene items]],WWWW[[#This Row],['# people reached by regular dedicated hygiene promotion]],WWWW[[#This Row],['# People received regular supply of hygiene items]])</f>
        <v>0</v>
      </c>
      <c r="BJ294" s="555">
        <f>IF(WWWW[[#This Row],[HRP3]]/WWWW[[#This Row],[Total PoP ]]&gt;100%,100%,WWWW[[#This Row],[HRP3]]/WWWW[[#This Row],[Total PoP ]])</f>
        <v>0</v>
      </c>
      <c r="BK294" s="558">
        <f>1-WWWW[[#This Row],[Hygiene Coverage%]]</f>
        <v>1</v>
      </c>
      <c r="BL294" s="556">
        <f>WWWW[[#This Row],['# people reached by regular dedicated hygiene promotion]]/WWWW[[#This Row],[Total PoP ]]</f>
        <v>0</v>
      </c>
      <c r="BM29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4" s="557">
        <f>WWWW[[#This Row],['#_of_affected_women_and_girls_receiving_a_sufficient_quantity_of_sanitary_pads]]</f>
        <v>0</v>
      </c>
      <c r="BO294" s="611">
        <f>IF(WWWW[[#This Row],['# People with access to soap]]&gt;WWWW[[#This Row],['# People with access to Sanity Pads]],WWWW[[#This Row],['# People with access to soap]],WWWW[[#This Row],['# People with access to Sanity Pads]])</f>
        <v>0</v>
      </c>
      <c r="BP294" s="565" t="str">
        <f>IF(OR(WWWW[[#This Row],['#of students in school]]="",WWWW[[#This Row],['#of students in school]]=0),"No","Yes")</f>
        <v>No</v>
      </c>
      <c r="BQ294" s="559" t="str">
        <f>VLOOKUP(WWWW[[#This Row],[Village  Name]],SiteDB6[[Site Name]:[Location Type 1]],9,FALSE)</f>
        <v>Village</v>
      </c>
      <c r="BR294" s="559" t="str">
        <f>VLOOKUP(WWWW[[#This Row],[Village  Name]],SiteDB6[[Site Name]:[Type of Accommodation]],10,FALSE)</f>
        <v>Village</v>
      </c>
      <c r="BS294" s="559">
        <f>VLOOKUP(WWWW[[#This Row],[Village  Name]],SiteDB6[[Site Name]:[Ethnic or GCA/NGCA]],11,FALSE)</f>
        <v>0</v>
      </c>
      <c r="BT294" s="559">
        <f>VLOOKUP(WWWW[[#This Row],[Village  Name]],SiteDB6[[Site Name]:[Lat]],12,FALSE)</f>
        <v>0</v>
      </c>
      <c r="BU294" s="559">
        <f>VLOOKUP(WWWW[[#This Row],[Village  Name]],SiteDB6[[Site Name]:[Long]],13,FALSE)</f>
        <v>0</v>
      </c>
      <c r="BV294" s="559">
        <f>VLOOKUP(WWWW[[#This Row],[Village  Name]],SiteDB6[[Site Name]:[Pcode]],3,FALSE)</f>
        <v>197017</v>
      </c>
      <c r="BW294" s="559" t="str">
        <f t="shared" si="11"/>
        <v>Covered</v>
      </c>
      <c r="BX294" s="587"/>
    </row>
    <row r="295" spans="1:76">
      <c r="A295" s="612" t="s">
        <v>2381</v>
      </c>
      <c r="B295" s="612" t="s">
        <v>316</v>
      </c>
      <c r="C295" s="457" t="s">
        <v>316</v>
      </c>
      <c r="D295" s="457" t="s">
        <v>309</v>
      </c>
      <c r="E295" s="551" t="s">
        <v>2687</v>
      </c>
      <c r="F295" s="457" t="s">
        <v>314</v>
      </c>
      <c r="G295" s="551" t="str">
        <f>VLOOKUP(WWWW[[#This Row],[Village  Name]],SiteDB6[[Site Name]:[Location Type]],8,FALSE)</f>
        <v>Village</v>
      </c>
      <c r="H295" s="457" t="s">
        <v>2630</v>
      </c>
      <c r="I295" s="611">
        <v>31</v>
      </c>
      <c r="J295" s="611">
        <v>156</v>
      </c>
      <c r="K295" s="461">
        <v>42736</v>
      </c>
      <c r="L295" s="55">
        <v>44551</v>
      </c>
      <c r="M295" s="611"/>
      <c r="N295" s="611"/>
      <c r="O295" s="611"/>
      <c r="P295" s="611"/>
      <c r="Q295" s="611"/>
      <c r="R295" s="611"/>
      <c r="S295" s="611"/>
      <c r="T295" s="643"/>
      <c r="U295" s="611"/>
      <c r="V295" s="611" t="s">
        <v>132</v>
      </c>
      <c r="W295" s="611"/>
      <c r="X295" s="611"/>
      <c r="Y295" s="611"/>
      <c r="Z295" s="611"/>
      <c r="AA295" s="611"/>
      <c r="AB295" s="643"/>
      <c r="AC295" s="611"/>
      <c r="AD295" s="611"/>
      <c r="AE295" s="611"/>
      <c r="AF295" s="611"/>
      <c r="AG295" s="611"/>
      <c r="AH295" s="611"/>
      <c r="AI295" s="611"/>
      <c r="AJ295" s="611"/>
      <c r="AK295" s="611"/>
      <c r="AL295" s="611"/>
      <c r="AM295" s="643"/>
      <c r="AN295" s="611"/>
      <c r="AO295" s="611"/>
      <c r="AP29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5" s="565">
        <f>WWWW[[#This Row],[%Equitable and continuous access to sufficient quantity of safe drinking water]]*WWWW[[#This Row],[Total PoP ]]</f>
        <v>0</v>
      </c>
      <c r="AR29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5" s="565">
        <f>WWWW[[#This Row],[% Access to unimproved water points]]*WWWW[[#This Row],[Total PoP ]]</f>
        <v>0</v>
      </c>
      <c r="AT29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5" s="565">
        <f>WWWW[[#This Row],[HRP1]]/250</f>
        <v>0</v>
      </c>
      <c r="AW295" s="555">
        <f>1-WWWW[[#This Row],[% Equitable and continuous access to sufficient quantity of domestic water]]</f>
        <v>1</v>
      </c>
      <c r="AX295" s="565">
        <f>WWWW[[#This Row],[%equitable and continuous access to sufficient quantity of safe drinking and domestic water''s GAP]]*WWWW[[#This Row],[Total PoP ]]</f>
        <v>156</v>
      </c>
      <c r="AY295" s="557">
        <f>IF(WWWW[[#This Row],[Total required water points]]-WWWW[[#This Row],['#Water points coverage]]&lt;0,0,WWWW[[#This Row],[Total required water points]]-WWWW[[#This Row],['#Water points coverage]])</f>
        <v>1</v>
      </c>
      <c r="AZ295" s="557">
        <f>ROUND(IF(WWWW[[#This Row],[Total PoP ]]&lt;250,1,WWWW[[#This Row],[Total PoP ]]/250),0)</f>
        <v>1</v>
      </c>
      <c r="BA29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5" s="565">
        <f>WWWW[[#This Row],[% people access to functioning Latrine]]*WWWW[[#This Row],[Total PoP ]]</f>
        <v>0</v>
      </c>
      <c r="BC295" s="557">
        <f>WWWW[[#This Row],['#_of_Functioning_latrines_in_school]]*50</f>
        <v>0</v>
      </c>
      <c r="BD295" s="557">
        <f>ROUND((WWWW[[#This Row],[Total PoP ]]/6),0)</f>
        <v>26</v>
      </c>
      <c r="BE295" s="557">
        <f>IF(WWWW[[#This Row],[Total required Latrines]]-(WWWW[[#This Row],['#_of_sanitary_fly-proof_HH_latrines]])&lt;0,0,WWWW[[#This Row],[Total required Latrines]]-(WWWW[[#This Row],['#_of_sanitary_fly-proof_HH_latrines]]))</f>
        <v>26</v>
      </c>
      <c r="BF295" s="558">
        <f>1-WWWW[[#This Row],[% people access to functioning Latrine]]</f>
        <v>1</v>
      </c>
      <c r="BG29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5" s="565">
        <f>IF(WWWW[[#This Row],['#_of_functional_handwashing_facilities_at_HH_level]]*6&gt;WWWW[[#This Row],[Total PoP ]],WWWW[[#This Row],[Total PoP ]],WWWW[[#This Row],['#_of_functional_handwashing_facilities_at_HH_level]]*6)</f>
        <v>0</v>
      </c>
      <c r="BI295" s="557">
        <f>IF(WWWW[[#This Row],['# people reached by regular dedicated hygiene promotion]]&gt;WWWW[[#This Row],['# People received regular supply of hygiene items]],WWWW[[#This Row],['# people reached by regular dedicated hygiene promotion]],WWWW[[#This Row],['# People received regular supply of hygiene items]])</f>
        <v>0</v>
      </c>
      <c r="BJ295" s="555">
        <f>IF(WWWW[[#This Row],[HRP3]]/WWWW[[#This Row],[Total PoP ]]&gt;100%,100%,WWWW[[#This Row],[HRP3]]/WWWW[[#This Row],[Total PoP ]])</f>
        <v>0</v>
      </c>
      <c r="BK295" s="558">
        <f>1-WWWW[[#This Row],[Hygiene Coverage%]]</f>
        <v>1</v>
      </c>
      <c r="BL295" s="556">
        <f>WWWW[[#This Row],['# people reached by regular dedicated hygiene promotion]]/WWWW[[#This Row],[Total PoP ]]</f>
        <v>0</v>
      </c>
      <c r="BM29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5" s="557">
        <f>WWWW[[#This Row],['#_of_affected_women_and_girls_receiving_a_sufficient_quantity_of_sanitary_pads]]</f>
        <v>0</v>
      </c>
      <c r="BO295" s="611">
        <f>IF(WWWW[[#This Row],['# People with access to soap]]&gt;WWWW[[#This Row],['# People with access to Sanity Pads]],WWWW[[#This Row],['# People with access to soap]],WWWW[[#This Row],['# People with access to Sanity Pads]])</f>
        <v>0</v>
      </c>
      <c r="BP295" s="565" t="str">
        <f>IF(OR(WWWW[[#This Row],['#of students in school]]="",WWWW[[#This Row],['#of students in school]]=0),"No","Yes")</f>
        <v>No</v>
      </c>
      <c r="BQ295" s="559" t="str">
        <f>VLOOKUP(WWWW[[#This Row],[Village  Name]],SiteDB6[[Site Name]:[Location Type 1]],9,FALSE)</f>
        <v>Village</v>
      </c>
      <c r="BR295" s="559" t="str">
        <f>VLOOKUP(WWWW[[#This Row],[Village  Name]],SiteDB6[[Site Name]:[Type of Accommodation]],10,FALSE)</f>
        <v>Village</v>
      </c>
      <c r="BS295" s="559">
        <f>VLOOKUP(WWWW[[#This Row],[Village  Name]],SiteDB6[[Site Name]:[Ethnic or GCA/NGCA]],11,FALSE)</f>
        <v>0</v>
      </c>
      <c r="BT295" s="559">
        <f>VLOOKUP(WWWW[[#This Row],[Village  Name]],SiteDB6[[Site Name]:[Lat]],12,FALSE)</f>
        <v>0</v>
      </c>
      <c r="BU295" s="559">
        <f>VLOOKUP(WWWW[[#This Row],[Village  Name]],SiteDB6[[Site Name]:[Long]],13,FALSE)</f>
        <v>0</v>
      </c>
      <c r="BV295" s="559">
        <f>VLOOKUP(WWWW[[#This Row],[Village  Name]],SiteDB6[[Site Name]:[Pcode]],3,FALSE)</f>
        <v>197022</v>
      </c>
      <c r="BW295" s="559" t="str">
        <f t="shared" si="11"/>
        <v>Covered</v>
      </c>
      <c r="BX295" s="587"/>
    </row>
    <row r="296" spans="1:76">
      <c r="A296" s="612" t="s">
        <v>2381</v>
      </c>
      <c r="B296" s="612" t="s">
        <v>316</v>
      </c>
      <c r="C296" s="457" t="s">
        <v>316</v>
      </c>
      <c r="D296" s="457" t="s">
        <v>309</v>
      </c>
      <c r="E296" s="551" t="s">
        <v>2687</v>
      </c>
      <c r="F296" s="457" t="s">
        <v>314</v>
      </c>
      <c r="G296" s="551" t="str">
        <f>VLOOKUP(WWWW[[#This Row],[Village  Name]],SiteDB6[[Site Name]:[Location Type]],8,FALSE)</f>
        <v>Village</v>
      </c>
      <c r="H296" s="457" t="s">
        <v>2631</v>
      </c>
      <c r="I296" s="611">
        <v>96</v>
      </c>
      <c r="J296" s="611">
        <v>329</v>
      </c>
      <c r="K296" s="461">
        <v>42736</v>
      </c>
      <c r="L296" s="55">
        <v>44551</v>
      </c>
      <c r="M296" s="611"/>
      <c r="N296" s="611"/>
      <c r="O296" s="611"/>
      <c r="P296" s="611"/>
      <c r="Q296" s="611"/>
      <c r="R296" s="611"/>
      <c r="S296" s="611"/>
      <c r="T296" s="643"/>
      <c r="U296" s="611"/>
      <c r="V296" s="611" t="s">
        <v>132</v>
      </c>
      <c r="W296" s="611"/>
      <c r="X296" s="611"/>
      <c r="Y296" s="611"/>
      <c r="Z296" s="611"/>
      <c r="AA296" s="611"/>
      <c r="AB296" s="643"/>
      <c r="AC296" s="611"/>
      <c r="AD296" s="611"/>
      <c r="AE296" s="611"/>
      <c r="AF296" s="611"/>
      <c r="AG296" s="611"/>
      <c r="AH296" s="611"/>
      <c r="AI296" s="611"/>
      <c r="AJ296" s="611"/>
      <c r="AK296" s="611"/>
      <c r="AL296" s="611"/>
      <c r="AM296" s="643"/>
      <c r="AN296" s="611"/>
      <c r="AO296" s="611"/>
      <c r="AP29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6" s="565">
        <f>WWWW[[#This Row],[%Equitable and continuous access to sufficient quantity of safe drinking water]]*WWWW[[#This Row],[Total PoP ]]</f>
        <v>0</v>
      </c>
      <c r="AR29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6" s="565">
        <f>WWWW[[#This Row],[% Access to unimproved water points]]*WWWW[[#This Row],[Total PoP ]]</f>
        <v>0</v>
      </c>
      <c r="AT29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6" s="565">
        <f>WWWW[[#This Row],[HRP1]]/250</f>
        <v>0</v>
      </c>
      <c r="AW296" s="555">
        <f>1-WWWW[[#This Row],[% Equitable and continuous access to sufficient quantity of domestic water]]</f>
        <v>1</v>
      </c>
      <c r="AX296" s="565">
        <f>WWWW[[#This Row],[%equitable and continuous access to sufficient quantity of safe drinking and domestic water''s GAP]]*WWWW[[#This Row],[Total PoP ]]</f>
        <v>329</v>
      </c>
      <c r="AY296" s="557">
        <f>IF(WWWW[[#This Row],[Total required water points]]-WWWW[[#This Row],['#Water points coverage]]&lt;0,0,WWWW[[#This Row],[Total required water points]]-WWWW[[#This Row],['#Water points coverage]])</f>
        <v>1</v>
      </c>
      <c r="AZ296" s="557">
        <f>ROUND(IF(WWWW[[#This Row],[Total PoP ]]&lt;250,1,WWWW[[#This Row],[Total PoP ]]/250),0)</f>
        <v>1</v>
      </c>
      <c r="BA29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6" s="565">
        <f>WWWW[[#This Row],[% people access to functioning Latrine]]*WWWW[[#This Row],[Total PoP ]]</f>
        <v>0</v>
      </c>
      <c r="BC296" s="557">
        <f>WWWW[[#This Row],['#_of_Functioning_latrines_in_school]]*50</f>
        <v>0</v>
      </c>
      <c r="BD296" s="557">
        <f>ROUND((WWWW[[#This Row],[Total PoP ]]/6),0)</f>
        <v>55</v>
      </c>
      <c r="BE296" s="557">
        <f>IF(WWWW[[#This Row],[Total required Latrines]]-(WWWW[[#This Row],['#_of_sanitary_fly-proof_HH_latrines]])&lt;0,0,WWWW[[#This Row],[Total required Latrines]]-(WWWW[[#This Row],['#_of_sanitary_fly-proof_HH_latrines]]))</f>
        <v>55</v>
      </c>
      <c r="BF296" s="558">
        <f>1-WWWW[[#This Row],[% people access to functioning Latrine]]</f>
        <v>1</v>
      </c>
      <c r="BG29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6" s="565">
        <f>IF(WWWW[[#This Row],['#_of_functional_handwashing_facilities_at_HH_level]]*6&gt;WWWW[[#This Row],[Total PoP ]],WWWW[[#This Row],[Total PoP ]],WWWW[[#This Row],['#_of_functional_handwashing_facilities_at_HH_level]]*6)</f>
        <v>0</v>
      </c>
      <c r="BI296" s="557">
        <f>IF(WWWW[[#This Row],['# people reached by regular dedicated hygiene promotion]]&gt;WWWW[[#This Row],['# People received regular supply of hygiene items]],WWWW[[#This Row],['# people reached by regular dedicated hygiene promotion]],WWWW[[#This Row],['# People received regular supply of hygiene items]])</f>
        <v>0</v>
      </c>
      <c r="BJ296" s="555">
        <f>IF(WWWW[[#This Row],[HRP3]]/WWWW[[#This Row],[Total PoP ]]&gt;100%,100%,WWWW[[#This Row],[HRP3]]/WWWW[[#This Row],[Total PoP ]])</f>
        <v>0</v>
      </c>
      <c r="BK296" s="558">
        <f>1-WWWW[[#This Row],[Hygiene Coverage%]]</f>
        <v>1</v>
      </c>
      <c r="BL296" s="556">
        <f>WWWW[[#This Row],['# people reached by regular dedicated hygiene promotion]]/WWWW[[#This Row],[Total PoP ]]</f>
        <v>0</v>
      </c>
      <c r="BM29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6" s="557">
        <f>WWWW[[#This Row],['#_of_affected_women_and_girls_receiving_a_sufficient_quantity_of_sanitary_pads]]</f>
        <v>0</v>
      </c>
      <c r="BO296" s="611">
        <f>IF(WWWW[[#This Row],['# People with access to soap]]&gt;WWWW[[#This Row],['# People with access to Sanity Pads]],WWWW[[#This Row],['# People with access to soap]],WWWW[[#This Row],['# People with access to Sanity Pads]])</f>
        <v>0</v>
      </c>
      <c r="BP296" s="565" t="str">
        <f>IF(OR(WWWW[[#This Row],['#of students in school]]="",WWWW[[#This Row],['#of students in school]]=0),"No","Yes")</f>
        <v>No</v>
      </c>
      <c r="BQ296" s="559" t="str">
        <f>VLOOKUP(WWWW[[#This Row],[Village  Name]],SiteDB6[[Site Name]:[Location Type 1]],9,FALSE)</f>
        <v>Village</v>
      </c>
      <c r="BR296" s="559" t="str">
        <f>VLOOKUP(WWWW[[#This Row],[Village  Name]],SiteDB6[[Site Name]:[Type of Accommodation]],10,FALSE)</f>
        <v>Village</v>
      </c>
      <c r="BS296" s="559">
        <f>VLOOKUP(WWWW[[#This Row],[Village  Name]],SiteDB6[[Site Name]:[Ethnic or GCA/NGCA]],11,FALSE)</f>
        <v>0</v>
      </c>
      <c r="BT296" s="559">
        <f>VLOOKUP(WWWW[[#This Row],[Village  Name]],SiteDB6[[Site Name]:[Lat]],12,FALSE)</f>
        <v>0</v>
      </c>
      <c r="BU296" s="559">
        <f>VLOOKUP(WWWW[[#This Row],[Village  Name]],SiteDB6[[Site Name]:[Long]],13,FALSE)</f>
        <v>0</v>
      </c>
      <c r="BV296" s="559">
        <f>VLOOKUP(WWWW[[#This Row],[Village  Name]],SiteDB6[[Site Name]:[Pcode]],3,FALSE)</f>
        <v>197020</v>
      </c>
      <c r="BW296" s="559" t="str">
        <f t="shared" si="11"/>
        <v>Covered</v>
      </c>
      <c r="BX296" s="587"/>
    </row>
    <row r="297" spans="1:76">
      <c r="A297" s="612" t="s">
        <v>2381</v>
      </c>
      <c r="B297" s="612" t="s">
        <v>316</v>
      </c>
      <c r="C297" s="457" t="s">
        <v>316</v>
      </c>
      <c r="D297" s="457" t="s">
        <v>309</v>
      </c>
      <c r="E297" s="551" t="s">
        <v>2687</v>
      </c>
      <c r="F297" s="457" t="s">
        <v>314</v>
      </c>
      <c r="G297" s="551" t="str">
        <f>VLOOKUP(WWWW[[#This Row],[Village  Name]],SiteDB6[[Site Name]:[Location Type]],8,FALSE)</f>
        <v>Village</v>
      </c>
      <c r="H297" s="457" t="s">
        <v>2632</v>
      </c>
      <c r="I297" s="611">
        <v>37</v>
      </c>
      <c r="J297" s="611">
        <v>119</v>
      </c>
      <c r="K297" s="461">
        <v>42736</v>
      </c>
      <c r="L297" s="55">
        <v>44551</v>
      </c>
      <c r="M297" s="611"/>
      <c r="N297" s="611"/>
      <c r="O297" s="611"/>
      <c r="P297" s="611"/>
      <c r="Q297" s="611"/>
      <c r="R297" s="611"/>
      <c r="S297" s="611"/>
      <c r="T297" s="643"/>
      <c r="U297" s="611"/>
      <c r="V297" s="611" t="s">
        <v>132</v>
      </c>
      <c r="W297" s="611"/>
      <c r="X297" s="611"/>
      <c r="Y297" s="611"/>
      <c r="Z297" s="611"/>
      <c r="AA297" s="611"/>
      <c r="AB297" s="643"/>
      <c r="AC297" s="611"/>
      <c r="AD297" s="611"/>
      <c r="AE297" s="611"/>
      <c r="AF297" s="611"/>
      <c r="AG297" s="611"/>
      <c r="AH297" s="611"/>
      <c r="AI297" s="611"/>
      <c r="AJ297" s="611"/>
      <c r="AK297" s="611"/>
      <c r="AL297" s="611"/>
      <c r="AM297" s="643"/>
      <c r="AN297" s="611"/>
      <c r="AO297" s="611"/>
      <c r="AP29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7" s="565">
        <f>WWWW[[#This Row],[%Equitable and continuous access to sufficient quantity of safe drinking water]]*WWWW[[#This Row],[Total PoP ]]</f>
        <v>0</v>
      </c>
      <c r="AR29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7" s="565">
        <f>WWWW[[#This Row],[% Access to unimproved water points]]*WWWW[[#This Row],[Total PoP ]]</f>
        <v>0</v>
      </c>
      <c r="AT29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7" s="565">
        <f>WWWW[[#This Row],[HRP1]]/250</f>
        <v>0</v>
      </c>
      <c r="AW297" s="555">
        <f>1-WWWW[[#This Row],[% Equitable and continuous access to sufficient quantity of domestic water]]</f>
        <v>1</v>
      </c>
      <c r="AX297" s="565">
        <f>WWWW[[#This Row],[%equitable and continuous access to sufficient quantity of safe drinking and domestic water''s GAP]]*WWWW[[#This Row],[Total PoP ]]</f>
        <v>119</v>
      </c>
      <c r="AY297" s="557">
        <f>IF(WWWW[[#This Row],[Total required water points]]-WWWW[[#This Row],['#Water points coverage]]&lt;0,0,WWWW[[#This Row],[Total required water points]]-WWWW[[#This Row],['#Water points coverage]])</f>
        <v>1</v>
      </c>
      <c r="AZ297" s="557">
        <f>ROUND(IF(WWWW[[#This Row],[Total PoP ]]&lt;250,1,WWWW[[#This Row],[Total PoP ]]/250),0)</f>
        <v>1</v>
      </c>
      <c r="BA29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7" s="565">
        <f>WWWW[[#This Row],[% people access to functioning Latrine]]*WWWW[[#This Row],[Total PoP ]]</f>
        <v>0</v>
      </c>
      <c r="BC297" s="557">
        <f>WWWW[[#This Row],['#_of_Functioning_latrines_in_school]]*50</f>
        <v>0</v>
      </c>
      <c r="BD297" s="557">
        <f>ROUND((WWWW[[#This Row],[Total PoP ]]/6),0)</f>
        <v>20</v>
      </c>
      <c r="BE297" s="557">
        <f>IF(WWWW[[#This Row],[Total required Latrines]]-(WWWW[[#This Row],['#_of_sanitary_fly-proof_HH_latrines]])&lt;0,0,WWWW[[#This Row],[Total required Latrines]]-(WWWW[[#This Row],['#_of_sanitary_fly-proof_HH_latrines]]))</f>
        <v>20</v>
      </c>
      <c r="BF297" s="558">
        <f>1-WWWW[[#This Row],[% people access to functioning Latrine]]</f>
        <v>1</v>
      </c>
      <c r="BG29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7" s="565">
        <f>IF(WWWW[[#This Row],['#_of_functional_handwashing_facilities_at_HH_level]]*6&gt;WWWW[[#This Row],[Total PoP ]],WWWW[[#This Row],[Total PoP ]],WWWW[[#This Row],['#_of_functional_handwashing_facilities_at_HH_level]]*6)</f>
        <v>0</v>
      </c>
      <c r="BI297" s="557">
        <f>IF(WWWW[[#This Row],['# people reached by regular dedicated hygiene promotion]]&gt;WWWW[[#This Row],['# People received regular supply of hygiene items]],WWWW[[#This Row],['# people reached by regular dedicated hygiene promotion]],WWWW[[#This Row],['# People received regular supply of hygiene items]])</f>
        <v>0</v>
      </c>
      <c r="BJ297" s="555">
        <f>IF(WWWW[[#This Row],[HRP3]]/WWWW[[#This Row],[Total PoP ]]&gt;100%,100%,WWWW[[#This Row],[HRP3]]/WWWW[[#This Row],[Total PoP ]])</f>
        <v>0</v>
      </c>
      <c r="BK297" s="558">
        <f>1-WWWW[[#This Row],[Hygiene Coverage%]]</f>
        <v>1</v>
      </c>
      <c r="BL297" s="556">
        <f>WWWW[[#This Row],['# people reached by regular dedicated hygiene promotion]]/WWWW[[#This Row],[Total PoP ]]</f>
        <v>0</v>
      </c>
      <c r="BM29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7" s="557">
        <f>WWWW[[#This Row],['#_of_affected_women_and_girls_receiving_a_sufficient_quantity_of_sanitary_pads]]</f>
        <v>0</v>
      </c>
      <c r="BO297" s="611">
        <f>IF(WWWW[[#This Row],['# People with access to soap]]&gt;WWWW[[#This Row],['# People with access to Sanity Pads]],WWWW[[#This Row],['# People with access to soap]],WWWW[[#This Row],['# People with access to Sanity Pads]])</f>
        <v>0</v>
      </c>
      <c r="BP297" s="565" t="str">
        <f>IF(OR(WWWW[[#This Row],['#of students in school]]="",WWWW[[#This Row],['#of students in school]]=0),"No","Yes")</f>
        <v>No</v>
      </c>
      <c r="BQ297" s="559" t="str">
        <f>VLOOKUP(WWWW[[#This Row],[Village  Name]],SiteDB6[[Site Name]:[Location Type 1]],9,FALSE)</f>
        <v>Village</v>
      </c>
      <c r="BR297" s="559" t="str">
        <f>VLOOKUP(WWWW[[#This Row],[Village  Name]],SiteDB6[[Site Name]:[Type of Accommodation]],10,FALSE)</f>
        <v>Village</v>
      </c>
      <c r="BS297" s="559">
        <f>VLOOKUP(WWWW[[#This Row],[Village  Name]],SiteDB6[[Site Name]:[Ethnic or GCA/NGCA]],11,FALSE)</f>
        <v>0</v>
      </c>
      <c r="BT297" s="559">
        <f>VLOOKUP(WWWW[[#This Row],[Village  Name]],SiteDB6[[Site Name]:[Lat]],12,FALSE)</f>
        <v>0</v>
      </c>
      <c r="BU297" s="559">
        <f>VLOOKUP(WWWW[[#This Row],[Village  Name]],SiteDB6[[Site Name]:[Long]],13,FALSE)</f>
        <v>0</v>
      </c>
      <c r="BV297" s="559">
        <f>VLOOKUP(WWWW[[#This Row],[Village  Name]],SiteDB6[[Site Name]:[Pcode]],3,FALSE)</f>
        <v>197027</v>
      </c>
      <c r="BW297" s="559" t="str">
        <f t="shared" si="11"/>
        <v>Covered</v>
      </c>
      <c r="BX297" s="587"/>
    </row>
    <row r="298" spans="1:76">
      <c r="A298" s="612" t="s">
        <v>2381</v>
      </c>
      <c r="B298" s="612" t="s">
        <v>316</v>
      </c>
      <c r="C298" s="457" t="s">
        <v>316</v>
      </c>
      <c r="D298" s="457" t="s">
        <v>309</v>
      </c>
      <c r="E298" s="551" t="s">
        <v>2687</v>
      </c>
      <c r="F298" s="457" t="s">
        <v>314</v>
      </c>
      <c r="G298" s="551" t="str">
        <f>VLOOKUP(WWWW[[#This Row],[Village  Name]],SiteDB6[[Site Name]:[Location Type]],8,FALSE)</f>
        <v>Village</v>
      </c>
      <c r="H298" s="457" t="s">
        <v>2633</v>
      </c>
      <c r="I298" s="611">
        <v>167</v>
      </c>
      <c r="J298" s="611">
        <v>1027</v>
      </c>
      <c r="K298" s="461">
        <v>42736</v>
      </c>
      <c r="L298" s="55">
        <v>44551</v>
      </c>
      <c r="M298" s="611"/>
      <c r="N298" s="611"/>
      <c r="O298" s="611"/>
      <c r="P298" s="611"/>
      <c r="Q298" s="611"/>
      <c r="R298" s="611"/>
      <c r="S298" s="611"/>
      <c r="T298" s="643"/>
      <c r="U298" s="611"/>
      <c r="V298" s="611" t="s">
        <v>132</v>
      </c>
      <c r="W298" s="611"/>
      <c r="X298" s="611"/>
      <c r="Y298" s="611"/>
      <c r="Z298" s="611"/>
      <c r="AA298" s="611"/>
      <c r="AB298" s="643"/>
      <c r="AC298" s="611"/>
      <c r="AD298" s="611"/>
      <c r="AE298" s="611"/>
      <c r="AF298" s="611"/>
      <c r="AG298" s="611"/>
      <c r="AH298" s="611"/>
      <c r="AI298" s="611"/>
      <c r="AJ298" s="611"/>
      <c r="AK298" s="611"/>
      <c r="AL298" s="611"/>
      <c r="AM298" s="643"/>
      <c r="AN298" s="611"/>
      <c r="AO298" s="611"/>
      <c r="AP29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8" s="565">
        <f>WWWW[[#This Row],[%Equitable and continuous access to sufficient quantity of safe drinking water]]*WWWW[[#This Row],[Total PoP ]]</f>
        <v>0</v>
      </c>
      <c r="AR29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8" s="565">
        <f>WWWW[[#This Row],[% Access to unimproved water points]]*WWWW[[#This Row],[Total PoP ]]</f>
        <v>0</v>
      </c>
      <c r="AT29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8" s="565">
        <f>WWWW[[#This Row],[HRP1]]/250</f>
        <v>0</v>
      </c>
      <c r="AW298" s="555">
        <f>1-WWWW[[#This Row],[% Equitable and continuous access to sufficient quantity of domestic water]]</f>
        <v>1</v>
      </c>
      <c r="AX298" s="565">
        <f>WWWW[[#This Row],[%equitable and continuous access to sufficient quantity of safe drinking and domestic water''s GAP]]*WWWW[[#This Row],[Total PoP ]]</f>
        <v>1027</v>
      </c>
      <c r="AY298" s="557">
        <f>IF(WWWW[[#This Row],[Total required water points]]-WWWW[[#This Row],['#Water points coverage]]&lt;0,0,WWWW[[#This Row],[Total required water points]]-WWWW[[#This Row],['#Water points coverage]])</f>
        <v>4</v>
      </c>
      <c r="AZ298" s="557">
        <f>ROUND(IF(WWWW[[#This Row],[Total PoP ]]&lt;250,1,WWWW[[#This Row],[Total PoP ]]/250),0)</f>
        <v>4</v>
      </c>
      <c r="BA29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8" s="565">
        <f>WWWW[[#This Row],[% people access to functioning Latrine]]*WWWW[[#This Row],[Total PoP ]]</f>
        <v>0</v>
      </c>
      <c r="BC298" s="557">
        <f>WWWW[[#This Row],['#_of_Functioning_latrines_in_school]]*50</f>
        <v>0</v>
      </c>
      <c r="BD298" s="557">
        <f>ROUND((WWWW[[#This Row],[Total PoP ]]/6),0)</f>
        <v>171</v>
      </c>
      <c r="BE298" s="557">
        <f>IF(WWWW[[#This Row],[Total required Latrines]]-(WWWW[[#This Row],['#_of_sanitary_fly-proof_HH_latrines]])&lt;0,0,WWWW[[#This Row],[Total required Latrines]]-(WWWW[[#This Row],['#_of_sanitary_fly-proof_HH_latrines]]))</f>
        <v>171</v>
      </c>
      <c r="BF298" s="558">
        <f>1-WWWW[[#This Row],[% people access to functioning Latrine]]</f>
        <v>1</v>
      </c>
      <c r="BG29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8" s="565">
        <f>IF(WWWW[[#This Row],['#_of_functional_handwashing_facilities_at_HH_level]]*6&gt;WWWW[[#This Row],[Total PoP ]],WWWW[[#This Row],[Total PoP ]],WWWW[[#This Row],['#_of_functional_handwashing_facilities_at_HH_level]]*6)</f>
        <v>0</v>
      </c>
      <c r="BI298" s="557">
        <f>IF(WWWW[[#This Row],['# people reached by regular dedicated hygiene promotion]]&gt;WWWW[[#This Row],['# People received regular supply of hygiene items]],WWWW[[#This Row],['# people reached by regular dedicated hygiene promotion]],WWWW[[#This Row],['# People received regular supply of hygiene items]])</f>
        <v>0</v>
      </c>
      <c r="BJ298" s="555">
        <f>IF(WWWW[[#This Row],[HRP3]]/WWWW[[#This Row],[Total PoP ]]&gt;100%,100%,WWWW[[#This Row],[HRP3]]/WWWW[[#This Row],[Total PoP ]])</f>
        <v>0</v>
      </c>
      <c r="BK298" s="558">
        <f>1-WWWW[[#This Row],[Hygiene Coverage%]]</f>
        <v>1</v>
      </c>
      <c r="BL298" s="556">
        <f>WWWW[[#This Row],['# people reached by regular dedicated hygiene promotion]]/WWWW[[#This Row],[Total PoP ]]</f>
        <v>0</v>
      </c>
      <c r="BM29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8" s="557">
        <f>WWWW[[#This Row],['#_of_affected_women_and_girls_receiving_a_sufficient_quantity_of_sanitary_pads]]</f>
        <v>0</v>
      </c>
      <c r="BO298" s="611">
        <f>IF(WWWW[[#This Row],['# People with access to soap]]&gt;WWWW[[#This Row],['# People with access to Sanity Pads]],WWWW[[#This Row],['# People with access to soap]],WWWW[[#This Row],['# People with access to Sanity Pads]])</f>
        <v>0</v>
      </c>
      <c r="BP298" s="565" t="str">
        <f>IF(OR(WWWW[[#This Row],['#of students in school]]="",WWWW[[#This Row],['#of students in school]]=0),"No","Yes")</f>
        <v>No</v>
      </c>
      <c r="BQ298" s="559" t="str">
        <f>VLOOKUP(WWWW[[#This Row],[Village  Name]],SiteDB6[[Site Name]:[Location Type 1]],9,FALSE)</f>
        <v>Village</v>
      </c>
      <c r="BR298" s="559" t="str">
        <f>VLOOKUP(WWWW[[#This Row],[Village  Name]],SiteDB6[[Site Name]:[Type of Accommodation]],10,FALSE)</f>
        <v>Village</v>
      </c>
      <c r="BS298" s="559">
        <f>VLOOKUP(WWWW[[#This Row],[Village  Name]],SiteDB6[[Site Name]:[Ethnic or GCA/NGCA]],11,FALSE)</f>
        <v>0</v>
      </c>
      <c r="BT298" s="559">
        <f>VLOOKUP(WWWW[[#This Row],[Village  Name]],SiteDB6[[Site Name]:[Lat]],12,FALSE)</f>
        <v>0</v>
      </c>
      <c r="BU298" s="559">
        <f>VLOOKUP(WWWW[[#This Row],[Village  Name]],SiteDB6[[Site Name]:[Long]],13,FALSE)</f>
        <v>0</v>
      </c>
      <c r="BV298" s="559">
        <f>VLOOKUP(WWWW[[#This Row],[Village  Name]],SiteDB6[[Site Name]:[Pcode]],3,FALSE)</f>
        <v>197028</v>
      </c>
      <c r="BW298" s="559" t="str">
        <f t="shared" si="11"/>
        <v>Covered</v>
      </c>
      <c r="BX298" s="587"/>
    </row>
    <row r="299" spans="1:76">
      <c r="A299" s="612" t="s">
        <v>2381</v>
      </c>
      <c r="B299" s="612" t="s">
        <v>316</v>
      </c>
      <c r="C299" s="457" t="s">
        <v>316</v>
      </c>
      <c r="D299" s="457" t="s">
        <v>309</v>
      </c>
      <c r="E299" s="551" t="s">
        <v>2687</v>
      </c>
      <c r="F299" s="457" t="s">
        <v>314</v>
      </c>
      <c r="G299" s="551" t="str">
        <f>VLOOKUP(WWWW[[#This Row],[Village  Name]],SiteDB6[[Site Name]:[Location Type]],8,FALSE)</f>
        <v>Village</v>
      </c>
      <c r="H299" s="457" t="s">
        <v>2634</v>
      </c>
      <c r="I299" s="611">
        <v>90</v>
      </c>
      <c r="J299" s="611">
        <v>414</v>
      </c>
      <c r="K299" s="461">
        <v>42736</v>
      </c>
      <c r="L299" s="55">
        <v>44551</v>
      </c>
      <c r="M299" s="611"/>
      <c r="N299" s="611"/>
      <c r="O299" s="611"/>
      <c r="P299" s="611"/>
      <c r="Q299" s="611"/>
      <c r="R299" s="611"/>
      <c r="S299" s="611"/>
      <c r="T299" s="643"/>
      <c r="U299" s="611"/>
      <c r="V299" s="611" t="s">
        <v>132</v>
      </c>
      <c r="W299" s="611"/>
      <c r="X299" s="611"/>
      <c r="Y299" s="611"/>
      <c r="Z299" s="611"/>
      <c r="AA299" s="611"/>
      <c r="AB299" s="643"/>
      <c r="AC299" s="611"/>
      <c r="AD299" s="611"/>
      <c r="AE299" s="611"/>
      <c r="AF299" s="611"/>
      <c r="AG299" s="611"/>
      <c r="AH299" s="611"/>
      <c r="AI299" s="611"/>
      <c r="AJ299" s="611"/>
      <c r="AK299" s="611"/>
      <c r="AL299" s="611"/>
      <c r="AM299" s="643"/>
      <c r="AN299" s="611"/>
      <c r="AO299" s="611"/>
      <c r="AP29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299" s="565">
        <f>WWWW[[#This Row],[%Equitable and continuous access to sufficient quantity of safe drinking water]]*WWWW[[#This Row],[Total PoP ]]</f>
        <v>0</v>
      </c>
      <c r="AR29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299" s="565">
        <f>WWWW[[#This Row],[% Access to unimproved water points]]*WWWW[[#This Row],[Total PoP ]]</f>
        <v>0</v>
      </c>
      <c r="AT29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29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299" s="565">
        <f>WWWW[[#This Row],[HRP1]]/250</f>
        <v>0</v>
      </c>
      <c r="AW299" s="555">
        <f>1-WWWW[[#This Row],[% Equitable and continuous access to sufficient quantity of domestic water]]</f>
        <v>1</v>
      </c>
      <c r="AX299" s="565">
        <f>WWWW[[#This Row],[%equitable and continuous access to sufficient quantity of safe drinking and domestic water''s GAP]]*WWWW[[#This Row],[Total PoP ]]</f>
        <v>414</v>
      </c>
      <c r="AY299" s="557">
        <f>IF(WWWW[[#This Row],[Total required water points]]-WWWW[[#This Row],['#Water points coverage]]&lt;0,0,WWWW[[#This Row],[Total required water points]]-WWWW[[#This Row],['#Water points coverage]])</f>
        <v>2</v>
      </c>
      <c r="AZ299" s="557">
        <f>ROUND(IF(WWWW[[#This Row],[Total PoP ]]&lt;250,1,WWWW[[#This Row],[Total PoP ]]/250),0)</f>
        <v>2</v>
      </c>
      <c r="BA29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299" s="565">
        <f>WWWW[[#This Row],[% people access to functioning Latrine]]*WWWW[[#This Row],[Total PoP ]]</f>
        <v>0</v>
      </c>
      <c r="BC299" s="557">
        <f>WWWW[[#This Row],['#_of_Functioning_latrines_in_school]]*50</f>
        <v>0</v>
      </c>
      <c r="BD299" s="557">
        <f>ROUND((WWWW[[#This Row],[Total PoP ]]/6),0)</f>
        <v>69</v>
      </c>
      <c r="BE299" s="557">
        <f>IF(WWWW[[#This Row],[Total required Latrines]]-(WWWW[[#This Row],['#_of_sanitary_fly-proof_HH_latrines]])&lt;0,0,WWWW[[#This Row],[Total required Latrines]]-(WWWW[[#This Row],['#_of_sanitary_fly-proof_HH_latrines]]))</f>
        <v>69</v>
      </c>
      <c r="BF299" s="558">
        <f>1-WWWW[[#This Row],[% people access to functioning Latrine]]</f>
        <v>1</v>
      </c>
      <c r="BG29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299" s="565">
        <f>IF(WWWW[[#This Row],['#_of_functional_handwashing_facilities_at_HH_level]]*6&gt;WWWW[[#This Row],[Total PoP ]],WWWW[[#This Row],[Total PoP ]],WWWW[[#This Row],['#_of_functional_handwashing_facilities_at_HH_level]]*6)</f>
        <v>0</v>
      </c>
      <c r="BI299" s="557">
        <f>IF(WWWW[[#This Row],['# people reached by regular dedicated hygiene promotion]]&gt;WWWW[[#This Row],['# People received regular supply of hygiene items]],WWWW[[#This Row],['# people reached by regular dedicated hygiene promotion]],WWWW[[#This Row],['# People received regular supply of hygiene items]])</f>
        <v>0</v>
      </c>
      <c r="BJ299" s="555">
        <f>IF(WWWW[[#This Row],[HRP3]]/WWWW[[#This Row],[Total PoP ]]&gt;100%,100%,WWWW[[#This Row],[HRP3]]/WWWW[[#This Row],[Total PoP ]])</f>
        <v>0</v>
      </c>
      <c r="BK299" s="558">
        <f>1-WWWW[[#This Row],[Hygiene Coverage%]]</f>
        <v>1</v>
      </c>
      <c r="BL299" s="556">
        <f>WWWW[[#This Row],['# people reached by regular dedicated hygiene promotion]]/WWWW[[#This Row],[Total PoP ]]</f>
        <v>0</v>
      </c>
      <c r="BM29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299" s="557">
        <f>WWWW[[#This Row],['#_of_affected_women_and_girls_receiving_a_sufficient_quantity_of_sanitary_pads]]</f>
        <v>0</v>
      </c>
      <c r="BO299" s="611">
        <f>IF(WWWW[[#This Row],['# People with access to soap]]&gt;WWWW[[#This Row],['# People with access to Sanity Pads]],WWWW[[#This Row],['# People with access to soap]],WWWW[[#This Row],['# People with access to Sanity Pads]])</f>
        <v>0</v>
      </c>
      <c r="BP299" s="565" t="str">
        <f>IF(OR(WWWW[[#This Row],['#of students in school]]="",WWWW[[#This Row],['#of students in school]]=0),"No","Yes")</f>
        <v>No</v>
      </c>
      <c r="BQ299" s="559" t="str">
        <f>VLOOKUP(WWWW[[#This Row],[Village  Name]],SiteDB6[[Site Name]:[Location Type 1]],9,FALSE)</f>
        <v>Village</v>
      </c>
      <c r="BR299" s="559" t="str">
        <f>VLOOKUP(WWWW[[#This Row],[Village  Name]],SiteDB6[[Site Name]:[Type of Accommodation]],10,FALSE)</f>
        <v>Village</v>
      </c>
      <c r="BS299" s="559">
        <f>VLOOKUP(WWWW[[#This Row],[Village  Name]],SiteDB6[[Site Name]:[Ethnic or GCA/NGCA]],11,FALSE)</f>
        <v>0</v>
      </c>
      <c r="BT299" s="559">
        <f>VLOOKUP(WWWW[[#This Row],[Village  Name]],SiteDB6[[Site Name]:[Lat]],12,FALSE)</f>
        <v>0</v>
      </c>
      <c r="BU299" s="559">
        <f>VLOOKUP(WWWW[[#This Row],[Village  Name]],SiteDB6[[Site Name]:[Long]],13,FALSE)</f>
        <v>0</v>
      </c>
      <c r="BV299" s="559">
        <f>VLOOKUP(WWWW[[#This Row],[Village  Name]],SiteDB6[[Site Name]:[Pcode]],3,FALSE)</f>
        <v>197034</v>
      </c>
      <c r="BW299" s="559" t="str">
        <f t="shared" si="11"/>
        <v>Covered</v>
      </c>
      <c r="BX299" s="587"/>
    </row>
    <row r="300" spans="1:76">
      <c r="A300" s="612" t="s">
        <v>2381</v>
      </c>
      <c r="B300" s="612" t="s">
        <v>316</v>
      </c>
      <c r="C300" s="457" t="s">
        <v>316</v>
      </c>
      <c r="D300" s="457" t="s">
        <v>309</v>
      </c>
      <c r="E300" s="551" t="s">
        <v>2687</v>
      </c>
      <c r="F300" s="457" t="s">
        <v>314</v>
      </c>
      <c r="G300" s="551" t="str">
        <f>VLOOKUP(WWWW[[#This Row],[Village  Name]],SiteDB6[[Site Name]:[Location Type]],8,FALSE)</f>
        <v>Village</v>
      </c>
      <c r="H300" s="457" t="s">
        <v>2635</v>
      </c>
      <c r="I300" s="611">
        <v>78</v>
      </c>
      <c r="J300" s="611">
        <v>308</v>
      </c>
      <c r="K300" s="461">
        <v>42736</v>
      </c>
      <c r="L300" s="55">
        <v>44551</v>
      </c>
      <c r="M300" s="611"/>
      <c r="N300" s="611"/>
      <c r="O300" s="611"/>
      <c r="P300" s="611"/>
      <c r="Q300" s="611"/>
      <c r="R300" s="611"/>
      <c r="S300" s="611"/>
      <c r="T300" s="643"/>
      <c r="U300" s="611"/>
      <c r="V300" s="611" t="s">
        <v>132</v>
      </c>
      <c r="W300" s="611"/>
      <c r="X300" s="611"/>
      <c r="Y300" s="611"/>
      <c r="Z300" s="611"/>
      <c r="AA300" s="611"/>
      <c r="AB300" s="643"/>
      <c r="AC300" s="611"/>
      <c r="AD300" s="611"/>
      <c r="AE300" s="611"/>
      <c r="AF300" s="611"/>
      <c r="AG300" s="611"/>
      <c r="AH300" s="611"/>
      <c r="AI300" s="611"/>
      <c r="AJ300" s="611"/>
      <c r="AK300" s="611"/>
      <c r="AL300" s="611"/>
      <c r="AM300" s="643"/>
      <c r="AN300" s="611"/>
      <c r="AO300" s="611"/>
      <c r="AP30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0" s="565">
        <f>WWWW[[#This Row],[%Equitable and continuous access to sufficient quantity of safe drinking water]]*WWWW[[#This Row],[Total PoP ]]</f>
        <v>0</v>
      </c>
      <c r="AR30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0" s="565">
        <f>WWWW[[#This Row],[% Access to unimproved water points]]*WWWW[[#This Row],[Total PoP ]]</f>
        <v>0</v>
      </c>
      <c r="AT30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0" s="565">
        <f>WWWW[[#This Row],[HRP1]]/250</f>
        <v>0</v>
      </c>
      <c r="AW300" s="555">
        <f>1-WWWW[[#This Row],[% Equitable and continuous access to sufficient quantity of domestic water]]</f>
        <v>1</v>
      </c>
      <c r="AX300" s="565">
        <f>WWWW[[#This Row],[%equitable and continuous access to sufficient quantity of safe drinking and domestic water''s GAP]]*WWWW[[#This Row],[Total PoP ]]</f>
        <v>308</v>
      </c>
      <c r="AY300" s="557">
        <f>IF(WWWW[[#This Row],[Total required water points]]-WWWW[[#This Row],['#Water points coverage]]&lt;0,0,WWWW[[#This Row],[Total required water points]]-WWWW[[#This Row],['#Water points coverage]])</f>
        <v>1</v>
      </c>
      <c r="AZ300" s="557">
        <f>ROUND(IF(WWWW[[#This Row],[Total PoP ]]&lt;250,1,WWWW[[#This Row],[Total PoP ]]/250),0)</f>
        <v>1</v>
      </c>
      <c r="BA30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0" s="565">
        <f>WWWW[[#This Row],[% people access to functioning Latrine]]*WWWW[[#This Row],[Total PoP ]]</f>
        <v>0</v>
      </c>
      <c r="BC300" s="557">
        <f>WWWW[[#This Row],['#_of_Functioning_latrines_in_school]]*50</f>
        <v>0</v>
      </c>
      <c r="BD300" s="557">
        <f>ROUND((WWWW[[#This Row],[Total PoP ]]/6),0)</f>
        <v>51</v>
      </c>
      <c r="BE300" s="557">
        <f>IF(WWWW[[#This Row],[Total required Latrines]]-(WWWW[[#This Row],['#_of_sanitary_fly-proof_HH_latrines]])&lt;0,0,WWWW[[#This Row],[Total required Latrines]]-(WWWW[[#This Row],['#_of_sanitary_fly-proof_HH_latrines]]))</f>
        <v>51</v>
      </c>
      <c r="BF300" s="558">
        <f>1-WWWW[[#This Row],[% people access to functioning Latrine]]</f>
        <v>1</v>
      </c>
      <c r="BG30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0" s="565">
        <f>IF(WWWW[[#This Row],['#_of_functional_handwashing_facilities_at_HH_level]]*6&gt;WWWW[[#This Row],[Total PoP ]],WWWW[[#This Row],[Total PoP ]],WWWW[[#This Row],['#_of_functional_handwashing_facilities_at_HH_level]]*6)</f>
        <v>0</v>
      </c>
      <c r="BI300" s="557">
        <f>IF(WWWW[[#This Row],['# people reached by regular dedicated hygiene promotion]]&gt;WWWW[[#This Row],['# People received regular supply of hygiene items]],WWWW[[#This Row],['# people reached by regular dedicated hygiene promotion]],WWWW[[#This Row],['# People received regular supply of hygiene items]])</f>
        <v>0</v>
      </c>
      <c r="BJ300" s="555">
        <f>IF(WWWW[[#This Row],[HRP3]]/WWWW[[#This Row],[Total PoP ]]&gt;100%,100%,WWWW[[#This Row],[HRP3]]/WWWW[[#This Row],[Total PoP ]])</f>
        <v>0</v>
      </c>
      <c r="BK300" s="558">
        <f>1-WWWW[[#This Row],[Hygiene Coverage%]]</f>
        <v>1</v>
      </c>
      <c r="BL300" s="556">
        <f>WWWW[[#This Row],['# people reached by regular dedicated hygiene promotion]]/WWWW[[#This Row],[Total PoP ]]</f>
        <v>0</v>
      </c>
      <c r="BM30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0" s="557">
        <f>WWWW[[#This Row],['#_of_affected_women_and_girls_receiving_a_sufficient_quantity_of_sanitary_pads]]</f>
        <v>0</v>
      </c>
      <c r="BO300" s="611">
        <f>IF(WWWW[[#This Row],['# People with access to soap]]&gt;WWWW[[#This Row],['# People with access to Sanity Pads]],WWWW[[#This Row],['# People with access to soap]],WWWW[[#This Row],['# People with access to Sanity Pads]])</f>
        <v>0</v>
      </c>
      <c r="BP300" s="565" t="str">
        <f>IF(OR(WWWW[[#This Row],['#of students in school]]="",WWWW[[#This Row],['#of students in school]]=0),"No","Yes")</f>
        <v>No</v>
      </c>
      <c r="BQ300" s="559" t="str">
        <f>VLOOKUP(WWWW[[#This Row],[Village  Name]],SiteDB6[[Site Name]:[Location Type 1]],9,FALSE)</f>
        <v>Village</v>
      </c>
      <c r="BR300" s="559" t="str">
        <f>VLOOKUP(WWWW[[#This Row],[Village  Name]],SiteDB6[[Site Name]:[Type of Accommodation]],10,FALSE)</f>
        <v>Village</v>
      </c>
      <c r="BS300" s="559">
        <f>VLOOKUP(WWWW[[#This Row],[Village  Name]],SiteDB6[[Site Name]:[Ethnic or GCA/NGCA]],11,FALSE)</f>
        <v>0</v>
      </c>
      <c r="BT300" s="559">
        <f>VLOOKUP(WWWW[[#This Row],[Village  Name]],SiteDB6[[Site Name]:[Lat]],12,FALSE)</f>
        <v>0</v>
      </c>
      <c r="BU300" s="559">
        <f>VLOOKUP(WWWW[[#This Row],[Village  Name]],SiteDB6[[Site Name]:[Long]],13,FALSE)</f>
        <v>0</v>
      </c>
      <c r="BV300" s="559">
        <f>VLOOKUP(WWWW[[#This Row],[Village  Name]],SiteDB6[[Site Name]:[Pcode]],3,FALSE)</f>
        <v>197036</v>
      </c>
      <c r="BW300" s="559" t="str">
        <f t="shared" si="11"/>
        <v>Covered</v>
      </c>
      <c r="BX300" s="587"/>
    </row>
    <row r="301" spans="1:76">
      <c r="A301" s="612" t="s">
        <v>2381</v>
      </c>
      <c r="B301" s="612" t="s">
        <v>316</v>
      </c>
      <c r="C301" s="457" t="s">
        <v>316</v>
      </c>
      <c r="D301" s="457" t="s">
        <v>309</v>
      </c>
      <c r="E301" s="551" t="s">
        <v>2687</v>
      </c>
      <c r="F301" s="457" t="s">
        <v>314</v>
      </c>
      <c r="G301" s="551" t="str">
        <f>VLOOKUP(WWWW[[#This Row],[Village  Name]],SiteDB6[[Site Name]:[Location Type]],8,FALSE)</f>
        <v>Village</v>
      </c>
      <c r="H301" s="457" t="s">
        <v>2636</v>
      </c>
      <c r="I301" s="611">
        <v>85</v>
      </c>
      <c r="J301" s="611">
        <v>413</v>
      </c>
      <c r="K301" s="461">
        <v>42736</v>
      </c>
      <c r="L301" s="55">
        <v>44551</v>
      </c>
      <c r="M301" s="611"/>
      <c r="N301" s="611"/>
      <c r="O301" s="611"/>
      <c r="P301" s="611"/>
      <c r="Q301" s="611"/>
      <c r="R301" s="611"/>
      <c r="S301" s="611"/>
      <c r="T301" s="643"/>
      <c r="U301" s="611"/>
      <c r="V301" s="611" t="s">
        <v>132</v>
      </c>
      <c r="W301" s="611"/>
      <c r="X301" s="611"/>
      <c r="Y301" s="611"/>
      <c r="Z301" s="611"/>
      <c r="AA301" s="611"/>
      <c r="AB301" s="643"/>
      <c r="AC301" s="611"/>
      <c r="AD301" s="611"/>
      <c r="AE301" s="611"/>
      <c r="AF301" s="611"/>
      <c r="AG301" s="611"/>
      <c r="AH301" s="611"/>
      <c r="AI301" s="611"/>
      <c r="AJ301" s="611"/>
      <c r="AK301" s="611"/>
      <c r="AL301" s="611"/>
      <c r="AM301" s="643"/>
      <c r="AN301" s="611"/>
      <c r="AO301" s="611"/>
      <c r="AP30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1" s="565">
        <f>WWWW[[#This Row],[%Equitable and continuous access to sufficient quantity of safe drinking water]]*WWWW[[#This Row],[Total PoP ]]</f>
        <v>0</v>
      </c>
      <c r="AR30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1" s="565">
        <f>WWWW[[#This Row],[% Access to unimproved water points]]*WWWW[[#This Row],[Total PoP ]]</f>
        <v>0</v>
      </c>
      <c r="AT30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1" s="565">
        <f>WWWW[[#This Row],[HRP1]]/250</f>
        <v>0</v>
      </c>
      <c r="AW301" s="555">
        <f>1-WWWW[[#This Row],[% Equitable and continuous access to sufficient quantity of domestic water]]</f>
        <v>1</v>
      </c>
      <c r="AX301" s="565">
        <f>WWWW[[#This Row],[%equitable and continuous access to sufficient quantity of safe drinking and domestic water''s GAP]]*WWWW[[#This Row],[Total PoP ]]</f>
        <v>413</v>
      </c>
      <c r="AY301" s="557">
        <f>IF(WWWW[[#This Row],[Total required water points]]-WWWW[[#This Row],['#Water points coverage]]&lt;0,0,WWWW[[#This Row],[Total required water points]]-WWWW[[#This Row],['#Water points coverage]])</f>
        <v>2</v>
      </c>
      <c r="AZ301" s="557">
        <f>ROUND(IF(WWWW[[#This Row],[Total PoP ]]&lt;250,1,WWWW[[#This Row],[Total PoP ]]/250),0)</f>
        <v>2</v>
      </c>
      <c r="BA30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1" s="565">
        <f>WWWW[[#This Row],[% people access to functioning Latrine]]*WWWW[[#This Row],[Total PoP ]]</f>
        <v>0</v>
      </c>
      <c r="BC301" s="557">
        <f>WWWW[[#This Row],['#_of_Functioning_latrines_in_school]]*50</f>
        <v>0</v>
      </c>
      <c r="BD301" s="557">
        <f>ROUND((WWWW[[#This Row],[Total PoP ]]/6),0)</f>
        <v>69</v>
      </c>
      <c r="BE301" s="557">
        <f>IF(WWWW[[#This Row],[Total required Latrines]]-(WWWW[[#This Row],['#_of_sanitary_fly-proof_HH_latrines]])&lt;0,0,WWWW[[#This Row],[Total required Latrines]]-(WWWW[[#This Row],['#_of_sanitary_fly-proof_HH_latrines]]))</f>
        <v>69</v>
      </c>
      <c r="BF301" s="558">
        <f>1-WWWW[[#This Row],[% people access to functioning Latrine]]</f>
        <v>1</v>
      </c>
      <c r="BG30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1" s="565">
        <f>IF(WWWW[[#This Row],['#_of_functional_handwashing_facilities_at_HH_level]]*6&gt;WWWW[[#This Row],[Total PoP ]],WWWW[[#This Row],[Total PoP ]],WWWW[[#This Row],['#_of_functional_handwashing_facilities_at_HH_level]]*6)</f>
        <v>0</v>
      </c>
      <c r="BI301" s="557">
        <f>IF(WWWW[[#This Row],['# people reached by regular dedicated hygiene promotion]]&gt;WWWW[[#This Row],['# People received regular supply of hygiene items]],WWWW[[#This Row],['# people reached by regular dedicated hygiene promotion]],WWWW[[#This Row],['# People received regular supply of hygiene items]])</f>
        <v>0</v>
      </c>
      <c r="BJ301" s="555">
        <f>IF(WWWW[[#This Row],[HRP3]]/WWWW[[#This Row],[Total PoP ]]&gt;100%,100%,WWWW[[#This Row],[HRP3]]/WWWW[[#This Row],[Total PoP ]])</f>
        <v>0</v>
      </c>
      <c r="BK301" s="558">
        <f>1-WWWW[[#This Row],[Hygiene Coverage%]]</f>
        <v>1</v>
      </c>
      <c r="BL301" s="556">
        <f>WWWW[[#This Row],['# people reached by regular dedicated hygiene promotion]]/WWWW[[#This Row],[Total PoP ]]</f>
        <v>0</v>
      </c>
      <c r="BM30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1" s="557">
        <f>WWWW[[#This Row],['#_of_affected_women_and_girls_receiving_a_sufficient_quantity_of_sanitary_pads]]</f>
        <v>0</v>
      </c>
      <c r="BO301" s="611">
        <f>IF(WWWW[[#This Row],['# People with access to soap]]&gt;WWWW[[#This Row],['# People with access to Sanity Pads]],WWWW[[#This Row],['# People with access to soap]],WWWW[[#This Row],['# People with access to Sanity Pads]])</f>
        <v>0</v>
      </c>
      <c r="BP301" s="565" t="str">
        <f>IF(OR(WWWW[[#This Row],['#of students in school]]="",WWWW[[#This Row],['#of students in school]]=0),"No","Yes")</f>
        <v>No</v>
      </c>
      <c r="BQ301" s="559" t="str">
        <f>VLOOKUP(WWWW[[#This Row],[Village  Name]],SiteDB6[[Site Name]:[Location Type 1]],9,FALSE)</f>
        <v>Village</v>
      </c>
      <c r="BR301" s="559" t="str">
        <f>VLOOKUP(WWWW[[#This Row],[Village  Name]],SiteDB6[[Site Name]:[Type of Accommodation]],10,FALSE)</f>
        <v>Village</v>
      </c>
      <c r="BS301" s="559">
        <f>VLOOKUP(WWWW[[#This Row],[Village  Name]],SiteDB6[[Site Name]:[Ethnic or GCA/NGCA]],11,FALSE)</f>
        <v>0</v>
      </c>
      <c r="BT301" s="559">
        <f>VLOOKUP(WWWW[[#This Row],[Village  Name]],SiteDB6[[Site Name]:[Lat]],12,FALSE)</f>
        <v>0</v>
      </c>
      <c r="BU301" s="559">
        <f>VLOOKUP(WWWW[[#This Row],[Village  Name]],SiteDB6[[Site Name]:[Long]],13,FALSE)</f>
        <v>0</v>
      </c>
      <c r="BV301" s="559">
        <f>VLOOKUP(WWWW[[#This Row],[Village  Name]],SiteDB6[[Site Name]:[Pcode]],3,FALSE)</f>
        <v>197033</v>
      </c>
      <c r="BW301" s="559" t="str">
        <f t="shared" si="11"/>
        <v>Covered</v>
      </c>
      <c r="BX301" s="587"/>
    </row>
    <row r="302" spans="1:76">
      <c r="A302" s="612" t="s">
        <v>2381</v>
      </c>
      <c r="B302" s="612" t="s">
        <v>316</v>
      </c>
      <c r="C302" s="457" t="s">
        <v>316</v>
      </c>
      <c r="D302" s="457" t="s">
        <v>309</v>
      </c>
      <c r="E302" s="551" t="s">
        <v>2687</v>
      </c>
      <c r="F302" s="457" t="s">
        <v>314</v>
      </c>
      <c r="G302" s="551" t="str">
        <f>VLOOKUP(WWWW[[#This Row],[Village  Name]],SiteDB6[[Site Name]:[Location Type]],8,FALSE)</f>
        <v>Village</v>
      </c>
      <c r="H302" s="457" t="s">
        <v>2637</v>
      </c>
      <c r="I302" s="611">
        <v>353</v>
      </c>
      <c r="J302" s="611">
        <v>2111</v>
      </c>
      <c r="K302" s="461">
        <v>42736</v>
      </c>
      <c r="L302" s="55">
        <v>44551</v>
      </c>
      <c r="M302" s="611"/>
      <c r="N302" s="611"/>
      <c r="O302" s="611"/>
      <c r="P302" s="611"/>
      <c r="Q302" s="611"/>
      <c r="R302" s="611"/>
      <c r="S302" s="611"/>
      <c r="T302" s="643"/>
      <c r="U302" s="611"/>
      <c r="V302" s="611" t="s">
        <v>132</v>
      </c>
      <c r="W302" s="611"/>
      <c r="X302" s="611"/>
      <c r="Y302" s="611"/>
      <c r="Z302" s="611"/>
      <c r="AA302" s="611"/>
      <c r="AB302" s="643"/>
      <c r="AC302" s="611"/>
      <c r="AD302" s="611"/>
      <c r="AE302" s="611"/>
      <c r="AF302" s="611"/>
      <c r="AG302" s="611"/>
      <c r="AH302" s="611"/>
      <c r="AI302" s="611"/>
      <c r="AJ302" s="611"/>
      <c r="AK302" s="611"/>
      <c r="AL302" s="611"/>
      <c r="AM302" s="643"/>
      <c r="AN302" s="611"/>
      <c r="AO302" s="611"/>
      <c r="AP30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2" s="565">
        <f>WWWW[[#This Row],[%Equitable and continuous access to sufficient quantity of safe drinking water]]*WWWW[[#This Row],[Total PoP ]]</f>
        <v>0</v>
      </c>
      <c r="AR30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2" s="565">
        <f>WWWW[[#This Row],[% Access to unimproved water points]]*WWWW[[#This Row],[Total PoP ]]</f>
        <v>0</v>
      </c>
      <c r="AT30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2" s="565">
        <f>WWWW[[#This Row],[HRP1]]/250</f>
        <v>0</v>
      </c>
      <c r="AW302" s="555">
        <f>1-WWWW[[#This Row],[% Equitable and continuous access to sufficient quantity of domestic water]]</f>
        <v>1</v>
      </c>
      <c r="AX302" s="565">
        <f>WWWW[[#This Row],[%equitable and continuous access to sufficient quantity of safe drinking and domestic water''s GAP]]*WWWW[[#This Row],[Total PoP ]]</f>
        <v>2111</v>
      </c>
      <c r="AY302" s="557">
        <f>IF(WWWW[[#This Row],[Total required water points]]-WWWW[[#This Row],['#Water points coverage]]&lt;0,0,WWWW[[#This Row],[Total required water points]]-WWWW[[#This Row],['#Water points coverage]])</f>
        <v>8</v>
      </c>
      <c r="AZ302" s="557">
        <f>ROUND(IF(WWWW[[#This Row],[Total PoP ]]&lt;250,1,WWWW[[#This Row],[Total PoP ]]/250),0)</f>
        <v>8</v>
      </c>
      <c r="BA30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2" s="565">
        <f>WWWW[[#This Row],[% people access to functioning Latrine]]*WWWW[[#This Row],[Total PoP ]]</f>
        <v>0</v>
      </c>
      <c r="BC302" s="557">
        <f>WWWW[[#This Row],['#_of_Functioning_latrines_in_school]]*50</f>
        <v>0</v>
      </c>
      <c r="BD302" s="557">
        <f>ROUND((WWWW[[#This Row],[Total PoP ]]/6),0)</f>
        <v>352</v>
      </c>
      <c r="BE302" s="557">
        <f>IF(WWWW[[#This Row],[Total required Latrines]]-(WWWW[[#This Row],['#_of_sanitary_fly-proof_HH_latrines]])&lt;0,0,WWWW[[#This Row],[Total required Latrines]]-(WWWW[[#This Row],['#_of_sanitary_fly-proof_HH_latrines]]))</f>
        <v>352</v>
      </c>
      <c r="BF302" s="558">
        <f>1-WWWW[[#This Row],[% people access to functioning Latrine]]</f>
        <v>1</v>
      </c>
      <c r="BG30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2" s="565">
        <f>IF(WWWW[[#This Row],['#_of_functional_handwashing_facilities_at_HH_level]]*6&gt;WWWW[[#This Row],[Total PoP ]],WWWW[[#This Row],[Total PoP ]],WWWW[[#This Row],['#_of_functional_handwashing_facilities_at_HH_level]]*6)</f>
        <v>0</v>
      </c>
      <c r="BI302" s="557">
        <f>IF(WWWW[[#This Row],['# people reached by regular dedicated hygiene promotion]]&gt;WWWW[[#This Row],['# People received regular supply of hygiene items]],WWWW[[#This Row],['# people reached by regular dedicated hygiene promotion]],WWWW[[#This Row],['# People received regular supply of hygiene items]])</f>
        <v>0</v>
      </c>
      <c r="BJ302" s="555">
        <f>IF(WWWW[[#This Row],[HRP3]]/WWWW[[#This Row],[Total PoP ]]&gt;100%,100%,WWWW[[#This Row],[HRP3]]/WWWW[[#This Row],[Total PoP ]])</f>
        <v>0</v>
      </c>
      <c r="BK302" s="558">
        <f>1-WWWW[[#This Row],[Hygiene Coverage%]]</f>
        <v>1</v>
      </c>
      <c r="BL302" s="556">
        <f>WWWW[[#This Row],['# people reached by regular dedicated hygiene promotion]]/WWWW[[#This Row],[Total PoP ]]</f>
        <v>0</v>
      </c>
      <c r="BM30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2" s="557">
        <f>WWWW[[#This Row],['#_of_affected_women_and_girls_receiving_a_sufficient_quantity_of_sanitary_pads]]</f>
        <v>0</v>
      </c>
      <c r="BO302" s="611">
        <f>IF(WWWW[[#This Row],['# People with access to soap]]&gt;WWWW[[#This Row],['# People with access to Sanity Pads]],WWWW[[#This Row],['# People with access to soap]],WWWW[[#This Row],['# People with access to Sanity Pads]])</f>
        <v>0</v>
      </c>
      <c r="BP302" s="565" t="str">
        <f>IF(OR(WWWW[[#This Row],['#of students in school]]="",WWWW[[#This Row],['#of students in school]]=0),"No","Yes")</f>
        <v>No</v>
      </c>
      <c r="BQ302" s="559" t="str">
        <f>VLOOKUP(WWWW[[#This Row],[Village  Name]],SiteDB6[[Site Name]:[Location Type 1]],9,FALSE)</f>
        <v>Village</v>
      </c>
      <c r="BR302" s="559" t="str">
        <f>VLOOKUP(WWWW[[#This Row],[Village  Name]],SiteDB6[[Site Name]:[Type of Accommodation]],10,FALSE)</f>
        <v>Village</v>
      </c>
      <c r="BS302" s="559">
        <f>VLOOKUP(WWWW[[#This Row],[Village  Name]],SiteDB6[[Site Name]:[Ethnic or GCA/NGCA]],11,FALSE)</f>
        <v>0</v>
      </c>
      <c r="BT302" s="559">
        <f>VLOOKUP(WWWW[[#This Row],[Village  Name]],SiteDB6[[Site Name]:[Lat]],12,FALSE)</f>
        <v>0</v>
      </c>
      <c r="BU302" s="559">
        <f>VLOOKUP(WWWW[[#This Row],[Village  Name]],SiteDB6[[Site Name]:[Long]],13,FALSE)</f>
        <v>0</v>
      </c>
      <c r="BV302" s="559">
        <f>VLOOKUP(WWWW[[#This Row],[Village  Name]],SiteDB6[[Site Name]:[Pcode]],3,FALSE)</f>
        <v>197040</v>
      </c>
      <c r="BW302" s="559" t="str">
        <f t="shared" si="11"/>
        <v>Covered</v>
      </c>
      <c r="BX302" s="587"/>
    </row>
    <row r="303" spans="1:76">
      <c r="A303" s="612" t="s">
        <v>2381</v>
      </c>
      <c r="B303" s="612" t="s">
        <v>316</v>
      </c>
      <c r="C303" s="457" t="s">
        <v>316</v>
      </c>
      <c r="D303" s="457" t="s">
        <v>309</v>
      </c>
      <c r="E303" s="551" t="s">
        <v>2687</v>
      </c>
      <c r="F303" s="457" t="s">
        <v>314</v>
      </c>
      <c r="G303" s="551" t="str">
        <f>VLOOKUP(WWWW[[#This Row],[Village  Name]],SiteDB6[[Site Name]:[Location Type]],8,FALSE)</f>
        <v>Village</v>
      </c>
      <c r="H303" s="457" t="s">
        <v>2638</v>
      </c>
      <c r="I303" s="611">
        <v>295</v>
      </c>
      <c r="J303" s="611">
        <v>1698</v>
      </c>
      <c r="K303" s="461">
        <v>42736</v>
      </c>
      <c r="L303" s="55">
        <v>44551</v>
      </c>
      <c r="M303" s="611"/>
      <c r="N303" s="611"/>
      <c r="O303" s="611"/>
      <c r="P303" s="611"/>
      <c r="Q303" s="611"/>
      <c r="R303" s="611"/>
      <c r="S303" s="611"/>
      <c r="T303" s="643"/>
      <c r="U303" s="611"/>
      <c r="V303" s="611" t="s">
        <v>132</v>
      </c>
      <c r="W303" s="611"/>
      <c r="X303" s="611"/>
      <c r="Y303" s="611"/>
      <c r="Z303" s="611"/>
      <c r="AA303" s="611"/>
      <c r="AB303" s="643"/>
      <c r="AC303" s="611"/>
      <c r="AD303" s="611"/>
      <c r="AE303" s="611"/>
      <c r="AF303" s="611"/>
      <c r="AG303" s="611"/>
      <c r="AH303" s="611"/>
      <c r="AI303" s="611"/>
      <c r="AJ303" s="611"/>
      <c r="AK303" s="611"/>
      <c r="AL303" s="611"/>
      <c r="AM303" s="643"/>
      <c r="AN303" s="611"/>
      <c r="AO303" s="611"/>
      <c r="AP30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3" s="565">
        <f>WWWW[[#This Row],[%Equitable and continuous access to sufficient quantity of safe drinking water]]*WWWW[[#This Row],[Total PoP ]]</f>
        <v>0</v>
      </c>
      <c r="AR30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3" s="565">
        <f>WWWW[[#This Row],[% Access to unimproved water points]]*WWWW[[#This Row],[Total PoP ]]</f>
        <v>0</v>
      </c>
      <c r="AT30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3" s="565">
        <f>WWWW[[#This Row],[HRP1]]/250</f>
        <v>0</v>
      </c>
      <c r="AW303" s="555">
        <f>1-WWWW[[#This Row],[% Equitable and continuous access to sufficient quantity of domestic water]]</f>
        <v>1</v>
      </c>
      <c r="AX303" s="565">
        <f>WWWW[[#This Row],[%equitable and continuous access to sufficient quantity of safe drinking and domestic water''s GAP]]*WWWW[[#This Row],[Total PoP ]]</f>
        <v>1698</v>
      </c>
      <c r="AY303" s="557">
        <f>IF(WWWW[[#This Row],[Total required water points]]-WWWW[[#This Row],['#Water points coverage]]&lt;0,0,WWWW[[#This Row],[Total required water points]]-WWWW[[#This Row],['#Water points coverage]])</f>
        <v>7</v>
      </c>
      <c r="AZ303" s="557">
        <f>ROUND(IF(WWWW[[#This Row],[Total PoP ]]&lt;250,1,WWWW[[#This Row],[Total PoP ]]/250),0)</f>
        <v>7</v>
      </c>
      <c r="BA30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3" s="565">
        <f>WWWW[[#This Row],[% people access to functioning Latrine]]*WWWW[[#This Row],[Total PoP ]]</f>
        <v>0</v>
      </c>
      <c r="BC303" s="557">
        <f>WWWW[[#This Row],['#_of_Functioning_latrines_in_school]]*50</f>
        <v>0</v>
      </c>
      <c r="BD303" s="557">
        <f>ROUND((WWWW[[#This Row],[Total PoP ]]/6),0)</f>
        <v>283</v>
      </c>
      <c r="BE303" s="557">
        <f>IF(WWWW[[#This Row],[Total required Latrines]]-(WWWW[[#This Row],['#_of_sanitary_fly-proof_HH_latrines]])&lt;0,0,WWWW[[#This Row],[Total required Latrines]]-(WWWW[[#This Row],['#_of_sanitary_fly-proof_HH_latrines]]))</f>
        <v>283</v>
      </c>
      <c r="BF303" s="558">
        <f>1-WWWW[[#This Row],[% people access to functioning Latrine]]</f>
        <v>1</v>
      </c>
      <c r="BG30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3" s="565">
        <f>IF(WWWW[[#This Row],['#_of_functional_handwashing_facilities_at_HH_level]]*6&gt;WWWW[[#This Row],[Total PoP ]],WWWW[[#This Row],[Total PoP ]],WWWW[[#This Row],['#_of_functional_handwashing_facilities_at_HH_level]]*6)</f>
        <v>0</v>
      </c>
      <c r="BI303" s="557">
        <f>IF(WWWW[[#This Row],['# people reached by regular dedicated hygiene promotion]]&gt;WWWW[[#This Row],['# People received regular supply of hygiene items]],WWWW[[#This Row],['# people reached by regular dedicated hygiene promotion]],WWWW[[#This Row],['# People received regular supply of hygiene items]])</f>
        <v>0</v>
      </c>
      <c r="BJ303" s="555">
        <f>IF(WWWW[[#This Row],[HRP3]]/WWWW[[#This Row],[Total PoP ]]&gt;100%,100%,WWWW[[#This Row],[HRP3]]/WWWW[[#This Row],[Total PoP ]])</f>
        <v>0</v>
      </c>
      <c r="BK303" s="558">
        <f>1-WWWW[[#This Row],[Hygiene Coverage%]]</f>
        <v>1</v>
      </c>
      <c r="BL303" s="556">
        <f>WWWW[[#This Row],['# people reached by regular dedicated hygiene promotion]]/WWWW[[#This Row],[Total PoP ]]</f>
        <v>0</v>
      </c>
      <c r="BM30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3" s="557">
        <f>WWWW[[#This Row],['#_of_affected_women_and_girls_receiving_a_sufficient_quantity_of_sanitary_pads]]</f>
        <v>0</v>
      </c>
      <c r="BO303" s="611">
        <f>IF(WWWW[[#This Row],['# People with access to soap]]&gt;WWWW[[#This Row],['# People with access to Sanity Pads]],WWWW[[#This Row],['# People with access to soap]],WWWW[[#This Row],['# People with access to Sanity Pads]])</f>
        <v>0</v>
      </c>
      <c r="BP303" s="565" t="str">
        <f>IF(OR(WWWW[[#This Row],['#of students in school]]="",WWWW[[#This Row],['#of students in school]]=0),"No","Yes")</f>
        <v>No</v>
      </c>
      <c r="BQ303" s="559" t="str">
        <f>VLOOKUP(WWWW[[#This Row],[Village  Name]],SiteDB6[[Site Name]:[Location Type 1]],9,FALSE)</f>
        <v>Village</v>
      </c>
      <c r="BR303" s="559" t="str">
        <f>VLOOKUP(WWWW[[#This Row],[Village  Name]],SiteDB6[[Site Name]:[Type of Accommodation]],10,FALSE)</f>
        <v>Village</v>
      </c>
      <c r="BS303" s="559">
        <f>VLOOKUP(WWWW[[#This Row],[Village  Name]],SiteDB6[[Site Name]:[Ethnic or GCA/NGCA]],11,FALSE)</f>
        <v>0</v>
      </c>
      <c r="BT303" s="559">
        <f>VLOOKUP(WWWW[[#This Row],[Village  Name]],SiteDB6[[Site Name]:[Lat]],12,FALSE)</f>
        <v>0</v>
      </c>
      <c r="BU303" s="559">
        <f>VLOOKUP(WWWW[[#This Row],[Village  Name]],SiteDB6[[Site Name]:[Long]],13,FALSE)</f>
        <v>0</v>
      </c>
      <c r="BV303" s="559">
        <f>VLOOKUP(WWWW[[#This Row],[Village  Name]],SiteDB6[[Site Name]:[Pcode]],3,FALSE)</f>
        <v>197039</v>
      </c>
      <c r="BW303" s="559" t="str">
        <f t="shared" si="11"/>
        <v>Covered</v>
      </c>
      <c r="BX303" s="587"/>
    </row>
    <row r="304" spans="1:76">
      <c r="A304" s="612" t="s">
        <v>2381</v>
      </c>
      <c r="B304" s="612" t="s">
        <v>316</v>
      </c>
      <c r="C304" s="457" t="s">
        <v>316</v>
      </c>
      <c r="D304" s="457" t="s">
        <v>309</v>
      </c>
      <c r="E304" s="551" t="s">
        <v>2687</v>
      </c>
      <c r="F304" s="457" t="s">
        <v>314</v>
      </c>
      <c r="G304" s="551" t="str">
        <f>VLOOKUP(WWWW[[#This Row],[Village  Name]],SiteDB6[[Site Name]:[Location Type]],8,FALSE)</f>
        <v>Village</v>
      </c>
      <c r="H304" s="457" t="s">
        <v>2639</v>
      </c>
      <c r="I304" s="611">
        <v>140</v>
      </c>
      <c r="J304" s="611">
        <v>985</v>
      </c>
      <c r="K304" s="461">
        <v>42736</v>
      </c>
      <c r="L304" s="55">
        <v>44551</v>
      </c>
      <c r="M304" s="611"/>
      <c r="N304" s="611"/>
      <c r="O304" s="611"/>
      <c r="P304" s="611"/>
      <c r="Q304" s="611"/>
      <c r="R304" s="611"/>
      <c r="S304" s="611"/>
      <c r="T304" s="643"/>
      <c r="U304" s="611"/>
      <c r="V304" s="611" t="s">
        <v>132</v>
      </c>
      <c r="W304" s="611"/>
      <c r="X304" s="611"/>
      <c r="Y304" s="611"/>
      <c r="Z304" s="611"/>
      <c r="AA304" s="611"/>
      <c r="AB304" s="643"/>
      <c r="AC304" s="611"/>
      <c r="AD304" s="611"/>
      <c r="AE304" s="611"/>
      <c r="AF304" s="611"/>
      <c r="AG304" s="611"/>
      <c r="AH304" s="611"/>
      <c r="AI304" s="611"/>
      <c r="AJ304" s="611"/>
      <c r="AK304" s="611"/>
      <c r="AL304" s="611"/>
      <c r="AM304" s="643"/>
      <c r="AN304" s="611"/>
      <c r="AO304" s="611"/>
      <c r="AP30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4" s="565">
        <f>WWWW[[#This Row],[%Equitable and continuous access to sufficient quantity of safe drinking water]]*WWWW[[#This Row],[Total PoP ]]</f>
        <v>0</v>
      </c>
      <c r="AR30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4" s="565">
        <f>WWWW[[#This Row],[% Access to unimproved water points]]*WWWW[[#This Row],[Total PoP ]]</f>
        <v>0</v>
      </c>
      <c r="AT30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4" s="565">
        <f>WWWW[[#This Row],[HRP1]]/250</f>
        <v>0</v>
      </c>
      <c r="AW304" s="555">
        <f>1-WWWW[[#This Row],[% Equitable and continuous access to sufficient quantity of domestic water]]</f>
        <v>1</v>
      </c>
      <c r="AX304" s="565">
        <f>WWWW[[#This Row],[%equitable and continuous access to sufficient quantity of safe drinking and domestic water''s GAP]]*WWWW[[#This Row],[Total PoP ]]</f>
        <v>985</v>
      </c>
      <c r="AY304" s="557">
        <f>IF(WWWW[[#This Row],[Total required water points]]-WWWW[[#This Row],['#Water points coverage]]&lt;0,0,WWWW[[#This Row],[Total required water points]]-WWWW[[#This Row],['#Water points coverage]])</f>
        <v>4</v>
      </c>
      <c r="AZ304" s="557">
        <f>ROUND(IF(WWWW[[#This Row],[Total PoP ]]&lt;250,1,WWWW[[#This Row],[Total PoP ]]/250),0)</f>
        <v>4</v>
      </c>
      <c r="BA30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4" s="565">
        <f>WWWW[[#This Row],[% people access to functioning Latrine]]*WWWW[[#This Row],[Total PoP ]]</f>
        <v>0</v>
      </c>
      <c r="BC304" s="557">
        <f>WWWW[[#This Row],['#_of_Functioning_latrines_in_school]]*50</f>
        <v>0</v>
      </c>
      <c r="BD304" s="557">
        <f>ROUND((WWWW[[#This Row],[Total PoP ]]/6),0)</f>
        <v>164</v>
      </c>
      <c r="BE304" s="557">
        <f>IF(WWWW[[#This Row],[Total required Latrines]]-(WWWW[[#This Row],['#_of_sanitary_fly-proof_HH_latrines]])&lt;0,0,WWWW[[#This Row],[Total required Latrines]]-(WWWW[[#This Row],['#_of_sanitary_fly-proof_HH_latrines]]))</f>
        <v>164</v>
      </c>
      <c r="BF304" s="558">
        <f>1-WWWW[[#This Row],[% people access to functioning Latrine]]</f>
        <v>1</v>
      </c>
      <c r="BG30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4" s="565">
        <f>IF(WWWW[[#This Row],['#_of_functional_handwashing_facilities_at_HH_level]]*6&gt;WWWW[[#This Row],[Total PoP ]],WWWW[[#This Row],[Total PoP ]],WWWW[[#This Row],['#_of_functional_handwashing_facilities_at_HH_level]]*6)</f>
        <v>0</v>
      </c>
      <c r="BI304" s="557">
        <f>IF(WWWW[[#This Row],['# people reached by regular dedicated hygiene promotion]]&gt;WWWW[[#This Row],['# People received regular supply of hygiene items]],WWWW[[#This Row],['# people reached by regular dedicated hygiene promotion]],WWWW[[#This Row],['# People received regular supply of hygiene items]])</f>
        <v>0</v>
      </c>
      <c r="BJ304" s="555">
        <f>IF(WWWW[[#This Row],[HRP3]]/WWWW[[#This Row],[Total PoP ]]&gt;100%,100%,WWWW[[#This Row],[HRP3]]/WWWW[[#This Row],[Total PoP ]])</f>
        <v>0</v>
      </c>
      <c r="BK304" s="558">
        <f>1-WWWW[[#This Row],[Hygiene Coverage%]]</f>
        <v>1</v>
      </c>
      <c r="BL304" s="556">
        <f>WWWW[[#This Row],['# people reached by regular dedicated hygiene promotion]]/WWWW[[#This Row],[Total PoP ]]</f>
        <v>0</v>
      </c>
      <c r="BM30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4" s="557">
        <f>WWWW[[#This Row],['#_of_affected_women_and_girls_receiving_a_sufficient_quantity_of_sanitary_pads]]</f>
        <v>0</v>
      </c>
      <c r="BO304" s="611">
        <f>IF(WWWW[[#This Row],['# People with access to soap]]&gt;WWWW[[#This Row],['# People with access to Sanity Pads]],WWWW[[#This Row],['# People with access to soap]],WWWW[[#This Row],['# People with access to Sanity Pads]])</f>
        <v>0</v>
      </c>
      <c r="BP304" s="565" t="str">
        <f>IF(OR(WWWW[[#This Row],['#of students in school]]="",WWWW[[#This Row],['#of students in school]]=0),"No","Yes")</f>
        <v>No</v>
      </c>
      <c r="BQ304" s="559" t="str">
        <f>VLOOKUP(WWWW[[#This Row],[Village  Name]],SiteDB6[[Site Name]:[Location Type 1]],9,FALSE)</f>
        <v>Village</v>
      </c>
      <c r="BR304" s="559" t="str">
        <f>VLOOKUP(WWWW[[#This Row],[Village  Name]],SiteDB6[[Site Name]:[Type of Accommodation]],10,FALSE)</f>
        <v>Village</v>
      </c>
      <c r="BS304" s="559">
        <f>VLOOKUP(WWWW[[#This Row],[Village  Name]],SiteDB6[[Site Name]:[Ethnic or GCA/NGCA]],11,FALSE)</f>
        <v>0</v>
      </c>
      <c r="BT304" s="559">
        <f>VLOOKUP(WWWW[[#This Row],[Village  Name]],SiteDB6[[Site Name]:[Lat]],12,FALSE)</f>
        <v>0</v>
      </c>
      <c r="BU304" s="559">
        <f>VLOOKUP(WWWW[[#This Row],[Village  Name]],SiteDB6[[Site Name]:[Long]],13,FALSE)</f>
        <v>0</v>
      </c>
      <c r="BV304" s="559">
        <f>VLOOKUP(WWWW[[#This Row],[Village  Name]],SiteDB6[[Site Name]:[Pcode]],3,FALSE)</f>
        <v>197041</v>
      </c>
      <c r="BW304" s="559" t="str">
        <f t="shared" si="11"/>
        <v>Covered</v>
      </c>
      <c r="BX304" s="587"/>
    </row>
    <row r="305" spans="1:76">
      <c r="A305" s="612" t="s">
        <v>2381</v>
      </c>
      <c r="B305" s="612" t="s">
        <v>316</v>
      </c>
      <c r="C305" s="457" t="s">
        <v>316</v>
      </c>
      <c r="D305" s="457" t="s">
        <v>309</v>
      </c>
      <c r="E305" s="551" t="s">
        <v>2687</v>
      </c>
      <c r="F305" s="457" t="s">
        <v>314</v>
      </c>
      <c r="G305" s="551" t="str">
        <f>VLOOKUP(WWWW[[#This Row],[Village  Name]],SiteDB6[[Site Name]:[Location Type]],8,FALSE)</f>
        <v>Village</v>
      </c>
      <c r="H305" s="457" t="s">
        <v>2640</v>
      </c>
      <c r="I305" s="611">
        <v>157</v>
      </c>
      <c r="J305" s="611">
        <v>735</v>
      </c>
      <c r="K305" s="461">
        <v>42736</v>
      </c>
      <c r="L305" s="55">
        <v>44551</v>
      </c>
      <c r="M305" s="611"/>
      <c r="N305" s="611"/>
      <c r="O305" s="611"/>
      <c r="P305" s="611"/>
      <c r="Q305" s="611"/>
      <c r="R305" s="611"/>
      <c r="S305" s="611"/>
      <c r="T305" s="643"/>
      <c r="U305" s="611"/>
      <c r="V305" s="611" t="s">
        <v>132</v>
      </c>
      <c r="W305" s="611"/>
      <c r="X305" s="611"/>
      <c r="Y305" s="611"/>
      <c r="Z305" s="611"/>
      <c r="AA305" s="611"/>
      <c r="AB305" s="643"/>
      <c r="AC305" s="611"/>
      <c r="AD305" s="611"/>
      <c r="AE305" s="611"/>
      <c r="AF305" s="611"/>
      <c r="AG305" s="611"/>
      <c r="AH305" s="611"/>
      <c r="AI305" s="611"/>
      <c r="AJ305" s="611"/>
      <c r="AK305" s="611"/>
      <c r="AL305" s="611"/>
      <c r="AM305" s="643"/>
      <c r="AN305" s="611"/>
      <c r="AO305" s="611"/>
      <c r="AP30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5" s="565">
        <f>WWWW[[#This Row],[%Equitable and continuous access to sufficient quantity of safe drinking water]]*WWWW[[#This Row],[Total PoP ]]</f>
        <v>0</v>
      </c>
      <c r="AR30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5" s="565">
        <f>WWWW[[#This Row],[% Access to unimproved water points]]*WWWW[[#This Row],[Total PoP ]]</f>
        <v>0</v>
      </c>
      <c r="AT30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5" s="565">
        <f>WWWW[[#This Row],[HRP1]]/250</f>
        <v>0</v>
      </c>
      <c r="AW305" s="555">
        <f>1-WWWW[[#This Row],[% Equitable and continuous access to sufficient quantity of domestic water]]</f>
        <v>1</v>
      </c>
      <c r="AX305" s="565">
        <f>WWWW[[#This Row],[%equitable and continuous access to sufficient quantity of safe drinking and domestic water''s GAP]]*WWWW[[#This Row],[Total PoP ]]</f>
        <v>735</v>
      </c>
      <c r="AY305" s="557">
        <f>IF(WWWW[[#This Row],[Total required water points]]-WWWW[[#This Row],['#Water points coverage]]&lt;0,0,WWWW[[#This Row],[Total required water points]]-WWWW[[#This Row],['#Water points coverage]])</f>
        <v>3</v>
      </c>
      <c r="AZ305" s="557">
        <f>ROUND(IF(WWWW[[#This Row],[Total PoP ]]&lt;250,1,WWWW[[#This Row],[Total PoP ]]/250),0)</f>
        <v>3</v>
      </c>
      <c r="BA30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5" s="565">
        <f>WWWW[[#This Row],[% people access to functioning Latrine]]*WWWW[[#This Row],[Total PoP ]]</f>
        <v>0</v>
      </c>
      <c r="BC305" s="557">
        <f>WWWW[[#This Row],['#_of_Functioning_latrines_in_school]]*50</f>
        <v>0</v>
      </c>
      <c r="BD305" s="557">
        <f>ROUND((WWWW[[#This Row],[Total PoP ]]/6),0)</f>
        <v>123</v>
      </c>
      <c r="BE305" s="557">
        <f>IF(WWWW[[#This Row],[Total required Latrines]]-(WWWW[[#This Row],['#_of_sanitary_fly-proof_HH_latrines]])&lt;0,0,WWWW[[#This Row],[Total required Latrines]]-(WWWW[[#This Row],['#_of_sanitary_fly-proof_HH_latrines]]))</f>
        <v>123</v>
      </c>
      <c r="BF305" s="558">
        <f>1-WWWW[[#This Row],[% people access to functioning Latrine]]</f>
        <v>1</v>
      </c>
      <c r="BG30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5" s="565">
        <f>IF(WWWW[[#This Row],['#_of_functional_handwashing_facilities_at_HH_level]]*6&gt;WWWW[[#This Row],[Total PoP ]],WWWW[[#This Row],[Total PoP ]],WWWW[[#This Row],['#_of_functional_handwashing_facilities_at_HH_level]]*6)</f>
        <v>0</v>
      </c>
      <c r="BI305" s="557">
        <f>IF(WWWW[[#This Row],['# people reached by regular dedicated hygiene promotion]]&gt;WWWW[[#This Row],['# People received regular supply of hygiene items]],WWWW[[#This Row],['# people reached by regular dedicated hygiene promotion]],WWWW[[#This Row],['# People received regular supply of hygiene items]])</f>
        <v>0</v>
      </c>
      <c r="BJ305" s="555">
        <f>IF(WWWW[[#This Row],[HRP3]]/WWWW[[#This Row],[Total PoP ]]&gt;100%,100%,WWWW[[#This Row],[HRP3]]/WWWW[[#This Row],[Total PoP ]])</f>
        <v>0</v>
      </c>
      <c r="BK305" s="558">
        <f>1-WWWW[[#This Row],[Hygiene Coverage%]]</f>
        <v>1</v>
      </c>
      <c r="BL305" s="556">
        <f>WWWW[[#This Row],['# people reached by regular dedicated hygiene promotion]]/WWWW[[#This Row],[Total PoP ]]</f>
        <v>0</v>
      </c>
      <c r="BM30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5" s="557">
        <f>WWWW[[#This Row],['#_of_affected_women_and_girls_receiving_a_sufficient_quantity_of_sanitary_pads]]</f>
        <v>0</v>
      </c>
      <c r="BO305" s="611">
        <f>IF(WWWW[[#This Row],['# People with access to soap]]&gt;WWWW[[#This Row],['# People with access to Sanity Pads]],WWWW[[#This Row],['# People with access to soap]],WWWW[[#This Row],['# People with access to Sanity Pads]])</f>
        <v>0</v>
      </c>
      <c r="BP305" s="565" t="str">
        <f>IF(OR(WWWW[[#This Row],['#of students in school]]="",WWWW[[#This Row],['#of students in school]]=0),"No","Yes")</f>
        <v>No</v>
      </c>
      <c r="BQ305" s="559" t="str">
        <f>VLOOKUP(WWWW[[#This Row],[Village  Name]],SiteDB6[[Site Name]:[Location Type 1]],9,FALSE)</f>
        <v>Village</v>
      </c>
      <c r="BR305" s="559" t="str">
        <f>VLOOKUP(WWWW[[#This Row],[Village  Name]],SiteDB6[[Site Name]:[Type of Accommodation]],10,FALSE)</f>
        <v>Village</v>
      </c>
      <c r="BS305" s="559">
        <f>VLOOKUP(WWWW[[#This Row],[Village  Name]],SiteDB6[[Site Name]:[Ethnic or GCA/NGCA]],11,FALSE)</f>
        <v>0</v>
      </c>
      <c r="BT305" s="559">
        <f>VLOOKUP(WWWW[[#This Row],[Village  Name]],SiteDB6[[Site Name]:[Lat]],12,FALSE)</f>
        <v>0</v>
      </c>
      <c r="BU305" s="559">
        <f>VLOOKUP(WWWW[[#This Row],[Village  Name]],SiteDB6[[Site Name]:[Long]],13,FALSE)</f>
        <v>0</v>
      </c>
      <c r="BV305" s="559">
        <f>VLOOKUP(WWWW[[#This Row],[Village  Name]],SiteDB6[[Site Name]:[Pcode]],3,FALSE)</f>
        <v>197042</v>
      </c>
      <c r="BW305" s="559" t="str">
        <f t="shared" si="11"/>
        <v>Covered</v>
      </c>
      <c r="BX305" s="587"/>
    </row>
    <row r="306" spans="1:76">
      <c r="A306" s="612" t="s">
        <v>2381</v>
      </c>
      <c r="B306" s="612" t="s">
        <v>316</v>
      </c>
      <c r="C306" s="457" t="s">
        <v>316</v>
      </c>
      <c r="D306" s="457" t="s">
        <v>309</v>
      </c>
      <c r="E306" s="551" t="s">
        <v>2687</v>
      </c>
      <c r="F306" s="457" t="s">
        <v>314</v>
      </c>
      <c r="G306" s="551" t="str">
        <f>VLOOKUP(WWWW[[#This Row],[Village  Name]],SiteDB6[[Site Name]:[Location Type]],8,FALSE)</f>
        <v>Village</v>
      </c>
      <c r="H306" s="457" t="s">
        <v>2641</v>
      </c>
      <c r="I306" s="611">
        <v>35</v>
      </c>
      <c r="J306" s="611">
        <v>142</v>
      </c>
      <c r="K306" s="461">
        <v>42736</v>
      </c>
      <c r="L306" s="55">
        <v>44551</v>
      </c>
      <c r="M306" s="611"/>
      <c r="N306" s="611"/>
      <c r="O306" s="611"/>
      <c r="P306" s="611"/>
      <c r="Q306" s="611"/>
      <c r="R306" s="611"/>
      <c r="S306" s="611"/>
      <c r="T306" s="643"/>
      <c r="U306" s="611"/>
      <c r="V306" s="611" t="s">
        <v>132</v>
      </c>
      <c r="W306" s="611"/>
      <c r="X306" s="611"/>
      <c r="Y306" s="611"/>
      <c r="Z306" s="611"/>
      <c r="AA306" s="611"/>
      <c r="AB306" s="643"/>
      <c r="AC306" s="611"/>
      <c r="AD306" s="611"/>
      <c r="AE306" s="611"/>
      <c r="AF306" s="611"/>
      <c r="AG306" s="611"/>
      <c r="AH306" s="611"/>
      <c r="AI306" s="611"/>
      <c r="AJ306" s="611"/>
      <c r="AK306" s="611"/>
      <c r="AL306" s="611"/>
      <c r="AM306" s="643"/>
      <c r="AN306" s="611"/>
      <c r="AO306" s="611"/>
      <c r="AP30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6" s="565">
        <f>WWWW[[#This Row],[%Equitable and continuous access to sufficient quantity of safe drinking water]]*WWWW[[#This Row],[Total PoP ]]</f>
        <v>0</v>
      </c>
      <c r="AR30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6" s="565">
        <f>WWWW[[#This Row],[% Access to unimproved water points]]*WWWW[[#This Row],[Total PoP ]]</f>
        <v>0</v>
      </c>
      <c r="AT30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6" s="565">
        <f>WWWW[[#This Row],[HRP1]]/250</f>
        <v>0</v>
      </c>
      <c r="AW306" s="555">
        <f>1-WWWW[[#This Row],[% Equitable and continuous access to sufficient quantity of domestic water]]</f>
        <v>1</v>
      </c>
      <c r="AX306" s="565">
        <f>WWWW[[#This Row],[%equitable and continuous access to sufficient quantity of safe drinking and domestic water''s GAP]]*WWWW[[#This Row],[Total PoP ]]</f>
        <v>142</v>
      </c>
      <c r="AY306" s="557">
        <f>IF(WWWW[[#This Row],[Total required water points]]-WWWW[[#This Row],['#Water points coverage]]&lt;0,0,WWWW[[#This Row],[Total required water points]]-WWWW[[#This Row],['#Water points coverage]])</f>
        <v>1</v>
      </c>
      <c r="AZ306" s="557">
        <f>ROUND(IF(WWWW[[#This Row],[Total PoP ]]&lt;250,1,WWWW[[#This Row],[Total PoP ]]/250),0)</f>
        <v>1</v>
      </c>
      <c r="BA30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6" s="565">
        <f>WWWW[[#This Row],[% people access to functioning Latrine]]*WWWW[[#This Row],[Total PoP ]]</f>
        <v>0</v>
      </c>
      <c r="BC306" s="557">
        <f>WWWW[[#This Row],['#_of_Functioning_latrines_in_school]]*50</f>
        <v>0</v>
      </c>
      <c r="BD306" s="557">
        <f>ROUND((WWWW[[#This Row],[Total PoP ]]/6),0)</f>
        <v>24</v>
      </c>
      <c r="BE306" s="557">
        <f>IF(WWWW[[#This Row],[Total required Latrines]]-(WWWW[[#This Row],['#_of_sanitary_fly-proof_HH_latrines]])&lt;0,0,WWWW[[#This Row],[Total required Latrines]]-(WWWW[[#This Row],['#_of_sanitary_fly-proof_HH_latrines]]))</f>
        <v>24</v>
      </c>
      <c r="BF306" s="558">
        <f>1-WWWW[[#This Row],[% people access to functioning Latrine]]</f>
        <v>1</v>
      </c>
      <c r="BG30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6" s="565">
        <f>IF(WWWW[[#This Row],['#_of_functional_handwashing_facilities_at_HH_level]]*6&gt;WWWW[[#This Row],[Total PoP ]],WWWW[[#This Row],[Total PoP ]],WWWW[[#This Row],['#_of_functional_handwashing_facilities_at_HH_level]]*6)</f>
        <v>0</v>
      </c>
      <c r="BI306" s="557">
        <f>IF(WWWW[[#This Row],['# people reached by regular dedicated hygiene promotion]]&gt;WWWW[[#This Row],['# People received regular supply of hygiene items]],WWWW[[#This Row],['# people reached by regular dedicated hygiene promotion]],WWWW[[#This Row],['# People received regular supply of hygiene items]])</f>
        <v>0</v>
      </c>
      <c r="BJ306" s="555">
        <f>IF(WWWW[[#This Row],[HRP3]]/WWWW[[#This Row],[Total PoP ]]&gt;100%,100%,WWWW[[#This Row],[HRP3]]/WWWW[[#This Row],[Total PoP ]])</f>
        <v>0</v>
      </c>
      <c r="BK306" s="558">
        <f>1-WWWW[[#This Row],[Hygiene Coverage%]]</f>
        <v>1</v>
      </c>
      <c r="BL306" s="556">
        <f>WWWW[[#This Row],['# people reached by regular dedicated hygiene promotion]]/WWWW[[#This Row],[Total PoP ]]</f>
        <v>0</v>
      </c>
      <c r="BM30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6" s="557">
        <f>WWWW[[#This Row],['#_of_affected_women_and_girls_receiving_a_sufficient_quantity_of_sanitary_pads]]</f>
        <v>0</v>
      </c>
      <c r="BO306" s="611">
        <f>IF(WWWW[[#This Row],['# People with access to soap]]&gt;WWWW[[#This Row],['# People with access to Sanity Pads]],WWWW[[#This Row],['# People with access to soap]],WWWW[[#This Row],['# People with access to Sanity Pads]])</f>
        <v>0</v>
      </c>
      <c r="BP306" s="565" t="str">
        <f>IF(OR(WWWW[[#This Row],['#of students in school]]="",WWWW[[#This Row],['#of students in school]]=0),"No","Yes")</f>
        <v>No</v>
      </c>
      <c r="BQ306" s="559" t="str">
        <f>VLOOKUP(WWWW[[#This Row],[Village  Name]],SiteDB6[[Site Name]:[Location Type 1]],9,FALSE)</f>
        <v>Village</v>
      </c>
      <c r="BR306" s="559" t="str">
        <f>VLOOKUP(WWWW[[#This Row],[Village  Name]],SiteDB6[[Site Name]:[Type of Accommodation]],10,FALSE)</f>
        <v>Village</v>
      </c>
      <c r="BS306" s="559">
        <f>VLOOKUP(WWWW[[#This Row],[Village  Name]],SiteDB6[[Site Name]:[Ethnic or GCA/NGCA]],11,FALSE)</f>
        <v>0</v>
      </c>
      <c r="BT306" s="559">
        <f>VLOOKUP(WWWW[[#This Row],[Village  Name]],SiteDB6[[Site Name]:[Lat]],12,FALSE)</f>
        <v>0</v>
      </c>
      <c r="BU306" s="559">
        <f>VLOOKUP(WWWW[[#This Row],[Village  Name]],SiteDB6[[Site Name]:[Long]],13,FALSE)</f>
        <v>0</v>
      </c>
      <c r="BV306" s="559">
        <f>VLOOKUP(WWWW[[#This Row],[Village  Name]],SiteDB6[[Site Name]:[Pcode]],3,FALSE)</f>
        <v>197043</v>
      </c>
      <c r="BW306" s="559" t="str">
        <f t="shared" si="11"/>
        <v>Covered</v>
      </c>
      <c r="BX306" s="587"/>
    </row>
    <row r="307" spans="1:76">
      <c r="A307" s="612" t="s">
        <v>2381</v>
      </c>
      <c r="B307" s="612" t="s">
        <v>316</v>
      </c>
      <c r="C307" s="457" t="s">
        <v>316</v>
      </c>
      <c r="D307" s="457" t="s">
        <v>309</v>
      </c>
      <c r="E307" s="551" t="s">
        <v>2687</v>
      </c>
      <c r="F307" s="457" t="s">
        <v>314</v>
      </c>
      <c r="G307" s="551" t="str">
        <f>VLOOKUP(WWWW[[#This Row],[Village  Name]],SiteDB6[[Site Name]:[Location Type]],8,FALSE)</f>
        <v>Village</v>
      </c>
      <c r="H307" s="457" t="s">
        <v>2642</v>
      </c>
      <c r="I307" s="611">
        <v>148</v>
      </c>
      <c r="J307" s="611">
        <v>630</v>
      </c>
      <c r="K307" s="461">
        <v>42736</v>
      </c>
      <c r="L307" s="55">
        <v>44551</v>
      </c>
      <c r="M307" s="611"/>
      <c r="N307" s="611"/>
      <c r="O307" s="611"/>
      <c r="P307" s="611"/>
      <c r="Q307" s="611"/>
      <c r="R307" s="611"/>
      <c r="S307" s="611"/>
      <c r="T307" s="643"/>
      <c r="U307" s="611"/>
      <c r="V307" s="611" t="s">
        <v>132</v>
      </c>
      <c r="W307" s="611"/>
      <c r="X307" s="611"/>
      <c r="Y307" s="611"/>
      <c r="Z307" s="611"/>
      <c r="AA307" s="611"/>
      <c r="AB307" s="643"/>
      <c r="AC307" s="611"/>
      <c r="AD307" s="611"/>
      <c r="AE307" s="611"/>
      <c r="AF307" s="611"/>
      <c r="AG307" s="611"/>
      <c r="AH307" s="611"/>
      <c r="AI307" s="611"/>
      <c r="AJ307" s="611"/>
      <c r="AK307" s="611"/>
      <c r="AL307" s="611"/>
      <c r="AM307" s="643"/>
      <c r="AN307" s="611"/>
      <c r="AO307" s="611"/>
      <c r="AP30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7" s="565">
        <f>WWWW[[#This Row],[%Equitable and continuous access to sufficient quantity of safe drinking water]]*WWWW[[#This Row],[Total PoP ]]</f>
        <v>0</v>
      </c>
      <c r="AR30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7" s="565">
        <f>WWWW[[#This Row],[% Access to unimproved water points]]*WWWW[[#This Row],[Total PoP ]]</f>
        <v>0</v>
      </c>
      <c r="AT30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7" s="565">
        <f>WWWW[[#This Row],[HRP1]]/250</f>
        <v>0</v>
      </c>
      <c r="AW307" s="555">
        <f>1-WWWW[[#This Row],[% Equitable and continuous access to sufficient quantity of domestic water]]</f>
        <v>1</v>
      </c>
      <c r="AX307" s="565">
        <f>WWWW[[#This Row],[%equitable and continuous access to sufficient quantity of safe drinking and domestic water''s GAP]]*WWWW[[#This Row],[Total PoP ]]</f>
        <v>630</v>
      </c>
      <c r="AY307" s="557">
        <f>IF(WWWW[[#This Row],[Total required water points]]-WWWW[[#This Row],['#Water points coverage]]&lt;0,0,WWWW[[#This Row],[Total required water points]]-WWWW[[#This Row],['#Water points coverage]])</f>
        <v>3</v>
      </c>
      <c r="AZ307" s="557">
        <f>ROUND(IF(WWWW[[#This Row],[Total PoP ]]&lt;250,1,WWWW[[#This Row],[Total PoP ]]/250),0)</f>
        <v>3</v>
      </c>
      <c r="BA30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7" s="565">
        <f>WWWW[[#This Row],[% people access to functioning Latrine]]*WWWW[[#This Row],[Total PoP ]]</f>
        <v>0</v>
      </c>
      <c r="BC307" s="557">
        <f>WWWW[[#This Row],['#_of_Functioning_latrines_in_school]]*50</f>
        <v>0</v>
      </c>
      <c r="BD307" s="557">
        <f>ROUND((WWWW[[#This Row],[Total PoP ]]/6),0)</f>
        <v>105</v>
      </c>
      <c r="BE307" s="557">
        <f>IF(WWWW[[#This Row],[Total required Latrines]]-(WWWW[[#This Row],['#_of_sanitary_fly-proof_HH_latrines]])&lt;0,0,WWWW[[#This Row],[Total required Latrines]]-(WWWW[[#This Row],['#_of_sanitary_fly-proof_HH_latrines]]))</f>
        <v>105</v>
      </c>
      <c r="BF307" s="558">
        <f>1-WWWW[[#This Row],[% people access to functioning Latrine]]</f>
        <v>1</v>
      </c>
      <c r="BG30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7" s="565">
        <f>IF(WWWW[[#This Row],['#_of_functional_handwashing_facilities_at_HH_level]]*6&gt;WWWW[[#This Row],[Total PoP ]],WWWW[[#This Row],[Total PoP ]],WWWW[[#This Row],['#_of_functional_handwashing_facilities_at_HH_level]]*6)</f>
        <v>0</v>
      </c>
      <c r="BI307" s="557">
        <f>IF(WWWW[[#This Row],['# people reached by regular dedicated hygiene promotion]]&gt;WWWW[[#This Row],['# People received regular supply of hygiene items]],WWWW[[#This Row],['# people reached by regular dedicated hygiene promotion]],WWWW[[#This Row],['# People received regular supply of hygiene items]])</f>
        <v>0</v>
      </c>
      <c r="BJ307" s="555">
        <f>IF(WWWW[[#This Row],[HRP3]]/WWWW[[#This Row],[Total PoP ]]&gt;100%,100%,WWWW[[#This Row],[HRP3]]/WWWW[[#This Row],[Total PoP ]])</f>
        <v>0</v>
      </c>
      <c r="BK307" s="558">
        <f>1-WWWW[[#This Row],[Hygiene Coverage%]]</f>
        <v>1</v>
      </c>
      <c r="BL307" s="556">
        <f>WWWW[[#This Row],['# people reached by regular dedicated hygiene promotion]]/WWWW[[#This Row],[Total PoP ]]</f>
        <v>0</v>
      </c>
      <c r="BM30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7" s="557">
        <f>WWWW[[#This Row],['#_of_affected_women_and_girls_receiving_a_sufficient_quantity_of_sanitary_pads]]</f>
        <v>0</v>
      </c>
      <c r="BO307" s="611">
        <f>IF(WWWW[[#This Row],['# People with access to soap]]&gt;WWWW[[#This Row],['# People with access to Sanity Pads]],WWWW[[#This Row],['# People with access to soap]],WWWW[[#This Row],['# People with access to Sanity Pads]])</f>
        <v>0</v>
      </c>
      <c r="BP307" s="565" t="str">
        <f>IF(OR(WWWW[[#This Row],['#of students in school]]="",WWWW[[#This Row],['#of students in school]]=0),"No","Yes")</f>
        <v>No</v>
      </c>
      <c r="BQ307" s="559" t="str">
        <f>VLOOKUP(WWWW[[#This Row],[Village  Name]],SiteDB6[[Site Name]:[Location Type 1]],9,FALSE)</f>
        <v>Village</v>
      </c>
      <c r="BR307" s="559" t="str">
        <f>VLOOKUP(WWWW[[#This Row],[Village  Name]],SiteDB6[[Site Name]:[Type of Accommodation]],10,FALSE)</f>
        <v>Village</v>
      </c>
      <c r="BS307" s="559">
        <f>VLOOKUP(WWWW[[#This Row],[Village  Name]],SiteDB6[[Site Name]:[Ethnic or GCA/NGCA]],11,FALSE)</f>
        <v>0</v>
      </c>
      <c r="BT307" s="559">
        <f>VLOOKUP(WWWW[[#This Row],[Village  Name]],SiteDB6[[Site Name]:[Lat]],12,FALSE)</f>
        <v>0</v>
      </c>
      <c r="BU307" s="559">
        <f>VLOOKUP(WWWW[[#This Row],[Village  Name]],SiteDB6[[Site Name]:[Long]],13,FALSE)</f>
        <v>0</v>
      </c>
      <c r="BV307" s="559">
        <f>VLOOKUP(WWWW[[#This Row],[Village  Name]],SiteDB6[[Site Name]:[Pcode]],3,FALSE)</f>
        <v>197089</v>
      </c>
      <c r="BW307" s="559" t="str">
        <f t="shared" si="11"/>
        <v>Covered</v>
      </c>
      <c r="BX307" s="587"/>
    </row>
    <row r="308" spans="1:76">
      <c r="A308" s="612" t="s">
        <v>2381</v>
      </c>
      <c r="B308" s="612" t="s">
        <v>316</v>
      </c>
      <c r="C308" s="457" t="s">
        <v>316</v>
      </c>
      <c r="D308" s="457" t="s">
        <v>309</v>
      </c>
      <c r="E308" s="551" t="s">
        <v>2687</v>
      </c>
      <c r="F308" s="457" t="s">
        <v>314</v>
      </c>
      <c r="G308" s="551" t="str">
        <f>VLOOKUP(WWWW[[#This Row],[Village  Name]],SiteDB6[[Site Name]:[Location Type]],8,FALSE)</f>
        <v>Village</v>
      </c>
      <c r="H308" s="457" t="s">
        <v>2643</v>
      </c>
      <c r="I308" s="611">
        <v>135</v>
      </c>
      <c r="J308" s="611">
        <v>593</v>
      </c>
      <c r="K308" s="461">
        <v>42736</v>
      </c>
      <c r="L308" s="55">
        <v>44551</v>
      </c>
      <c r="M308" s="611"/>
      <c r="N308" s="611"/>
      <c r="O308" s="611"/>
      <c r="P308" s="611"/>
      <c r="Q308" s="611"/>
      <c r="R308" s="611"/>
      <c r="S308" s="611"/>
      <c r="T308" s="643"/>
      <c r="U308" s="611"/>
      <c r="V308" s="611" t="s">
        <v>132</v>
      </c>
      <c r="W308" s="611"/>
      <c r="X308" s="611"/>
      <c r="Y308" s="611"/>
      <c r="Z308" s="611"/>
      <c r="AA308" s="611"/>
      <c r="AB308" s="643"/>
      <c r="AC308" s="611"/>
      <c r="AD308" s="611"/>
      <c r="AE308" s="611"/>
      <c r="AF308" s="611"/>
      <c r="AG308" s="611"/>
      <c r="AH308" s="611"/>
      <c r="AI308" s="611"/>
      <c r="AJ308" s="611"/>
      <c r="AK308" s="611"/>
      <c r="AL308" s="611"/>
      <c r="AM308" s="643"/>
      <c r="AN308" s="611"/>
      <c r="AO308" s="611"/>
      <c r="AP30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8" s="565">
        <f>WWWW[[#This Row],[%Equitable and continuous access to sufficient quantity of safe drinking water]]*WWWW[[#This Row],[Total PoP ]]</f>
        <v>0</v>
      </c>
      <c r="AR30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8" s="565">
        <f>WWWW[[#This Row],[% Access to unimproved water points]]*WWWW[[#This Row],[Total PoP ]]</f>
        <v>0</v>
      </c>
      <c r="AT30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8" s="565">
        <f>WWWW[[#This Row],[HRP1]]/250</f>
        <v>0</v>
      </c>
      <c r="AW308" s="555">
        <f>1-WWWW[[#This Row],[% Equitable and continuous access to sufficient quantity of domestic water]]</f>
        <v>1</v>
      </c>
      <c r="AX308" s="565">
        <f>WWWW[[#This Row],[%equitable and continuous access to sufficient quantity of safe drinking and domestic water''s GAP]]*WWWW[[#This Row],[Total PoP ]]</f>
        <v>593</v>
      </c>
      <c r="AY308" s="557">
        <f>IF(WWWW[[#This Row],[Total required water points]]-WWWW[[#This Row],['#Water points coverage]]&lt;0,0,WWWW[[#This Row],[Total required water points]]-WWWW[[#This Row],['#Water points coverage]])</f>
        <v>2</v>
      </c>
      <c r="AZ308" s="557">
        <f>ROUND(IF(WWWW[[#This Row],[Total PoP ]]&lt;250,1,WWWW[[#This Row],[Total PoP ]]/250),0)</f>
        <v>2</v>
      </c>
      <c r="BA30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8" s="565">
        <f>WWWW[[#This Row],[% people access to functioning Latrine]]*WWWW[[#This Row],[Total PoP ]]</f>
        <v>0</v>
      </c>
      <c r="BC308" s="557">
        <f>WWWW[[#This Row],['#_of_Functioning_latrines_in_school]]*50</f>
        <v>0</v>
      </c>
      <c r="BD308" s="557">
        <f>ROUND((WWWW[[#This Row],[Total PoP ]]/6),0)</f>
        <v>99</v>
      </c>
      <c r="BE308" s="557">
        <f>IF(WWWW[[#This Row],[Total required Latrines]]-(WWWW[[#This Row],['#_of_sanitary_fly-proof_HH_latrines]])&lt;0,0,WWWW[[#This Row],[Total required Latrines]]-(WWWW[[#This Row],['#_of_sanitary_fly-proof_HH_latrines]]))</f>
        <v>99</v>
      </c>
      <c r="BF308" s="558">
        <f>1-WWWW[[#This Row],[% people access to functioning Latrine]]</f>
        <v>1</v>
      </c>
      <c r="BG30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8" s="565">
        <f>IF(WWWW[[#This Row],['#_of_functional_handwashing_facilities_at_HH_level]]*6&gt;WWWW[[#This Row],[Total PoP ]],WWWW[[#This Row],[Total PoP ]],WWWW[[#This Row],['#_of_functional_handwashing_facilities_at_HH_level]]*6)</f>
        <v>0</v>
      </c>
      <c r="BI308" s="557">
        <f>IF(WWWW[[#This Row],['# people reached by regular dedicated hygiene promotion]]&gt;WWWW[[#This Row],['# People received regular supply of hygiene items]],WWWW[[#This Row],['# people reached by regular dedicated hygiene promotion]],WWWW[[#This Row],['# People received regular supply of hygiene items]])</f>
        <v>0</v>
      </c>
      <c r="BJ308" s="555">
        <f>IF(WWWW[[#This Row],[HRP3]]/WWWW[[#This Row],[Total PoP ]]&gt;100%,100%,WWWW[[#This Row],[HRP3]]/WWWW[[#This Row],[Total PoP ]])</f>
        <v>0</v>
      </c>
      <c r="BK308" s="558">
        <f>1-WWWW[[#This Row],[Hygiene Coverage%]]</f>
        <v>1</v>
      </c>
      <c r="BL308" s="556">
        <f>WWWW[[#This Row],['# people reached by regular dedicated hygiene promotion]]/WWWW[[#This Row],[Total PoP ]]</f>
        <v>0</v>
      </c>
      <c r="BM30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8" s="557">
        <f>WWWW[[#This Row],['#_of_affected_women_and_girls_receiving_a_sufficient_quantity_of_sanitary_pads]]</f>
        <v>0</v>
      </c>
      <c r="BO308" s="611">
        <f>IF(WWWW[[#This Row],['# People with access to soap]]&gt;WWWW[[#This Row],['# People with access to Sanity Pads]],WWWW[[#This Row],['# People with access to soap]],WWWW[[#This Row],['# People with access to Sanity Pads]])</f>
        <v>0</v>
      </c>
      <c r="BP308" s="565" t="str">
        <f>IF(OR(WWWW[[#This Row],['#of students in school]]="",WWWW[[#This Row],['#of students in school]]=0),"No","Yes")</f>
        <v>No</v>
      </c>
      <c r="BQ308" s="559" t="str">
        <f>VLOOKUP(WWWW[[#This Row],[Village  Name]],SiteDB6[[Site Name]:[Location Type 1]],9,FALSE)</f>
        <v>Village</v>
      </c>
      <c r="BR308" s="559" t="str">
        <f>VLOOKUP(WWWW[[#This Row],[Village  Name]],SiteDB6[[Site Name]:[Type of Accommodation]],10,FALSE)</f>
        <v>Village</v>
      </c>
      <c r="BS308" s="559">
        <f>VLOOKUP(WWWW[[#This Row],[Village  Name]],SiteDB6[[Site Name]:[Ethnic or GCA/NGCA]],11,FALSE)</f>
        <v>0</v>
      </c>
      <c r="BT308" s="559">
        <f>VLOOKUP(WWWW[[#This Row],[Village  Name]],SiteDB6[[Site Name]:[Lat]],12,FALSE)</f>
        <v>0</v>
      </c>
      <c r="BU308" s="559">
        <f>VLOOKUP(WWWW[[#This Row],[Village  Name]],SiteDB6[[Site Name]:[Long]],13,FALSE)</f>
        <v>0</v>
      </c>
      <c r="BV308" s="559">
        <f>VLOOKUP(WWWW[[#This Row],[Village  Name]],SiteDB6[[Site Name]:[Pcode]],3,FALSE)</f>
        <v>197090</v>
      </c>
      <c r="BW308" s="559" t="str">
        <f t="shared" si="11"/>
        <v>Covered</v>
      </c>
      <c r="BX308" s="587"/>
    </row>
    <row r="309" spans="1:76">
      <c r="A309" s="612" t="s">
        <v>2381</v>
      </c>
      <c r="B309" s="612" t="s">
        <v>316</v>
      </c>
      <c r="C309" s="457" t="s">
        <v>316</v>
      </c>
      <c r="D309" s="457" t="s">
        <v>309</v>
      </c>
      <c r="E309" s="551" t="s">
        <v>2687</v>
      </c>
      <c r="F309" s="457" t="s">
        <v>314</v>
      </c>
      <c r="G309" s="551" t="str">
        <f>VLOOKUP(WWWW[[#This Row],[Village  Name]],SiteDB6[[Site Name]:[Location Type]],8,FALSE)</f>
        <v>Village</v>
      </c>
      <c r="H309" s="457" t="s">
        <v>878</v>
      </c>
      <c r="I309" s="611">
        <v>139</v>
      </c>
      <c r="J309" s="611">
        <v>585</v>
      </c>
      <c r="K309" s="461">
        <v>42736</v>
      </c>
      <c r="L309" s="55">
        <v>44551</v>
      </c>
      <c r="M309" s="611"/>
      <c r="N309" s="611"/>
      <c r="O309" s="611"/>
      <c r="P309" s="611"/>
      <c r="Q309" s="611"/>
      <c r="R309" s="611"/>
      <c r="S309" s="611"/>
      <c r="T309" s="643"/>
      <c r="U309" s="611"/>
      <c r="V309" s="611" t="s">
        <v>132</v>
      </c>
      <c r="W309" s="611"/>
      <c r="X309" s="611"/>
      <c r="Y309" s="611"/>
      <c r="Z309" s="611"/>
      <c r="AA309" s="611"/>
      <c r="AB309" s="643"/>
      <c r="AC309" s="611"/>
      <c r="AD309" s="611"/>
      <c r="AE309" s="611"/>
      <c r="AF309" s="611"/>
      <c r="AG309" s="611"/>
      <c r="AH309" s="611"/>
      <c r="AI309" s="611"/>
      <c r="AJ309" s="611"/>
      <c r="AK309" s="611"/>
      <c r="AL309" s="611"/>
      <c r="AM309" s="643"/>
      <c r="AN309" s="611"/>
      <c r="AO309" s="611"/>
      <c r="AP30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09" s="565">
        <f>WWWW[[#This Row],[%Equitable and continuous access to sufficient quantity of safe drinking water]]*WWWW[[#This Row],[Total PoP ]]</f>
        <v>0</v>
      </c>
      <c r="AR30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09" s="565">
        <f>WWWW[[#This Row],[% Access to unimproved water points]]*WWWW[[#This Row],[Total PoP ]]</f>
        <v>0</v>
      </c>
      <c r="AT30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0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09" s="565">
        <f>WWWW[[#This Row],[HRP1]]/250</f>
        <v>0</v>
      </c>
      <c r="AW309" s="555">
        <f>1-WWWW[[#This Row],[% Equitable and continuous access to sufficient quantity of domestic water]]</f>
        <v>1</v>
      </c>
      <c r="AX309" s="565">
        <f>WWWW[[#This Row],[%equitable and continuous access to sufficient quantity of safe drinking and domestic water''s GAP]]*WWWW[[#This Row],[Total PoP ]]</f>
        <v>585</v>
      </c>
      <c r="AY309" s="557">
        <f>IF(WWWW[[#This Row],[Total required water points]]-WWWW[[#This Row],['#Water points coverage]]&lt;0,0,WWWW[[#This Row],[Total required water points]]-WWWW[[#This Row],['#Water points coverage]])</f>
        <v>2</v>
      </c>
      <c r="AZ309" s="557">
        <f>ROUND(IF(WWWW[[#This Row],[Total PoP ]]&lt;250,1,WWWW[[#This Row],[Total PoP ]]/250),0)</f>
        <v>2</v>
      </c>
      <c r="BA30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09" s="565">
        <f>WWWW[[#This Row],[% people access to functioning Latrine]]*WWWW[[#This Row],[Total PoP ]]</f>
        <v>0</v>
      </c>
      <c r="BC309" s="557">
        <f>WWWW[[#This Row],['#_of_Functioning_latrines_in_school]]*50</f>
        <v>0</v>
      </c>
      <c r="BD309" s="557">
        <f>ROUND((WWWW[[#This Row],[Total PoP ]]/6),0)</f>
        <v>98</v>
      </c>
      <c r="BE309" s="557">
        <f>IF(WWWW[[#This Row],[Total required Latrines]]-(WWWW[[#This Row],['#_of_sanitary_fly-proof_HH_latrines]])&lt;0,0,WWWW[[#This Row],[Total required Latrines]]-(WWWW[[#This Row],['#_of_sanitary_fly-proof_HH_latrines]]))</f>
        <v>98</v>
      </c>
      <c r="BF309" s="558">
        <f>1-WWWW[[#This Row],[% people access to functioning Latrine]]</f>
        <v>1</v>
      </c>
      <c r="BG30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09" s="565">
        <f>IF(WWWW[[#This Row],['#_of_functional_handwashing_facilities_at_HH_level]]*6&gt;WWWW[[#This Row],[Total PoP ]],WWWW[[#This Row],[Total PoP ]],WWWW[[#This Row],['#_of_functional_handwashing_facilities_at_HH_level]]*6)</f>
        <v>0</v>
      </c>
      <c r="BI309" s="557">
        <f>IF(WWWW[[#This Row],['# people reached by regular dedicated hygiene promotion]]&gt;WWWW[[#This Row],['# People received regular supply of hygiene items]],WWWW[[#This Row],['# people reached by regular dedicated hygiene promotion]],WWWW[[#This Row],['# People received regular supply of hygiene items]])</f>
        <v>0</v>
      </c>
      <c r="BJ309" s="555">
        <f>IF(WWWW[[#This Row],[HRP3]]/WWWW[[#This Row],[Total PoP ]]&gt;100%,100%,WWWW[[#This Row],[HRP3]]/WWWW[[#This Row],[Total PoP ]])</f>
        <v>0</v>
      </c>
      <c r="BK309" s="558">
        <f>1-WWWW[[#This Row],[Hygiene Coverage%]]</f>
        <v>1</v>
      </c>
      <c r="BL309" s="556">
        <f>WWWW[[#This Row],['# people reached by regular dedicated hygiene promotion]]/WWWW[[#This Row],[Total PoP ]]</f>
        <v>0</v>
      </c>
      <c r="BM30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09" s="557">
        <f>WWWW[[#This Row],['#_of_affected_women_and_girls_receiving_a_sufficient_quantity_of_sanitary_pads]]</f>
        <v>0</v>
      </c>
      <c r="BO309" s="611">
        <f>IF(WWWW[[#This Row],['# People with access to soap]]&gt;WWWW[[#This Row],['# People with access to Sanity Pads]],WWWW[[#This Row],['# People with access to soap]],WWWW[[#This Row],['# People with access to Sanity Pads]])</f>
        <v>0</v>
      </c>
      <c r="BP309" s="565" t="str">
        <f>IF(OR(WWWW[[#This Row],['#of students in school]]="",WWWW[[#This Row],['#of students in school]]=0),"No","Yes")</f>
        <v>No</v>
      </c>
      <c r="BQ309" s="559" t="str">
        <f>VLOOKUP(WWWW[[#This Row],[Village  Name]],SiteDB6[[Site Name]:[Location Type 1]],9,FALSE)</f>
        <v>Village</v>
      </c>
      <c r="BR309" s="559" t="str">
        <f>VLOOKUP(WWWW[[#This Row],[Village  Name]],SiteDB6[[Site Name]:[Type of Accommodation]],10,FALSE)</f>
        <v>Village</v>
      </c>
      <c r="BS309" s="559">
        <f>VLOOKUP(WWWW[[#This Row],[Village  Name]],SiteDB6[[Site Name]:[Ethnic or GCA/NGCA]],11,FALSE)</f>
        <v>0</v>
      </c>
      <c r="BT309" s="559">
        <f>VLOOKUP(WWWW[[#This Row],[Village  Name]],SiteDB6[[Site Name]:[Lat]],12,FALSE)</f>
        <v>0</v>
      </c>
      <c r="BU309" s="559">
        <f>VLOOKUP(WWWW[[#This Row],[Village  Name]],SiteDB6[[Site Name]:[Long]],13,FALSE)</f>
        <v>0</v>
      </c>
      <c r="BV309" s="559">
        <f>VLOOKUP(WWWW[[#This Row],[Village  Name]],SiteDB6[[Site Name]:[Pcode]],3,FALSE)</f>
        <v>197149</v>
      </c>
      <c r="BW309" s="559" t="str">
        <f t="shared" si="11"/>
        <v>Covered</v>
      </c>
      <c r="BX309" s="587"/>
    </row>
    <row r="310" spans="1:76">
      <c r="A310" s="612" t="s">
        <v>2381</v>
      </c>
      <c r="B310" s="612" t="s">
        <v>316</v>
      </c>
      <c r="C310" s="457" t="s">
        <v>316</v>
      </c>
      <c r="D310" s="457" t="s">
        <v>309</v>
      </c>
      <c r="E310" s="551" t="s">
        <v>2687</v>
      </c>
      <c r="F310" s="457" t="s">
        <v>314</v>
      </c>
      <c r="G310" s="551" t="str">
        <f>VLOOKUP(WWWW[[#This Row],[Village  Name]],SiteDB6[[Site Name]:[Location Type]],8,FALSE)</f>
        <v>Village</v>
      </c>
      <c r="H310" s="457" t="s">
        <v>897</v>
      </c>
      <c r="I310" s="611">
        <v>408</v>
      </c>
      <c r="J310" s="611">
        <v>2009</v>
      </c>
      <c r="K310" s="461">
        <v>42736</v>
      </c>
      <c r="L310" s="55">
        <v>44551</v>
      </c>
      <c r="M310" s="611"/>
      <c r="N310" s="611"/>
      <c r="O310" s="611"/>
      <c r="P310" s="611"/>
      <c r="Q310" s="611"/>
      <c r="R310" s="611"/>
      <c r="S310" s="611"/>
      <c r="T310" s="643"/>
      <c r="U310" s="611"/>
      <c r="V310" s="611" t="s">
        <v>132</v>
      </c>
      <c r="W310" s="611"/>
      <c r="X310" s="611"/>
      <c r="Y310" s="611"/>
      <c r="Z310" s="611"/>
      <c r="AA310" s="611"/>
      <c r="AB310" s="643"/>
      <c r="AC310" s="611"/>
      <c r="AD310" s="611"/>
      <c r="AE310" s="611"/>
      <c r="AF310" s="611"/>
      <c r="AG310" s="611"/>
      <c r="AH310" s="611"/>
      <c r="AI310" s="611"/>
      <c r="AJ310" s="611"/>
      <c r="AK310" s="611"/>
      <c r="AL310" s="611"/>
      <c r="AM310" s="643"/>
      <c r="AN310" s="611"/>
      <c r="AO310" s="611"/>
      <c r="AP31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0" s="565">
        <f>WWWW[[#This Row],[%Equitable and continuous access to sufficient quantity of safe drinking water]]*WWWW[[#This Row],[Total PoP ]]</f>
        <v>0</v>
      </c>
      <c r="AR31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0" s="565">
        <f>WWWW[[#This Row],[% Access to unimproved water points]]*WWWW[[#This Row],[Total PoP ]]</f>
        <v>0</v>
      </c>
      <c r="AT31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0" s="565">
        <f>WWWW[[#This Row],[HRP1]]/250</f>
        <v>0</v>
      </c>
      <c r="AW310" s="555">
        <f>1-WWWW[[#This Row],[% Equitable and continuous access to sufficient quantity of domestic water]]</f>
        <v>1</v>
      </c>
      <c r="AX310" s="565">
        <f>WWWW[[#This Row],[%equitable and continuous access to sufficient quantity of safe drinking and domestic water''s GAP]]*WWWW[[#This Row],[Total PoP ]]</f>
        <v>2009</v>
      </c>
      <c r="AY310" s="557">
        <f>IF(WWWW[[#This Row],[Total required water points]]-WWWW[[#This Row],['#Water points coverage]]&lt;0,0,WWWW[[#This Row],[Total required water points]]-WWWW[[#This Row],['#Water points coverage]])</f>
        <v>8</v>
      </c>
      <c r="AZ310" s="557">
        <f>ROUND(IF(WWWW[[#This Row],[Total PoP ]]&lt;250,1,WWWW[[#This Row],[Total PoP ]]/250),0)</f>
        <v>8</v>
      </c>
      <c r="BA31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0" s="565">
        <f>WWWW[[#This Row],[% people access to functioning Latrine]]*WWWW[[#This Row],[Total PoP ]]</f>
        <v>0</v>
      </c>
      <c r="BC310" s="557">
        <f>WWWW[[#This Row],['#_of_Functioning_latrines_in_school]]*50</f>
        <v>0</v>
      </c>
      <c r="BD310" s="557">
        <f>ROUND((WWWW[[#This Row],[Total PoP ]]/6),0)</f>
        <v>335</v>
      </c>
      <c r="BE310" s="557">
        <f>IF(WWWW[[#This Row],[Total required Latrines]]-(WWWW[[#This Row],['#_of_sanitary_fly-proof_HH_latrines]])&lt;0,0,WWWW[[#This Row],[Total required Latrines]]-(WWWW[[#This Row],['#_of_sanitary_fly-proof_HH_latrines]]))</f>
        <v>335</v>
      </c>
      <c r="BF310" s="558">
        <f>1-WWWW[[#This Row],[% people access to functioning Latrine]]</f>
        <v>1</v>
      </c>
      <c r="BG31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0" s="565">
        <f>IF(WWWW[[#This Row],['#_of_functional_handwashing_facilities_at_HH_level]]*6&gt;WWWW[[#This Row],[Total PoP ]],WWWW[[#This Row],[Total PoP ]],WWWW[[#This Row],['#_of_functional_handwashing_facilities_at_HH_level]]*6)</f>
        <v>0</v>
      </c>
      <c r="BI310" s="557">
        <f>IF(WWWW[[#This Row],['# people reached by regular dedicated hygiene promotion]]&gt;WWWW[[#This Row],['# People received regular supply of hygiene items]],WWWW[[#This Row],['# people reached by regular dedicated hygiene promotion]],WWWW[[#This Row],['# People received regular supply of hygiene items]])</f>
        <v>0</v>
      </c>
      <c r="BJ310" s="555">
        <f>IF(WWWW[[#This Row],[HRP3]]/WWWW[[#This Row],[Total PoP ]]&gt;100%,100%,WWWW[[#This Row],[HRP3]]/WWWW[[#This Row],[Total PoP ]])</f>
        <v>0</v>
      </c>
      <c r="BK310" s="558">
        <f>1-WWWW[[#This Row],[Hygiene Coverage%]]</f>
        <v>1</v>
      </c>
      <c r="BL310" s="556">
        <f>WWWW[[#This Row],['# people reached by regular dedicated hygiene promotion]]/WWWW[[#This Row],[Total PoP ]]</f>
        <v>0</v>
      </c>
      <c r="BM31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0" s="557">
        <f>WWWW[[#This Row],['#_of_affected_women_and_girls_receiving_a_sufficient_quantity_of_sanitary_pads]]</f>
        <v>0</v>
      </c>
      <c r="BO310" s="611">
        <f>IF(WWWW[[#This Row],['# People with access to soap]]&gt;WWWW[[#This Row],['# People with access to Sanity Pads]],WWWW[[#This Row],['# People with access to soap]],WWWW[[#This Row],['# People with access to Sanity Pads]])</f>
        <v>0</v>
      </c>
      <c r="BP310" s="565" t="str">
        <f>IF(OR(WWWW[[#This Row],['#of students in school]]="",WWWW[[#This Row],['#of students in school]]=0),"No","Yes")</f>
        <v>No</v>
      </c>
      <c r="BQ310" s="559" t="str">
        <f>VLOOKUP(WWWW[[#This Row],[Village  Name]],SiteDB6[[Site Name]:[Location Type 1]],9,FALSE)</f>
        <v>Village</v>
      </c>
      <c r="BR310" s="559" t="str">
        <f>VLOOKUP(WWWW[[#This Row],[Village  Name]],SiteDB6[[Site Name]:[Type of Accommodation]],10,FALSE)</f>
        <v>Returned</v>
      </c>
      <c r="BS310" s="559" t="str">
        <f>VLOOKUP(WWWW[[#This Row],[Village  Name]],SiteDB6[[Site Name]:[Ethnic or GCA/NGCA]],11,FALSE)</f>
        <v>Muslim</v>
      </c>
      <c r="BT310" s="559">
        <f>VLOOKUP(WWWW[[#This Row],[Village  Name]],SiteDB6[[Site Name]:[Lat]],12,FALSE)</f>
        <v>20.480898</v>
      </c>
      <c r="BU310" s="559">
        <f>VLOOKUP(WWWW[[#This Row],[Village  Name]],SiteDB6[[Site Name]:[Long]],13,FALSE)</f>
        <v>93.299485000000004</v>
      </c>
      <c r="BV310" s="559" t="str">
        <f>VLOOKUP(WWWW[[#This Row],[Village  Name]],SiteDB6[[Site Name]:[Pcode]],3,FALSE)</f>
        <v>MMR012CMP006</v>
      </c>
      <c r="BW310" s="559" t="str">
        <f t="shared" si="11"/>
        <v>Covered</v>
      </c>
      <c r="BX310" s="587"/>
    </row>
    <row r="311" spans="1:76">
      <c r="A311" s="612" t="s">
        <v>2381</v>
      </c>
      <c r="B311" s="612" t="s">
        <v>316</v>
      </c>
      <c r="C311" s="457" t="s">
        <v>316</v>
      </c>
      <c r="D311" s="457" t="s">
        <v>309</v>
      </c>
      <c r="E311" s="551" t="s">
        <v>2687</v>
      </c>
      <c r="F311" s="457" t="s">
        <v>314</v>
      </c>
      <c r="G311" s="551" t="str">
        <f>VLOOKUP(WWWW[[#This Row],[Village  Name]],SiteDB6[[Site Name]:[Location Type]],8,FALSE)</f>
        <v>Village</v>
      </c>
      <c r="H311" s="457" t="s">
        <v>2644</v>
      </c>
      <c r="I311" s="611">
        <v>47</v>
      </c>
      <c r="J311" s="611">
        <v>190</v>
      </c>
      <c r="K311" s="461">
        <v>42736</v>
      </c>
      <c r="L311" s="55">
        <v>44551</v>
      </c>
      <c r="M311" s="611"/>
      <c r="N311" s="611"/>
      <c r="O311" s="611"/>
      <c r="P311" s="611"/>
      <c r="Q311" s="611"/>
      <c r="R311" s="611"/>
      <c r="S311" s="611"/>
      <c r="T311" s="643"/>
      <c r="U311" s="611"/>
      <c r="V311" s="611" t="s">
        <v>132</v>
      </c>
      <c r="W311" s="611"/>
      <c r="X311" s="611"/>
      <c r="Y311" s="611"/>
      <c r="Z311" s="611"/>
      <c r="AA311" s="611"/>
      <c r="AB311" s="643"/>
      <c r="AC311" s="611"/>
      <c r="AD311" s="611"/>
      <c r="AE311" s="611"/>
      <c r="AF311" s="611"/>
      <c r="AG311" s="611"/>
      <c r="AH311" s="611"/>
      <c r="AI311" s="611"/>
      <c r="AJ311" s="611"/>
      <c r="AK311" s="611"/>
      <c r="AL311" s="611"/>
      <c r="AM311" s="643"/>
      <c r="AN311" s="611"/>
      <c r="AO311" s="611"/>
      <c r="AP31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1" s="565">
        <f>WWWW[[#This Row],[%Equitable and continuous access to sufficient quantity of safe drinking water]]*WWWW[[#This Row],[Total PoP ]]</f>
        <v>0</v>
      </c>
      <c r="AR31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1" s="565">
        <f>WWWW[[#This Row],[% Access to unimproved water points]]*WWWW[[#This Row],[Total PoP ]]</f>
        <v>0</v>
      </c>
      <c r="AT31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1" s="565">
        <f>WWWW[[#This Row],[HRP1]]/250</f>
        <v>0</v>
      </c>
      <c r="AW311" s="555">
        <f>1-WWWW[[#This Row],[% Equitable and continuous access to sufficient quantity of domestic water]]</f>
        <v>1</v>
      </c>
      <c r="AX311" s="565">
        <f>WWWW[[#This Row],[%equitable and continuous access to sufficient quantity of safe drinking and domestic water''s GAP]]*WWWW[[#This Row],[Total PoP ]]</f>
        <v>190</v>
      </c>
      <c r="AY311" s="557">
        <f>IF(WWWW[[#This Row],[Total required water points]]-WWWW[[#This Row],['#Water points coverage]]&lt;0,0,WWWW[[#This Row],[Total required water points]]-WWWW[[#This Row],['#Water points coverage]])</f>
        <v>1</v>
      </c>
      <c r="AZ311" s="557">
        <f>ROUND(IF(WWWW[[#This Row],[Total PoP ]]&lt;250,1,WWWW[[#This Row],[Total PoP ]]/250),0)</f>
        <v>1</v>
      </c>
      <c r="BA31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1" s="565">
        <f>WWWW[[#This Row],[% people access to functioning Latrine]]*WWWW[[#This Row],[Total PoP ]]</f>
        <v>0</v>
      </c>
      <c r="BC311" s="557">
        <f>WWWW[[#This Row],['#_of_Functioning_latrines_in_school]]*50</f>
        <v>0</v>
      </c>
      <c r="BD311" s="557">
        <f>ROUND((WWWW[[#This Row],[Total PoP ]]/6),0)</f>
        <v>32</v>
      </c>
      <c r="BE311" s="557">
        <f>IF(WWWW[[#This Row],[Total required Latrines]]-(WWWW[[#This Row],['#_of_sanitary_fly-proof_HH_latrines]])&lt;0,0,WWWW[[#This Row],[Total required Latrines]]-(WWWW[[#This Row],['#_of_sanitary_fly-proof_HH_latrines]]))</f>
        <v>32</v>
      </c>
      <c r="BF311" s="558">
        <f>1-WWWW[[#This Row],[% people access to functioning Latrine]]</f>
        <v>1</v>
      </c>
      <c r="BG31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1" s="565">
        <f>IF(WWWW[[#This Row],['#_of_functional_handwashing_facilities_at_HH_level]]*6&gt;WWWW[[#This Row],[Total PoP ]],WWWW[[#This Row],[Total PoP ]],WWWW[[#This Row],['#_of_functional_handwashing_facilities_at_HH_level]]*6)</f>
        <v>0</v>
      </c>
      <c r="BI311" s="557">
        <f>IF(WWWW[[#This Row],['# people reached by regular dedicated hygiene promotion]]&gt;WWWW[[#This Row],['# People received regular supply of hygiene items]],WWWW[[#This Row],['# people reached by regular dedicated hygiene promotion]],WWWW[[#This Row],['# People received regular supply of hygiene items]])</f>
        <v>0</v>
      </c>
      <c r="BJ311" s="555">
        <f>IF(WWWW[[#This Row],[HRP3]]/WWWW[[#This Row],[Total PoP ]]&gt;100%,100%,WWWW[[#This Row],[HRP3]]/WWWW[[#This Row],[Total PoP ]])</f>
        <v>0</v>
      </c>
      <c r="BK311" s="558">
        <f>1-WWWW[[#This Row],[Hygiene Coverage%]]</f>
        <v>1</v>
      </c>
      <c r="BL311" s="556">
        <f>WWWW[[#This Row],['# people reached by regular dedicated hygiene promotion]]/WWWW[[#This Row],[Total PoP ]]</f>
        <v>0</v>
      </c>
      <c r="BM31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1" s="557">
        <f>WWWW[[#This Row],['#_of_affected_women_and_girls_receiving_a_sufficient_quantity_of_sanitary_pads]]</f>
        <v>0</v>
      </c>
      <c r="BO311" s="611">
        <f>IF(WWWW[[#This Row],['# People with access to soap]]&gt;WWWW[[#This Row],['# People with access to Sanity Pads]],WWWW[[#This Row],['# People with access to soap]],WWWW[[#This Row],['# People with access to Sanity Pads]])</f>
        <v>0</v>
      </c>
      <c r="BP311" s="565" t="str">
        <f>IF(OR(WWWW[[#This Row],['#of students in school]]="",WWWW[[#This Row],['#of students in school]]=0),"No","Yes")</f>
        <v>No</v>
      </c>
      <c r="BQ311" s="559" t="str">
        <f>VLOOKUP(WWWW[[#This Row],[Village  Name]],SiteDB6[[Site Name]:[Location Type 1]],9,FALSE)</f>
        <v>Village</v>
      </c>
      <c r="BR311" s="559" t="str">
        <f>VLOOKUP(WWWW[[#This Row],[Village  Name]],SiteDB6[[Site Name]:[Type of Accommodation]],10,FALSE)</f>
        <v>Village</v>
      </c>
      <c r="BS311" s="559">
        <f>VLOOKUP(WWWW[[#This Row],[Village  Name]],SiteDB6[[Site Name]:[Ethnic or GCA/NGCA]],11,FALSE)</f>
        <v>0</v>
      </c>
      <c r="BT311" s="559">
        <f>VLOOKUP(WWWW[[#This Row],[Village  Name]],SiteDB6[[Site Name]:[Lat]],12,FALSE)</f>
        <v>0</v>
      </c>
      <c r="BU311" s="559">
        <f>VLOOKUP(WWWW[[#This Row],[Village  Name]],SiteDB6[[Site Name]:[Long]],13,FALSE)</f>
        <v>0</v>
      </c>
      <c r="BV311" s="559">
        <f>VLOOKUP(WWWW[[#This Row],[Village  Name]],SiteDB6[[Site Name]:[Pcode]],3,FALSE)</f>
        <v>0</v>
      </c>
      <c r="BW311" s="559" t="str">
        <f t="shared" si="11"/>
        <v>Covered</v>
      </c>
      <c r="BX311" s="587"/>
    </row>
    <row r="312" spans="1:76">
      <c r="A312" s="612" t="s">
        <v>2381</v>
      </c>
      <c r="B312" s="612" t="s">
        <v>316</v>
      </c>
      <c r="C312" s="457" t="s">
        <v>316</v>
      </c>
      <c r="D312" s="457" t="s">
        <v>309</v>
      </c>
      <c r="E312" s="551" t="s">
        <v>2687</v>
      </c>
      <c r="F312" s="457" t="s">
        <v>314</v>
      </c>
      <c r="G312" s="551" t="str">
        <f>VLOOKUP(WWWW[[#This Row],[Village  Name]],SiteDB6[[Site Name]:[Location Type]],8,FALSE)</f>
        <v>Village</v>
      </c>
      <c r="H312" s="457" t="s">
        <v>2645</v>
      </c>
      <c r="I312" s="611">
        <v>150</v>
      </c>
      <c r="J312" s="611">
        <v>532</v>
      </c>
      <c r="K312" s="461">
        <v>42736</v>
      </c>
      <c r="L312" s="55">
        <v>44551</v>
      </c>
      <c r="M312" s="611"/>
      <c r="N312" s="611"/>
      <c r="O312" s="611"/>
      <c r="P312" s="611"/>
      <c r="Q312" s="611"/>
      <c r="R312" s="611"/>
      <c r="S312" s="611"/>
      <c r="T312" s="643"/>
      <c r="U312" s="611"/>
      <c r="V312" s="611" t="s">
        <v>132</v>
      </c>
      <c r="W312" s="611"/>
      <c r="X312" s="611"/>
      <c r="Y312" s="611"/>
      <c r="Z312" s="611"/>
      <c r="AA312" s="611"/>
      <c r="AB312" s="643"/>
      <c r="AC312" s="611"/>
      <c r="AD312" s="611"/>
      <c r="AE312" s="611"/>
      <c r="AF312" s="611"/>
      <c r="AG312" s="611"/>
      <c r="AH312" s="611"/>
      <c r="AI312" s="611"/>
      <c r="AJ312" s="611"/>
      <c r="AK312" s="611"/>
      <c r="AL312" s="611"/>
      <c r="AM312" s="643"/>
      <c r="AN312" s="611"/>
      <c r="AO312" s="611"/>
      <c r="AP31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2" s="565">
        <f>WWWW[[#This Row],[%Equitable and continuous access to sufficient quantity of safe drinking water]]*WWWW[[#This Row],[Total PoP ]]</f>
        <v>0</v>
      </c>
      <c r="AR31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2" s="565">
        <f>WWWW[[#This Row],[% Access to unimproved water points]]*WWWW[[#This Row],[Total PoP ]]</f>
        <v>0</v>
      </c>
      <c r="AT31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2" s="565">
        <f>WWWW[[#This Row],[HRP1]]/250</f>
        <v>0</v>
      </c>
      <c r="AW312" s="555">
        <f>1-WWWW[[#This Row],[% Equitable and continuous access to sufficient quantity of domestic water]]</f>
        <v>1</v>
      </c>
      <c r="AX312" s="565">
        <f>WWWW[[#This Row],[%equitable and continuous access to sufficient quantity of safe drinking and domestic water''s GAP]]*WWWW[[#This Row],[Total PoP ]]</f>
        <v>532</v>
      </c>
      <c r="AY312" s="557">
        <f>IF(WWWW[[#This Row],[Total required water points]]-WWWW[[#This Row],['#Water points coverage]]&lt;0,0,WWWW[[#This Row],[Total required water points]]-WWWW[[#This Row],['#Water points coverage]])</f>
        <v>2</v>
      </c>
      <c r="AZ312" s="557">
        <f>ROUND(IF(WWWW[[#This Row],[Total PoP ]]&lt;250,1,WWWW[[#This Row],[Total PoP ]]/250),0)</f>
        <v>2</v>
      </c>
      <c r="BA31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2" s="565">
        <f>WWWW[[#This Row],[% people access to functioning Latrine]]*WWWW[[#This Row],[Total PoP ]]</f>
        <v>0</v>
      </c>
      <c r="BC312" s="557">
        <f>WWWW[[#This Row],['#_of_Functioning_latrines_in_school]]*50</f>
        <v>0</v>
      </c>
      <c r="BD312" s="557">
        <f>ROUND((WWWW[[#This Row],[Total PoP ]]/6),0)</f>
        <v>89</v>
      </c>
      <c r="BE312" s="557">
        <f>IF(WWWW[[#This Row],[Total required Latrines]]-(WWWW[[#This Row],['#_of_sanitary_fly-proof_HH_latrines]])&lt;0,0,WWWW[[#This Row],[Total required Latrines]]-(WWWW[[#This Row],['#_of_sanitary_fly-proof_HH_latrines]]))</f>
        <v>89</v>
      </c>
      <c r="BF312" s="558">
        <f>1-WWWW[[#This Row],[% people access to functioning Latrine]]</f>
        <v>1</v>
      </c>
      <c r="BG31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2" s="565">
        <f>IF(WWWW[[#This Row],['#_of_functional_handwashing_facilities_at_HH_level]]*6&gt;WWWW[[#This Row],[Total PoP ]],WWWW[[#This Row],[Total PoP ]],WWWW[[#This Row],['#_of_functional_handwashing_facilities_at_HH_level]]*6)</f>
        <v>0</v>
      </c>
      <c r="BI312" s="557">
        <f>IF(WWWW[[#This Row],['# people reached by regular dedicated hygiene promotion]]&gt;WWWW[[#This Row],['# People received regular supply of hygiene items]],WWWW[[#This Row],['# people reached by regular dedicated hygiene promotion]],WWWW[[#This Row],['# People received regular supply of hygiene items]])</f>
        <v>0</v>
      </c>
      <c r="BJ312" s="555">
        <f>IF(WWWW[[#This Row],[HRP3]]/WWWW[[#This Row],[Total PoP ]]&gt;100%,100%,WWWW[[#This Row],[HRP3]]/WWWW[[#This Row],[Total PoP ]])</f>
        <v>0</v>
      </c>
      <c r="BK312" s="558">
        <f>1-WWWW[[#This Row],[Hygiene Coverage%]]</f>
        <v>1</v>
      </c>
      <c r="BL312" s="556">
        <f>WWWW[[#This Row],['# people reached by regular dedicated hygiene promotion]]/WWWW[[#This Row],[Total PoP ]]</f>
        <v>0</v>
      </c>
      <c r="BM31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2" s="557">
        <f>WWWW[[#This Row],['#_of_affected_women_and_girls_receiving_a_sufficient_quantity_of_sanitary_pads]]</f>
        <v>0</v>
      </c>
      <c r="BO312" s="611">
        <f>IF(WWWW[[#This Row],['# People with access to soap]]&gt;WWWW[[#This Row],['# People with access to Sanity Pads]],WWWW[[#This Row],['# People with access to soap]],WWWW[[#This Row],['# People with access to Sanity Pads]])</f>
        <v>0</v>
      </c>
      <c r="BP312" s="565" t="str">
        <f>IF(OR(WWWW[[#This Row],['#of students in school]]="",WWWW[[#This Row],['#of students in school]]=0),"No","Yes")</f>
        <v>No</v>
      </c>
      <c r="BQ312" s="559" t="str">
        <f>VLOOKUP(WWWW[[#This Row],[Village  Name]],SiteDB6[[Site Name]:[Location Type 1]],9,FALSE)</f>
        <v>Village</v>
      </c>
      <c r="BR312" s="559" t="str">
        <f>VLOOKUP(WWWW[[#This Row],[Village  Name]],SiteDB6[[Site Name]:[Type of Accommodation]],10,FALSE)</f>
        <v>Village</v>
      </c>
      <c r="BS312" s="559">
        <f>VLOOKUP(WWWW[[#This Row],[Village  Name]],SiteDB6[[Site Name]:[Ethnic or GCA/NGCA]],11,FALSE)</f>
        <v>0</v>
      </c>
      <c r="BT312" s="559">
        <f>VLOOKUP(WWWW[[#This Row],[Village  Name]],SiteDB6[[Site Name]:[Lat]],12,FALSE)</f>
        <v>0</v>
      </c>
      <c r="BU312" s="559">
        <f>VLOOKUP(WWWW[[#This Row],[Village  Name]],SiteDB6[[Site Name]:[Long]],13,FALSE)</f>
        <v>0</v>
      </c>
      <c r="BV312" s="559">
        <f>VLOOKUP(WWWW[[#This Row],[Village  Name]],SiteDB6[[Site Name]:[Pcode]],3,FALSE)</f>
        <v>197092</v>
      </c>
      <c r="BW312" s="559" t="str">
        <f t="shared" si="11"/>
        <v>Covered</v>
      </c>
      <c r="BX312" s="587"/>
    </row>
    <row r="313" spans="1:76">
      <c r="A313" s="612" t="s">
        <v>2381</v>
      </c>
      <c r="B313" s="612" t="s">
        <v>316</v>
      </c>
      <c r="C313" s="457" t="s">
        <v>316</v>
      </c>
      <c r="D313" s="457" t="s">
        <v>309</v>
      </c>
      <c r="E313" s="551" t="s">
        <v>2687</v>
      </c>
      <c r="F313" s="457" t="s">
        <v>314</v>
      </c>
      <c r="G313" s="551" t="str">
        <f>VLOOKUP(WWWW[[#This Row],[Village  Name]],SiteDB6[[Site Name]:[Location Type]],8,FALSE)</f>
        <v>Village</v>
      </c>
      <c r="H313" s="457" t="s">
        <v>2646</v>
      </c>
      <c r="I313" s="611">
        <v>142</v>
      </c>
      <c r="J313" s="611">
        <v>542</v>
      </c>
      <c r="K313" s="461">
        <v>42736</v>
      </c>
      <c r="L313" s="55">
        <v>44551</v>
      </c>
      <c r="M313" s="611"/>
      <c r="N313" s="611"/>
      <c r="O313" s="611"/>
      <c r="P313" s="611"/>
      <c r="Q313" s="611"/>
      <c r="R313" s="611"/>
      <c r="S313" s="611"/>
      <c r="T313" s="643"/>
      <c r="U313" s="611"/>
      <c r="V313" s="611" t="s">
        <v>132</v>
      </c>
      <c r="W313" s="611"/>
      <c r="X313" s="611"/>
      <c r="Y313" s="611"/>
      <c r="Z313" s="611"/>
      <c r="AA313" s="611"/>
      <c r="AB313" s="643"/>
      <c r="AC313" s="611"/>
      <c r="AD313" s="611"/>
      <c r="AE313" s="611"/>
      <c r="AF313" s="611"/>
      <c r="AG313" s="611"/>
      <c r="AH313" s="611"/>
      <c r="AI313" s="611"/>
      <c r="AJ313" s="611"/>
      <c r="AK313" s="611"/>
      <c r="AL313" s="611"/>
      <c r="AM313" s="643"/>
      <c r="AN313" s="611"/>
      <c r="AO313" s="611"/>
      <c r="AP31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3" s="565">
        <f>WWWW[[#This Row],[%Equitable and continuous access to sufficient quantity of safe drinking water]]*WWWW[[#This Row],[Total PoP ]]</f>
        <v>0</v>
      </c>
      <c r="AR31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3" s="565">
        <f>WWWW[[#This Row],[% Access to unimproved water points]]*WWWW[[#This Row],[Total PoP ]]</f>
        <v>0</v>
      </c>
      <c r="AT31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3" s="565">
        <f>WWWW[[#This Row],[HRP1]]/250</f>
        <v>0</v>
      </c>
      <c r="AW313" s="555">
        <f>1-WWWW[[#This Row],[% Equitable and continuous access to sufficient quantity of domestic water]]</f>
        <v>1</v>
      </c>
      <c r="AX313" s="565">
        <f>WWWW[[#This Row],[%equitable and continuous access to sufficient quantity of safe drinking and domestic water''s GAP]]*WWWW[[#This Row],[Total PoP ]]</f>
        <v>542</v>
      </c>
      <c r="AY313" s="557">
        <f>IF(WWWW[[#This Row],[Total required water points]]-WWWW[[#This Row],['#Water points coverage]]&lt;0,0,WWWW[[#This Row],[Total required water points]]-WWWW[[#This Row],['#Water points coverage]])</f>
        <v>2</v>
      </c>
      <c r="AZ313" s="557">
        <f>ROUND(IF(WWWW[[#This Row],[Total PoP ]]&lt;250,1,WWWW[[#This Row],[Total PoP ]]/250),0)</f>
        <v>2</v>
      </c>
      <c r="BA31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3" s="565">
        <f>WWWW[[#This Row],[% people access to functioning Latrine]]*WWWW[[#This Row],[Total PoP ]]</f>
        <v>0</v>
      </c>
      <c r="BC313" s="557">
        <f>WWWW[[#This Row],['#_of_Functioning_latrines_in_school]]*50</f>
        <v>0</v>
      </c>
      <c r="BD313" s="557">
        <f>ROUND((WWWW[[#This Row],[Total PoP ]]/6),0)</f>
        <v>90</v>
      </c>
      <c r="BE313" s="557">
        <f>IF(WWWW[[#This Row],[Total required Latrines]]-(WWWW[[#This Row],['#_of_sanitary_fly-proof_HH_latrines]])&lt;0,0,WWWW[[#This Row],[Total required Latrines]]-(WWWW[[#This Row],['#_of_sanitary_fly-proof_HH_latrines]]))</f>
        <v>90</v>
      </c>
      <c r="BF313" s="558">
        <f>1-WWWW[[#This Row],[% people access to functioning Latrine]]</f>
        <v>1</v>
      </c>
      <c r="BG31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3" s="565">
        <f>IF(WWWW[[#This Row],['#_of_functional_handwashing_facilities_at_HH_level]]*6&gt;WWWW[[#This Row],[Total PoP ]],WWWW[[#This Row],[Total PoP ]],WWWW[[#This Row],['#_of_functional_handwashing_facilities_at_HH_level]]*6)</f>
        <v>0</v>
      </c>
      <c r="BI313" s="557">
        <f>IF(WWWW[[#This Row],['# people reached by regular dedicated hygiene promotion]]&gt;WWWW[[#This Row],['# People received regular supply of hygiene items]],WWWW[[#This Row],['# people reached by regular dedicated hygiene promotion]],WWWW[[#This Row],['# People received regular supply of hygiene items]])</f>
        <v>0</v>
      </c>
      <c r="BJ313" s="555">
        <f>IF(WWWW[[#This Row],[HRP3]]/WWWW[[#This Row],[Total PoP ]]&gt;100%,100%,WWWW[[#This Row],[HRP3]]/WWWW[[#This Row],[Total PoP ]])</f>
        <v>0</v>
      </c>
      <c r="BK313" s="558">
        <f>1-WWWW[[#This Row],[Hygiene Coverage%]]</f>
        <v>1</v>
      </c>
      <c r="BL313" s="556">
        <f>WWWW[[#This Row],['# people reached by regular dedicated hygiene promotion]]/WWWW[[#This Row],[Total PoP ]]</f>
        <v>0</v>
      </c>
      <c r="BM31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3" s="557">
        <f>WWWW[[#This Row],['#_of_affected_women_and_girls_receiving_a_sufficient_quantity_of_sanitary_pads]]</f>
        <v>0</v>
      </c>
      <c r="BO313" s="611">
        <f>IF(WWWW[[#This Row],['# People with access to soap]]&gt;WWWW[[#This Row],['# People with access to Sanity Pads]],WWWW[[#This Row],['# People with access to soap]],WWWW[[#This Row],['# People with access to Sanity Pads]])</f>
        <v>0</v>
      </c>
      <c r="BP313" s="565" t="str">
        <f>IF(OR(WWWW[[#This Row],['#of students in school]]="",WWWW[[#This Row],['#of students in school]]=0),"No","Yes")</f>
        <v>No</v>
      </c>
      <c r="BQ313" s="559" t="str">
        <f>VLOOKUP(WWWW[[#This Row],[Village  Name]],SiteDB6[[Site Name]:[Location Type 1]],9,FALSE)</f>
        <v>Village</v>
      </c>
      <c r="BR313" s="559" t="str">
        <f>VLOOKUP(WWWW[[#This Row],[Village  Name]],SiteDB6[[Site Name]:[Type of Accommodation]],10,FALSE)</f>
        <v>Village</v>
      </c>
      <c r="BS313" s="559">
        <f>VLOOKUP(WWWW[[#This Row],[Village  Name]],SiteDB6[[Site Name]:[Ethnic or GCA/NGCA]],11,FALSE)</f>
        <v>0</v>
      </c>
      <c r="BT313" s="559">
        <f>VLOOKUP(WWWW[[#This Row],[Village  Name]],SiteDB6[[Site Name]:[Lat]],12,FALSE)</f>
        <v>0</v>
      </c>
      <c r="BU313" s="559">
        <f>VLOOKUP(WWWW[[#This Row],[Village  Name]],SiteDB6[[Site Name]:[Long]],13,FALSE)</f>
        <v>0</v>
      </c>
      <c r="BV313" s="559">
        <f>VLOOKUP(WWWW[[#This Row],[Village  Name]],SiteDB6[[Site Name]:[Pcode]],3,FALSE)</f>
        <v>197100</v>
      </c>
      <c r="BW313" s="559" t="str">
        <f t="shared" si="11"/>
        <v>Covered</v>
      </c>
      <c r="BX313" s="587"/>
    </row>
    <row r="314" spans="1:76">
      <c r="A314" s="612" t="s">
        <v>2381</v>
      </c>
      <c r="B314" s="612" t="s">
        <v>316</v>
      </c>
      <c r="C314" s="457" t="s">
        <v>316</v>
      </c>
      <c r="D314" s="457" t="s">
        <v>309</v>
      </c>
      <c r="E314" s="551" t="s">
        <v>2687</v>
      </c>
      <c r="F314" s="457" t="s">
        <v>314</v>
      </c>
      <c r="G314" s="551" t="str">
        <f>VLOOKUP(WWWW[[#This Row],[Village  Name]],SiteDB6[[Site Name]:[Location Type]],8,FALSE)</f>
        <v>Village</v>
      </c>
      <c r="H314" s="457" t="s">
        <v>2647</v>
      </c>
      <c r="I314" s="611">
        <v>290</v>
      </c>
      <c r="J314" s="611">
        <v>1314</v>
      </c>
      <c r="K314" s="461">
        <v>42736</v>
      </c>
      <c r="L314" s="55">
        <v>44551</v>
      </c>
      <c r="M314" s="611"/>
      <c r="N314" s="611"/>
      <c r="O314" s="611"/>
      <c r="P314" s="611"/>
      <c r="Q314" s="611"/>
      <c r="R314" s="611"/>
      <c r="S314" s="611"/>
      <c r="T314" s="643"/>
      <c r="U314" s="611"/>
      <c r="V314" s="611" t="s">
        <v>132</v>
      </c>
      <c r="W314" s="611"/>
      <c r="X314" s="611"/>
      <c r="Y314" s="611"/>
      <c r="Z314" s="611"/>
      <c r="AA314" s="611"/>
      <c r="AB314" s="643"/>
      <c r="AC314" s="611"/>
      <c r="AD314" s="611"/>
      <c r="AE314" s="611"/>
      <c r="AF314" s="611"/>
      <c r="AG314" s="611"/>
      <c r="AH314" s="611"/>
      <c r="AI314" s="611"/>
      <c r="AJ314" s="611"/>
      <c r="AK314" s="611"/>
      <c r="AL314" s="611"/>
      <c r="AM314" s="643"/>
      <c r="AN314" s="611"/>
      <c r="AO314" s="611"/>
      <c r="AP31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4" s="565">
        <f>WWWW[[#This Row],[%Equitable and continuous access to sufficient quantity of safe drinking water]]*WWWW[[#This Row],[Total PoP ]]</f>
        <v>0</v>
      </c>
      <c r="AR31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4" s="565">
        <f>WWWW[[#This Row],[% Access to unimproved water points]]*WWWW[[#This Row],[Total PoP ]]</f>
        <v>0</v>
      </c>
      <c r="AT31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4" s="565">
        <f>WWWW[[#This Row],[HRP1]]/250</f>
        <v>0</v>
      </c>
      <c r="AW314" s="555">
        <f>1-WWWW[[#This Row],[% Equitable and continuous access to sufficient quantity of domestic water]]</f>
        <v>1</v>
      </c>
      <c r="AX314" s="565">
        <f>WWWW[[#This Row],[%equitable and continuous access to sufficient quantity of safe drinking and domestic water''s GAP]]*WWWW[[#This Row],[Total PoP ]]</f>
        <v>1314</v>
      </c>
      <c r="AY314" s="557">
        <f>IF(WWWW[[#This Row],[Total required water points]]-WWWW[[#This Row],['#Water points coverage]]&lt;0,0,WWWW[[#This Row],[Total required water points]]-WWWW[[#This Row],['#Water points coverage]])</f>
        <v>5</v>
      </c>
      <c r="AZ314" s="557">
        <f>ROUND(IF(WWWW[[#This Row],[Total PoP ]]&lt;250,1,WWWW[[#This Row],[Total PoP ]]/250),0)</f>
        <v>5</v>
      </c>
      <c r="BA31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4" s="565">
        <f>WWWW[[#This Row],[% people access to functioning Latrine]]*WWWW[[#This Row],[Total PoP ]]</f>
        <v>0</v>
      </c>
      <c r="BC314" s="557">
        <f>WWWW[[#This Row],['#_of_Functioning_latrines_in_school]]*50</f>
        <v>0</v>
      </c>
      <c r="BD314" s="557">
        <f>ROUND((WWWW[[#This Row],[Total PoP ]]/6),0)</f>
        <v>219</v>
      </c>
      <c r="BE314" s="557">
        <f>IF(WWWW[[#This Row],[Total required Latrines]]-(WWWW[[#This Row],['#_of_sanitary_fly-proof_HH_latrines]])&lt;0,0,WWWW[[#This Row],[Total required Latrines]]-(WWWW[[#This Row],['#_of_sanitary_fly-proof_HH_latrines]]))</f>
        <v>219</v>
      </c>
      <c r="BF314" s="558">
        <f>1-WWWW[[#This Row],[% people access to functioning Latrine]]</f>
        <v>1</v>
      </c>
      <c r="BG31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4" s="565">
        <f>IF(WWWW[[#This Row],['#_of_functional_handwashing_facilities_at_HH_level]]*6&gt;WWWW[[#This Row],[Total PoP ]],WWWW[[#This Row],[Total PoP ]],WWWW[[#This Row],['#_of_functional_handwashing_facilities_at_HH_level]]*6)</f>
        <v>0</v>
      </c>
      <c r="BI314" s="557">
        <f>IF(WWWW[[#This Row],['# people reached by regular dedicated hygiene promotion]]&gt;WWWW[[#This Row],['# People received regular supply of hygiene items]],WWWW[[#This Row],['# people reached by regular dedicated hygiene promotion]],WWWW[[#This Row],['# People received regular supply of hygiene items]])</f>
        <v>0</v>
      </c>
      <c r="BJ314" s="555">
        <f>IF(WWWW[[#This Row],[HRP3]]/WWWW[[#This Row],[Total PoP ]]&gt;100%,100%,WWWW[[#This Row],[HRP3]]/WWWW[[#This Row],[Total PoP ]])</f>
        <v>0</v>
      </c>
      <c r="BK314" s="558">
        <f>1-WWWW[[#This Row],[Hygiene Coverage%]]</f>
        <v>1</v>
      </c>
      <c r="BL314" s="556">
        <f>WWWW[[#This Row],['# people reached by regular dedicated hygiene promotion]]/WWWW[[#This Row],[Total PoP ]]</f>
        <v>0</v>
      </c>
      <c r="BM31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4" s="557">
        <f>WWWW[[#This Row],['#_of_affected_women_and_girls_receiving_a_sufficient_quantity_of_sanitary_pads]]</f>
        <v>0</v>
      </c>
      <c r="BO314" s="611">
        <f>IF(WWWW[[#This Row],['# People with access to soap]]&gt;WWWW[[#This Row],['# People with access to Sanity Pads]],WWWW[[#This Row],['# People with access to soap]],WWWW[[#This Row],['# People with access to Sanity Pads]])</f>
        <v>0</v>
      </c>
      <c r="BP314" s="565" t="str">
        <f>IF(OR(WWWW[[#This Row],['#of students in school]]="",WWWW[[#This Row],['#of students in school]]=0),"No","Yes")</f>
        <v>No</v>
      </c>
      <c r="BQ314" s="559" t="str">
        <f>VLOOKUP(WWWW[[#This Row],[Village  Name]],SiteDB6[[Site Name]:[Location Type 1]],9,FALSE)</f>
        <v>Village</v>
      </c>
      <c r="BR314" s="559" t="str">
        <f>VLOOKUP(WWWW[[#This Row],[Village  Name]],SiteDB6[[Site Name]:[Type of Accommodation]],10,FALSE)</f>
        <v>Village</v>
      </c>
      <c r="BS314" s="559">
        <f>VLOOKUP(WWWW[[#This Row],[Village  Name]],SiteDB6[[Site Name]:[Ethnic or GCA/NGCA]],11,FALSE)</f>
        <v>0</v>
      </c>
      <c r="BT314" s="559">
        <f>VLOOKUP(WWWW[[#This Row],[Village  Name]],SiteDB6[[Site Name]:[Lat]],12,FALSE)</f>
        <v>0</v>
      </c>
      <c r="BU314" s="559">
        <f>VLOOKUP(WWWW[[#This Row],[Village  Name]],SiteDB6[[Site Name]:[Long]],13,FALSE)</f>
        <v>0</v>
      </c>
      <c r="BV314" s="559">
        <f>VLOOKUP(WWWW[[#This Row],[Village  Name]],SiteDB6[[Site Name]:[Pcode]],3,FALSE)</f>
        <v>197099</v>
      </c>
      <c r="BW314" s="559" t="str">
        <f t="shared" si="11"/>
        <v>Covered</v>
      </c>
      <c r="BX314" s="587"/>
    </row>
    <row r="315" spans="1:76">
      <c r="A315" s="612" t="s">
        <v>2381</v>
      </c>
      <c r="B315" s="612" t="s">
        <v>316</v>
      </c>
      <c r="C315" s="457" t="s">
        <v>316</v>
      </c>
      <c r="D315" s="457" t="s">
        <v>309</v>
      </c>
      <c r="E315" s="551" t="s">
        <v>2687</v>
      </c>
      <c r="F315" s="457" t="s">
        <v>314</v>
      </c>
      <c r="G315" s="551" t="str">
        <f>VLOOKUP(WWWW[[#This Row],[Village  Name]],SiteDB6[[Site Name]:[Location Type]],8,FALSE)</f>
        <v>Village</v>
      </c>
      <c r="H315" s="457" t="s">
        <v>2648</v>
      </c>
      <c r="I315" s="611">
        <v>215</v>
      </c>
      <c r="J315" s="611">
        <v>1125</v>
      </c>
      <c r="K315" s="461">
        <v>42736</v>
      </c>
      <c r="L315" s="55">
        <v>44551</v>
      </c>
      <c r="M315" s="611"/>
      <c r="N315" s="611"/>
      <c r="O315" s="611"/>
      <c r="P315" s="611"/>
      <c r="Q315" s="611"/>
      <c r="R315" s="611"/>
      <c r="S315" s="611"/>
      <c r="T315" s="643"/>
      <c r="U315" s="611"/>
      <c r="V315" s="611" t="s">
        <v>132</v>
      </c>
      <c r="W315" s="611"/>
      <c r="X315" s="611"/>
      <c r="Y315" s="611"/>
      <c r="Z315" s="611"/>
      <c r="AA315" s="611"/>
      <c r="AB315" s="643"/>
      <c r="AC315" s="611"/>
      <c r="AD315" s="611"/>
      <c r="AE315" s="611"/>
      <c r="AF315" s="611"/>
      <c r="AG315" s="611"/>
      <c r="AH315" s="611"/>
      <c r="AI315" s="611"/>
      <c r="AJ315" s="611"/>
      <c r="AK315" s="611"/>
      <c r="AL315" s="611"/>
      <c r="AM315" s="643"/>
      <c r="AN315" s="611"/>
      <c r="AO315" s="611"/>
      <c r="AP31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5" s="565">
        <f>WWWW[[#This Row],[%Equitable and continuous access to sufficient quantity of safe drinking water]]*WWWW[[#This Row],[Total PoP ]]</f>
        <v>0</v>
      </c>
      <c r="AR31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5" s="565">
        <f>WWWW[[#This Row],[% Access to unimproved water points]]*WWWW[[#This Row],[Total PoP ]]</f>
        <v>0</v>
      </c>
      <c r="AT31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5" s="565">
        <f>WWWW[[#This Row],[HRP1]]/250</f>
        <v>0</v>
      </c>
      <c r="AW315" s="555">
        <f>1-WWWW[[#This Row],[% Equitable and continuous access to sufficient quantity of domestic water]]</f>
        <v>1</v>
      </c>
      <c r="AX315" s="565">
        <f>WWWW[[#This Row],[%equitable and continuous access to sufficient quantity of safe drinking and domestic water''s GAP]]*WWWW[[#This Row],[Total PoP ]]</f>
        <v>1125</v>
      </c>
      <c r="AY315" s="557">
        <f>IF(WWWW[[#This Row],[Total required water points]]-WWWW[[#This Row],['#Water points coverage]]&lt;0,0,WWWW[[#This Row],[Total required water points]]-WWWW[[#This Row],['#Water points coverage]])</f>
        <v>5</v>
      </c>
      <c r="AZ315" s="557">
        <f>ROUND(IF(WWWW[[#This Row],[Total PoP ]]&lt;250,1,WWWW[[#This Row],[Total PoP ]]/250),0)</f>
        <v>5</v>
      </c>
      <c r="BA31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5" s="565">
        <f>WWWW[[#This Row],[% people access to functioning Latrine]]*WWWW[[#This Row],[Total PoP ]]</f>
        <v>0</v>
      </c>
      <c r="BC315" s="557">
        <f>WWWW[[#This Row],['#_of_Functioning_latrines_in_school]]*50</f>
        <v>0</v>
      </c>
      <c r="BD315" s="557">
        <f>ROUND((WWWW[[#This Row],[Total PoP ]]/6),0)</f>
        <v>188</v>
      </c>
      <c r="BE315" s="557">
        <f>IF(WWWW[[#This Row],[Total required Latrines]]-(WWWW[[#This Row],['#_of_sanitary_fly-proof_HH_latrines]])&lt;0,0,WWWW[[#This Row],[Total required Latrines]]-(WWWW[[#This Row],['#_of_sanitary_fly-proof_HH_latrines]]))</f>
        <v>188</v>
      </c>
      <c r="BF315" s="558">
        <f>1-WWWW[[#This Row],[% people access to functioning Latrine]]</f>
        <v>1</v>
      </c>
      <c r="BG31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5" s="565">
        <f>IF(WWWW[[#This Row],['#_of_functional_handwashing_facilities_at_HH_level]]*6&gt;WWWW[[#This Row],[Total PoP ]],WWWW[[#This Row],[Total PoP ]],WWWW[[#This Row],['#_of_functional_handwashing_facilities_at_HH_level]]*6)</f>
        <v>0</v>
      </c>
      <c r="BI315" s="557">
        <f>IF(WWWW[[#This Row],['# people reached by regular dedicated hygiene promotion]]&gt;WWWW[[#This Row],['# People received regular supply of hygiene items]],WWWW[[#This Row],['# people reached by regular dedicated hygiene promotion]],WWWW[[#This Row],['# People received regular supply of hygiene items]])</f>
        <v>0</v>
      </c>
      <c r="BJ315" s="555">
        <f>IF(WWWW[[#This Row],[HRP3]]/WWWW[[#This Row],[Total PoP ]]&gt;100%,100%,WWWW[[#This Row],[HRP3]]/WWWW[[#This Row],[Total PoP ]])</f>
        <v>0</v>
      </c>
      <c r="BK315" s="558">
        <f>1-WWWW[[#This Row],[Hygiene Coverage%]]</f>
        <v>1</v>
      </c>
      <c r="BL315" s="556">
        <f>WWWW[[#This Row],['# people reached by regular dedicated hygiene promotion]]/WWWW[[#This Row],[Total PoP ]]</f>
        <v>0</v>
      </c>
      <c r="BM31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5" s="557">
        <f>WWWW[[#This Row],['#_of_affected_women_and_girls_receiving_a_sufficient_quantity_of_sanitary_pads]]</f>
        <v>0</v>
      </c>
      <c r="BO315" s="611">
        <f>IF(WWWW[[#This Row],['# People with access to soap]]&gt;WWWW[[#This Row],['# People with access to Sanity Pads]],WWWW[[#This Row],['# People with access to soap]],WWWW[[#This Row],['# People with access to Sanity Pads]])</f>
        <v>0</v>
      </c>
      <c r="BP315" s="565" t="str">
        <f>IF(OR(WWWW[[#This Row],['#of students in school]]="",WWWW[[#This Row],['#of students in school]]=0),"No","Yes")</f>
        <v>No</v>
      </c>
      <c r="BQ315" s="559" t="str">
        <f>VLOOKUP(WWWW[[#This Row],[Village  Name]],SiteDB6[[Site Name]:[Location Type 1]],9,FALSE)</f>
        <v>Village</v>
      </c>
      <c r="BR315" s="559" t="str">
        <f>VLOOKUP(WWWW[[#This Row],[Village  Name]],SiteDB6[[Site Name]:[Type of Accommodation]],10,FALSE)</f>
        <v>Village</v>
      </c>
      <c r="BS315" s="559">
        <f>VLOOKUP(WWWW[[#This Row],[Village  Name]],SiteDB6[[Site Name]:[Ethnic or GCA/NGCA]],11,FALSE)</f>
        <v>0</v>
      </c>
      <c r="BT315" s="559">
        <f>VLOOKUP(WWWW[[#This Row],[Village  Name]],SiteDB6[[Site Name]:[Lat]],12,FALSE)</f>
        <v>0</v>
      </c>
      <c r="BU315" s="559">
        <f>VLOOKUP(WWWW[[#This Row],[Village  Name]],SiteDB6[[Site Name]:[Long]],13,FALSE)</f>
        <v>0</v>
      </c>
      <c r="BV315" s="559">
        <f>VLOOKUP(WWWW[[#This Row],[Village  Name]],SiteDB6[[Site Name]:[Pcode]],3,FALSE)</f>
        <v>197102</v>
      </c>
      <c r="BW315" s="559" t="str">
        <f t="shared" si="11"/>
        <v>Covered</v>
      </c>
      <c r="BX315" s="587"/>
    </row>
    <row r="316" spans="1:76">
      <c r="A316" s="612" t="s">
        <v>2381</v>
      </c>
      <c r="B316" s="612" t="s">
        <v>316</v>
      </c>
      <c r="C316" s="457" t="s">
        <v>316</v>
      </c>
      <c r="D316" s="457" t="s">
        <v>309</v>
      </c>
      <c r="E316" s="551" t="s">
        <v>2687</v>
      </c>
      <c r="F316" s="457" t="s">
        <v>314</v>
      </c>
      <c r="G316" s="551" t="str">
        <f>VLOOKUP(WWWW[[#This Row],[Village  Name]],SiteDB6[[Site Name]:[Location Type]],8,FALSE)</f>
        <v>Village</v>
      </c>
      <c r="H316" s="457" t="s">
        <v>2649</v>
      </c>
      <c r="I316" s="611">
        <v>181</v>
      </c>
      <c r="J316" s="611">
        <v>940</v>
      </c>
      <c r="K316" s="461">
        <v>42736</v>
      </c>
      <c r="L316" s="55">
        <v>44551</v>
      </c>
      <c r="M316" s="611"/>
      <c r="N316" s="611"/>
      <c r="O316" s="611"/>
      <c r="P316" s="611"/>
      <c r="Q316" s="611"/>
      <c r="R316" s="611"/>
      <c r="S316" s="611"/>
      <c r="T316" s="643"/>
      <c r="U316" s="611"/>
      <c r="V316" s="611" t="s">
        <v>132</v>
      </c>
      <c r="W316" s="611"/>
      <c r="X316" s="611"/>
      <c r="Y316" s="611"/>
      <c r="Z316" s="611"/>
      <c r="AA316" s="611"/>
      <c r="AB316" s="643"/>
      <c r="AC316" s="611"/>
      <c r="AD316" s="611"/>
      <c r="AE316" s="611"/>
      <c r="AF316" s="611"/>
      <c r="AG316" s="611"/>
      <c r="AH316" s="611"/>
      <c r="AI316" s="611"/>
      <c r="AJ316" s="611"/>
      <c r="AK316" s="611"/>
      <c r="AL316" s="611"/>
      <c r="AM316" s="643"/>
      <c r="AN316" s="611"/>
      <c r="AO316" s="611"/>
      <c r="AP31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6" s="565">
        <f>WWWW[[#This Row],[%Equitable and continuous access to sufficient quantity of safe drinking water]]*WWWW[[#This Row],[Total PoP ]]</f>
        <v>0</v>
      </c>
      <c r="AR31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6" s="565">
        <f>WWWW[[#This Row],[% Access to unimproved water points]]*WWWW[[#This Row],[Total PoP ]]</f>
        <v>0</v>
      </c>
      <c r="AT31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6" s="565">
        <f>WWWW[[#This Row],[HRP1]]/250</f>
        <v>0</v>
      </c>
      <c r="AW316" s="555">
        <f>1-WWWW[[#This Row],[% Equitable and continuous access to sufficient quantity of domestic water]]</f>
        <v>1</v>
      </c>
      <c r="AX316" s="565">
        <f>WWWW[[#This Row],[%equitable and continuous access to sufficient quantity of safe drinking and domestic water''s GAP]]*WWWW[[#This Row],[Total PoP ]]</f>
        <v>940</v>
      </c>
      <c r="AY316" s="557">
        <f>IF(WWWW[[#This Row],[Total required water points]]-WWWW[[#This Row],['#Water points coverage]]&lt;0,0,WWWW[[#This Row],[Total required water points]]-WWWW[[#This Row],['#Water points coverage]])</f>
        <v>4</v>
      </c>
      <c r="AZ316" s="557">
        <f>ROUND(IF(WWWW[[#This Row],[Total PoP ]]&lt;250,1,WWWW[[#This Row],[Total PoP ]]/250),0)</f>
        <v>4</v>
      </c>
      <c r="BA31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6" s="565">
        <f>WWWW[[#This Row],[% people access to functioning Latrine]]*WWWW[[#This Row],[Total PoP ]]</f>
        <v>0</v>
      </c>
      <c r="BC316" s="557">
        <f>WWWW[[#This Row],['#_of_Functioning_latrines_in_school]]*50</f>
        <v>0</v>
      </c>
      <c r="BD316" s="557">
        <f>ROUND((WWWW[[#This Row],[Total PoP ]]/6),0)</f>
        <v>157</v>
      </c>
      <c r="BE316" s="557">
        <f>IF(WWWW[[#This Row],[Total required Latrines]]-(WWWW[[#This Row],['#_of_sanitary_fly-proof_HH_latrines]])&lt;0,0,WWWW[[#This Row],[Total required Latrines]]-(WWWW[[#This Row],['#_of_sanitary_fly-proof_HH_latrines]]))</f>
        <v>157</v>
      </c>
      <c r="BF316" s="558">
        <f>1-WWWW[[#This Row],[% people access to functioning Latrine]]</f>
        <v>1</v>
      </c>
      <c r="BG31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6" s="565">
        <f>IF(WWWW[[#This Row],['#_of_functional_handwashing_facilities_at_HH_level]]*6&gt;WWWW[[#This Row],[Total PoP ]],WWWW[[#This Row],[Total PoP ]],WWWW[[#This Row],['#_of_functional_handwashing_facilities_at_HH_level]]*6)</f>
        <v>0</v>
      </c>
      <c r="BI316" s="557">
        <f>IF(WWWW[[#This Row],['# people reached by regular dedicated hygiene promotion]]&gt;WWWW[[#This Row],['# People received regular supply of hygiene items]],WWWW[[#This Row],['# people reached by regular dedicated hygiene promotion]],WWWW[[#This Row],['# People received regular supply of hygiene items]])</f>
        <v>0</v>
      </c>
      <c r="BJ316" s="555">
        <f>IF(WWWW[[#This Row],[HRP3]]/WWWW[[#This Row],[Total PoP ]]&gt;100%,100%,WWWW[[#This Row],[HRP3]]/WWWW[[#This Row],[Total PoP ]])</f>
        <v>0</v>
      </c>
      <c r="BK316" s="558">
        <f>1-WWWW[[#This Row],[Hygiene Coverage%]]</f>
        <v>1</v>
      </c>
      <c r="BL316" s="556">
        <f>WWWW[[#This Row],['# people reached by regular dedicated hygiene promotion]]/WWWW[[#This Row],[Total PoP ]]</f>
        <v>0</v>
      </c>
      <c r="BM31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6" s="557">
        <f>WWWW[[#This Row],['#_of_affected_women_and_girls_receiving_a_sufficient_quantity_of_sanitary_pads]]</f>
        <v>0</v>
      </c>
      <c r="BO316" s="611">
        <f>IF(WWWW[[#This Row],['# People with access to soap]]&gt;WWWW[[#This Row],['# People with access to Sanity Pads]],WWWW[[#This Row],['# People with access to soap]],WWWW[[#This Row],['# People with access to Sanity Pads]])</f>
        <v>0</v>
      </c>
      <c r="BP316" s="565" t="str">
        <f>IF(OR(WWWW[[#This Row],['#of students in school]]="",WWWW[[#This Row],['#of students in school]]=0),"No","Yes")</f>
        <v>No</v>
      </c>
      <c r="BQ316" s="559" t="str">
        <f>VLOOKUP(WWWW[[#This Row],[Village  Name]],SiteDB6[[Site Name]:[Location Type 1]],9,FALSE)</f>
        <v>Village</v>
      </c>
      <c r="BR316" s="559" t="str">
        <f>VLOOKUP(WWWW[[#This Row],[Village  Name]],SiteDB6[[Site Name]:[Type of Accommodation]],10,FALSE)</f>
        <v>Village</v>
      </c>
      <c r="BS316" s="559">
        <f>VLOOKUP(WWWW[[#This Row],[Village  Name]],SiteDB6[[Site Name]:[Ethnic or GCA/NGCA]],11,FALSE)</f>
        <v>0</v>
      </c>
      <c r="BT316" s="559">
        <f>VLOOKUP(WWWW[[#This Row],[Village  Name]],SiteDB6[[Site Name]:[Lat]],12,FALSE)</f>
        <v>0</v>
      </c>
      <c r="BU316" s="559">
        <f>VLOOKUP(WWWW[[#This Row],[Village  Name]],SiteDB6[[Site Name]:[Long]],13,FALSE)</f>
        <v>0</v>
      </c>
      <c r="BV316" s="559">
        <f>VLOOKUP(WWWW[[#This Row],[Village  Name]],SiteDB6[[Site Name]:[Pcode]],3,FALSE)</f>
        <v>220651</v>
      </c>
      <c r="BW316" s="559" t="str">
        <f t="shared" si="11"/>
        <v>Covered</v>
      </c>
      <c r="BX316" s="587"/>
    </row>
    <row r="317" spans="1:76">
      <c r="A317" s="612" t="s">
        <v>2381</v>
      </c>
      <c r="B317" s="612" t="s">
        <v>316</v>
      </c>
      <c r="C317" s="457" t="s">
        <v>316</v>
      </c>
      <c r="D317" s="457" t="s">
        <v>309</v>
      </c>
      <c r="E317" s="551" t="s">
        <v>2687</v>
      </c>
      <c r="F317" s="457" t="s">
        <v>314</v>
      </c>
      <c r="G317" s="551" t="str">
        <f>VLOOKUP(WWWW[[#This Row],[Village  Name]],SiteDB6[[Site Name]:[Location Type]],8,FALSE)</f>
        <v>Village</v>
      </c>
      <c r="H317" s="457" t="s">
        <v>2650</v>
      </c>
      <c r="I317" s="611">
        <v>170</v>
      </c>
      <c r="J317" s="611">
        <v>743</v>
      </c>
      <c r="K317" s="461">
        <v>42736</v>
      </c>
      <c r="L317" s="55">
        <v>44551</v>
      </c>
      <c r="M317" s="611"/>
      <c r="N317" s="611"/>
      <c r="O317" s="611"/>
      <c r="P317" s="611"/>
      <c r="Q317" s="611"/>
      <c r="R317" s="611"/>
      <c r="S317" s="611"/>
      <c r="T317" s="643"/>
      <c r="U317" s="611"/>
      <c r="V317" s="611" t="s">
        <v>132</v>
      </c>
      <c r="W317" s="611"/>
      <c r="X317" s="611"/>
      <c r="Y317" s="611"/>
      <c r="Z317" s="611"/>
      <c r="AA317" s="611"/>
      <c r="AB317" s="643"/>
      <c r="AC317" s="611"/>
      <c r="AD317" s="611"/>
      <c r="AE317" s="611"/>
      <c r="AF317" s="611"/>
      <c r="AG317" s="611"/>
      <c r="AH317" s="611"/>
      <c r="AI317" s="611"/>
      <c r="AJ317" s="611"/>
      <c r="AK317" s="611"/>
      <c r="AL317" s="611"/>
      <c r="AM317" s="643"/>
      <c r="AN317" s="611"/>
      <c r="AO317" s="611"/>
      <c r="AP31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7" s="565">
        <f>WWWW[[#This Row],[%Equitable and continuous access to sufficient quantity of safe drinking water]]*WWWW[[#This Row],[Total PoP ]]</f>
        <v>0</v>
      </c>
      <c r="AR31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7" s="565">
        <f>WWWW[[#This Row],[% Access to unimproved water points]]*WWWW[[#This Row],[Total PoP ]]</f>
        <v>0</v>
      </c>
      <c r="AT31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7" s="565">
        <f>WWWW[[#This Row],[HRP1]]/250</f>
        <v>0</v>
      </c>
      <c r="AW317" s="555">
        <f>1-WWWW[[#This Row],[% Equitable and continuous access to sufficient quantity of domestic water]]</f>
        <v>1</v>
      </c>
      <c r="AX317" s="565">
        <f>WWWW[[#This Row],[%equitable and continuous access to sufficient quantity of safe drinking and domestic water''s GAP]]*WWWW[[#This Row],[Total PoP ]]</f>
        <v>743</v>
      </c>
      <c r="AY317" s="557">
        <f>IF(WWWW[[#This Row],[Total required water points]]-WWWW[[#This Row],['#Water points coverage]]&lt;0,0,WWWW[[#This Row],[Total required water points]]-WWWW[[#This Row],['#Water points coverage]])</f>
        <v>3</v>
      </c>
      <c r="AZ317" s="557">
        <f>ROUND(IF(WWWW[[#This Row],[Total PoP ]]&lt;250,1,WWWW[[#This Row],[Total PoP ]]/250),0)</f>
        <v>3</v>
      </c>
      <c r="BA31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7" s="565">
        <f>WWWW[[#This Row],[% people access to functioning Latrine]]*WWWW[[#This Row],[Total PoP ]]</f>
        <v>0</v>
      </c>
      <c r="BC317" s="557">
        <f>WWWW[[#This Row],['#_of_Functioning_latrines_in_school]]*50</f>
        <v>0</v>
      </c>
      <c r="BD317" s="557">
        <f>ROUND((WWWW[[#This Row],[Total PoP ]]/6),0)</f>
        <v>124</v>
      </c>
      <c r="BE317" s="557">
        <f>IF(WWWW[[#This Row],[Total required Latrines]]-(WWWW[[#This Row],['#_of_sanitary_fly-proof_HH_latrines]])&lt;0,0,WWWW[[#This Row],[Total required Latrines]]-(WWWW[[#This Row],['#_of_sanitary_fly-proof_HH_latrines]]))</f>
        <v>124</v>
      </c>
      <c r="BF317" s="558">
        <f>1-WWWW[[#This Row],[% people access to functioning Latrine]]</f>
        <v>1</v>
      </c>
      <c r="BG31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7" s="565">
        <f>IF(WWWW[[#This Row],['#_of_functional_handwashing_facilities_at_HH_level]]*6&gt;WWWW[[#This Row],[Total PoP ]],WWWW[[#This Row],[Total PoP ]],WWWW[[#This Row],['#_of_functional_handwashing_facilities_at_HH_level]]*6)</f>
        <v>0</v>
      </c>
      <c r="BI317" s="557">
        <f>IF(WWWW[[#This Row],['# people reached by regular dedicated hygiene promotion]]&gt;WWWW[[#This Row],['# People received regular supply of hygiene items]],WWWW[[#This Row],['# people reached by regular dedicated hygiene promotion]],WWWW[[#This Row],['# People received regular supply of hygiene items]])</f>
        <v>0</v>
      </c>
      <c r="BJ317" s="555">
        <f>IF(WWWW[[#This Row],[HRP3]]/WWWW[[#This Row],[Total PoP ]]&gt;100%,100%,WWWW[[#This Row],[HRP3]]/WWWW[[#This Row],[Total PoP ]])</f>
        <v>0</v>
      </c>
      <c r="BK317" s="558">
        <f>1-WWWW[[#This Row],[Hygiene Coverage%]]</f>
        <v>1</v>
      </c>
      <c r="BL317" s="556">
        <f>WWWW[[#This Row],['# people reached by regular dedicated hygiene promotion]]/WWWW[[#This Row],[Total PoP ]]</f>
        <v>0</v>
      </c>
      <c r="BM31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7" s="557">
        <f>WWWW[[#This Row],['#_of_affected_women_and_girls_receiving_a_sufficient_quantity_of_sanitary_pads]]</f>
        <v>0</v>
      </c>
      <c r="BO317" s="611">
        <f>IF(WWWW[[#This Row],['# People with access to soap]]&gt;WWWW[[#This Row],['# People with access to Sanity Pads]],WWWW[[#This Row],['# People with access to soap]],WWWW[[#This Row],['# People with access to Sanity Pads]])</f>
        <v>0</v>
      </c>
      <c r="BP317" s="565" t="str">
        <f>IF(OR(WWWW[[#This Row],['#of students in school]]="",WWWW[[#This Row],['#of students in school]]=0),"No","Yes")</f>
        <v>No</v>
      </c>
      <c r="BQ317" s="559" t="str">
        <f>VLOOKUP(WWWW[[#This Row],[Village  Name]],SiteDB6[[Site Name]:[Location Type 1]],9,FALSE)</f>
        <v>Village</v>
      </c>
      <c r="BR317" s="559" t="str">
        <f>VLOOKUP(WWWW[[#This Row],[Village  Name]],SiteDB6[[Site Name]:[Type of Accommodation]],10,FALSE)</f>
        <v>Village</v>
      </c>
      <c r="BS317" s="559">
        <f>VLOOKUP(WWWW[[#This Row],[Village  Name]],SiteDB6[[Site Name]:[Ethnic or GCA/NGCA]],11,FALSE)</f>
        <v>0</v>
      </c>
      <c r="BT317" s="559">
        <f>VLOOKUP(WWWW[[#This Row],[Village  Name]],SiteDB6[[Site Name]:[Lat]],12,FALSE)</f>
        <v>0</v>
      </c>
      <c r="BU317" s="559">
        <f>VLOOKUP(WWWW[[#This Row],[Village  Name]],SiteDB6[[Site Name]:[Long]],13,FALSE)</f>
        <v>0</v>
      </c>
      <c r="BV317" s="559">
        <f>VLOOKUP(WWWW[[#This Row],[Village  Name]],SiteDB6[[Site Name]:[Pcode]],3,FALSE)</f>
        <v>197103</v>
      </c>
      <c r="BW317" s="559" t="str">
        <f t="shared" si="11"/>
        <v>Covered</v>
      </c>
      <c r="BX317" s="587"/>
    </row>
    <row r="318" spans="1:76">
      <c r="A318" s="612" t="s">
        <v>2381</v>
      </c>
      <c r="B318" s="612" t="s">
        <v>316</v>
      </c>
      <c r="C318" s="457" t="s">
        <v>316</v>
      </c>
      <c r="D318" s="457" t="s">
        <v>309</v>
      </c>
      <c r="E318" s="551" t="s">
        <v>2687</v>
      </c>
      <c r="F318" s="457" t="s">
        <v>314</v>
      </c>
      <c r="G318" s="551" t="str">
        <f>VLOOKUP(WWWW[[#This Row],[Village  Name]],SiteDB6[[Site Name]:[Location Type]],8,FALSE)</f>
        <v>Village</v>
      </c>
      <c r="H318" s="457" t="s">
        <v>464</v>
      </c>
      <c r="I318" s="611">
        <v>121</v>
      </c>
      <c r="J318" s="611">
        <v>421</v>
      </c>
      <c r="K318" s="461">
        <v>42736</v>
      </c>
      <c r="L318" s="55">
        <v>44551</v>
      </c>
      <c r="M318" s="611"/>
      <c r="N318" s="611"/>
      <c r="O318" s="611"/>
      <c r="P318" s="611"/>
      <c r="Q318" s="611"/>
      <c r="R318" s="611"/>
      <c r="S318" s="611"/>
      <c r="T318" s="643"/>
      <c r="U318" s="611"/>
      <c r="V318" s="611" t="s">
        <v>132</v>
      </c>
      <c r="W318" s="611"/>
      <c r="X318" s="611"/>
      <c r="Y318" s="611"/>
      <c r="Z318" s="611"/>
      <c r="AA318" s="611"/>
      <c r="AB318" s="643"/>
      <c r="AC318" s="611"/>
      <c r="AD318" s="611"/>
      <c r="AE318" s="611"/>
      <c r="AF318" s="611"/>
      <c r="AG318" s="611"/>
      <c r="AH318" s="611"/>
      <c r="AI318" s="611"/>
      <c r="AJ318" s="611"/>
      <c r="AK318" s="611"/>
      <c r="AL318" s="611"/>
      <c r="AM318" s="643"/>
      <c r="AN318" s="611"/>
      <c r="AO318" s="611"/>
      <c r="AP31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8" s="565">
        <f>WWWW[[#This Row],[%Equitable and continuous access to sufficient quantity of safe drinking water]]*WWWW[[#This Row],[Total PoP ]]</f>
        <v>0</v>
      </c>
      <c r="AR31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8" s="565">
        <f>WWWW[[#This Row],[% Access to unimproved water points]]*WWWW[[#This Row],[Total PoP ]]</f>
        <v>0</v>
      </c>
      <c r="AT31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8" s="565">
        <f>WWWW[[#This Row],[HRP1]]/250</f>
        <v>0</v>
      </c>
      <c r="AW318" s="555">
        <f>1-WWWW[[#This Row],[% Equitable and continuous access to sufficient quantity of domestic water]]</f>
        <v>1</v>
      </c>
      <c r="AX318" s="565">
        <f>WWWW[[#This Row],[%equitable and continuous access to sufficient quantity of safe drinking and domestic water''s GAP]]*WWWW[[#This Row],[Total PoP ]]</f>
        <v>421</v>
      </c>
      <c r="AY318" s="557">
        <f>IF(WWWW[[#This Row],[Total required water points]]-WWWW[[#This Row],['#Water points coverage]]&lt;0,0,WWWW[[#This Row],[Total required water points]]-WWWW[[#This Row],['#Water points coverage]])</f>
        <v>2</v>
      </c>
      <c r="AZ318" s="557">
        <f>ROUND(IF(WWWW[[#This Row],[Total PoP ]]&lt;250,1,WWWW[[#This Row],[Total PoP ]]/250),0)</f>
        <v>2</v>
      </c>
      <c r="BA31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8" s="565">
        <f>WWWW[[#This Row],[% people access to functioning Latrine]]*WWWW[[#This Row],[Total PoP ]]</f>
        <v>0</v>
      </c>
      <c r="BC318" s="557">
        <f>WWWW[[#This Row],['#_of_Functioning_latrines_in_school]]*50</f>
        <v>0</v>
      </c>
      <c r="BD318" s="557">
        <f>ROUND((WWWW[[#This Row],[Total PoP ]]/6),0)</f>
        <v>70</v>
      </c>
      <c r="BE318" s="557">
        <f>IF(WWWW[[#This Row],[Total required Latrines]]-(WWWW[[#This Row],['#_of_sanitary_fly-proof_HH_latrines]])&lt;0,0,WWWW[[#This Row],[Total required Latrines]]-(WWWW[[#This Row],['#_of_sanitary_fly-proof_HH_latrines]]))</f>
        <v>70</v>
      </c>
      <c r="BF318" s="558">
        <f>1-WWWW[[#This Row],[% people access to functioning Latrine]]</f>
        <v>1</v>
      </c>
      <c r="BG31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8" s="565">
        <f>IF(WWWW[[#This Row],['#_of_functional_handwashing_facilities_at_HH_level]]*6&gt;WWWW[[#This Row],[Total PoP ]],WWWW[[#This Row],[Total PoP ]],WWWW[[#This Row],['#_of_functional_handwashing_facilities_at_HH_level]]*6)</f>
        <v>0</v>
      </c>
      <c r="BI318" s="557">
        <f>IF(WWWW[[#This Row],['# people reached by regular dedicated hygiene promotion]]&gt;WWWW[[#This Row],['# People received regular supply of hygiene items]],WWWW[[#This Row],['# people reached by regular dedicated hygiene promotion]],WWWW[[#This Row],['# People received regular supply of hygiene items]])</f>
        <v>0</v>
      </c>
      <c r="BJ318" s="555">
        <f>IF(WWWW[[#This Row],[HRP3]]/WWWW[[#This Row],[Total PoP ]]&gt;100%,100%,WWWW[[#This Row],[HRP3]]/WWWW[[#This Row],[Total PoP ]])</f>
        <v>0</v>
      </c>
      <c r="BK318" s="558">
        <f>1-WWWW[[#This Row],[Hygiene Coverage%]]</f>
        <v>1</v>
      </c>
      <c r="BL318" s="556">
        <f>WWWW[[#This Row],['# people reached by regular dedicated hygiene promotion]]/WWWW[[#This Row],[Total PoP ]]</f>
        <v>0</v>
      </c>
      <c r="BM31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8" s="557">
        <f>WWWW[[#This Row],['#_of_affected_women_and_girls_receiving_a_sufficient_quantity_of_sanitary_pads]]</f>
        <v>0</v>
      </c>
      <c r="BO318" s="611">
        <f>IF(WWWW[[#This Row],['# People with access to soap]]&gt;WWWW[[#This Row],['# People with access to Sanity Pads]],WWWW[[#This Row],['# People with access to soap]],WWWW[[#This Row],['# People with access to Sanity Pads]])</f>
        <v>0</v>
      </c>
      <c r="BP318" s="565" t="str">
        <f>IF(OR(WWWW[[#This Row],['#of students in school]]="",WWWW[[#This Row],['#of students in school]]=0),"No","Yes")</f>
        <v>No</v>
      </c>
      <c r="BQ318" s="559" t="str">
        <f>VLOOKUP(WWWW[[#This Row],[Village  Name]],SiteDB6[[Site Name]:[Location Type 1]],9,FALSE)</f>
        <v>Village</v>
      </c>
      <c r="BR318" s="559" t="str">
        <f>VLOOKUP(WWWW[[#This Row],[Village  Name]],SiteDB6[[Site Name]:[Type of Accommodation]],10,FALSE)</f>
        <v>Village</v>
      </c>
      <c r="BS318" s="559" t="str">
        <f>VLOOKUP(WWWW[[#This Row],[Village  Name]],SiteDB6[[Site Name]:[Ethnic or GCA/NGCA]],11,FALSE)</f>
        <v>Mixed</v>
      </c>
      <c r="BT318" s="559">
        <f>VLOOKUP(WWWW[[#This Row],[Village  Name]],SiteDB6[[Site Name]:[Lat]],12,FALSE)</f>
        <v>20.394809720000001</v>
      </c>
      <c r="BU318" s="559">
        <f>VLOOKUP(WWWW[[#This Row],[Village  Name]],SiteDB6[[Site Name]:[Long]],13,FALSE)</f>
        <v>93.251609799999997</v>
      </c>
      <c r="BV318" s="559">
        <f>VLOOKUP(WWWW[[#This Row],[Village  Name]],SiteDB6[[Site Name]:[Pcode]],3,FALSE)</f>
        <v>196994</v>
      </c>
      <c r="BW318" s="559" t="str">
        <f t="shared" si="11"/>
        <v>Covered</v>
      </c>
      <c r="BX318" s="587"/>
    </row>
    <row r="319" spans="1:76">
      <c r="A319" s="612" t="s">
        <v>2381</v>
      </c>
      <c r="B319" s="612" t="s">
        <v>316</v>
      </c>
      <c r="C319" s="457" t="s">
        <v>316</v>
      </c>
      <c r="D319" s="457" t="s">
        <v>309</v>
      </c>
      <c r="E319" s="551" t="s">
        <v>2687</v>
      </c>
      <c r="F319" s="457" t="s">
        <v>314</v>
      </c>
      <c r="G319" s="551" t="str">
        <f>VLOOKUP(WWWW[[#This Row],[Village  Name]],SiteDB6[[Site Name]:[Location Type]],8,FALSE)</f>
        <v>Village</v>
      </c>
      <c r="H319" s="457" t="s">
        <v>1755</v>
      </c>
      <c r="I319" s="611">
        <v>203</v>
      </c>
      <c r="J319" s="611">
        <v>1118</v>
      </c>
      <c r="K319" s="461">
        <v>42736</v>
      </c>
      <c r="L319" s="55">
        <v>44551</v>
      </c>
      <c r="M319" s="611"/>
      <c r="N319" s="611"/>
      <c r="O319" s="611"/>
      <c r="P319" s="611"/>
      <c r="Q319" s="611"/>
      <c r="R319" s="611"/>
      <c r="S319" s="611"/>
      <c r="T319" s="643"/>
      <c r="U319" s="611"/>
      <c r="V319" s="611" t="s">
        <v>132</v>
      </c>
      <c r="W319" s="611"/>
      <c r="X319" s="611"/>
      <c r="Y319" s="611"/>
      <c r="Z319" s="611"/>
      <c r="AA319" s="611"/>
      <c r="AB319" s="643"/>
      <c r="AC319" s="611"/>
      <c r="AD319" s="611"/>
      <c r="AE319" s="611"/>
      <c r="AF319" s="611"/>
      <c r="AG319" s="611"/>
      <c r="AH319" s="611"/>
      <c r="AI319" s="611"/>
      <c r="AJ319" s="611"/>
      <c r="AK319" s="611"/>
      <c r="AL319" s="611"/>
      <c r="AM319" s="643"/>
      <c r="AN319" s="611"/>
      <c r="AO319" s="611"/>
      <c r="AP31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19" s="565">
        <f>WWWW[[#This Row],[%Equitable and continuous access to sufficient quantity of safe drinking water]]*WWWW[[#This Row],[Total PoP ]]</f>
        <v>0</v>
      </c>
      <c r="AR31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19" s="565">
        <f>WWWW[[#This Row],[% Access to unimproved water points]]*WWWW[[#This Row],[Total PoP ]]</f>
        <v>0</v>
      </c>
      <c r="AT31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1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19" s="565">
        <f>WWWW[[#This Row],[HRP1]]/250</f>
        <v>0</v>
      </c>
      <c r="AW319" s="555">
        <f>1-WWWW[[#This Row],[% Equitable and continuous access to sufficient quantity of domestic water]]</f>
        <v>1</v>
      </c>
      <c r="AX319" s="565">
        <f>WWWW[[#This Row],[%equitable and continuous access to sufficient quantity of safe drinking and domestic water''s GAP]]*WWWW[[#This Row],[Total PoP ]]</f>
        <v>1118</v>
      </c>
      <c r="AY319" s="557">
        <f>IF(WWWW[[#This Row],[Total required water points]]-WWWW[[#This Row],['#Water points coverage]]&lt;0,0,WWWW[[#This Row],[Total required water points]]-WWWW[[#This Row],['#Water points coverage]])</f>
        <v>4</v>
      </c>
      <c r="AZ319" s="557">
        <f>ROUND(IF(WWWW[[#This Row],[Total PoP ]]&lt;250,1,WWWW[[#This Row],[Total PoP ]]/250),0)</f>
        <v>4</v>
      </c>
      <c r="BA31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19" s="565">
        <f>WWWW[[#This Row],[% people access to functioning Latrine]]*WWWW[[#This Row],[Total PoP ]]</f>
        <v>0</v>
      </c>
      <c r="BC319" s="557">
        <f>WWWW[[#This Row],['#_of_Functioning_latrines_in_school]]*50</f>
        <v>0</v>
      </c>
      <c r="BD319" s="557">
        <f>ROUND((WWWW[[#This Row],[Total PoP ]]/6),0)</f>
        <v>186</v>
      </c>
      <c r="BE319" s="557">
        <f>IF(WWWW[[#This Row],[Total required Latrines]]-(WWWW[[#This Row],['#_of_sanitary_fly-proof_HH_latrines]])&lt;0,0,WWWW[[#This Row],[Total required Latrines]]-(WWWW[[#This Row],['#_of_sanitary_fly-proof_HH_latrines]]))</f>
        <v>186</v>
      </c>
      <c r="BF319" s="558">
        <f>1-WWWW[[#This Row],[% people access to functioning Latrine]]</f>
        <v>1</v>
      </c>
      <c r="BG31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19" s="565">
        <f>IF(WWWW[[#This Row],['#_of_functional_handwashing_facilities_at_HH_level]]*6&gt;WWWW[[#This Row],[Total PoP ]],WWWW[[#This Row],[Total PoP ]],WWWW[[#This Row],['#_of_functional_handwashing_facilities_at_HH_level]]*6)</f>
        <v>0</v>
      </c>
      <c r="BI319" s="557">
        <f>IF(WWWW[[#This Row],['# people reached by regular dedicated hygiene promotion]]&gt;WWWW[[#This Row],['# People received regular supply of hygiene items]],WWWW[[#This Row],['# people reached by regular dedicated hygiene promotion]],WWWW[[#This Row],['# People received regular supply of hygiene items]])</f>
        <v>0</v>
      </c>
      <c r="BJ319" s="555">
        <f>IF(WWWW[[#This Row],[HRP3]]/WWWW[[#This Row],[Total PoP ]]&gt;100%,100%,WWWW[[#This Row],[HRP3]]/WWWW[[#This Row],[Total PoP ]])</f>
        <v>0</v>
      </c>
      <c r="BK319" s="558">
        <f>1-WWWW[[#This Row],[Hygiene Coverage%]]</f>
        <v>1</v>
      </c>
      <c r="BL319" s="556">
        <f>WWWW[[#This Row],['# people reached by regular dedicated hygiene promotion]]/WWWW[[#This Row],[Total PoP ]]</f>
        <v>0</v>
      </c>
      <c r="BM31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19" s="557">
        <f>WWWW[[#This Row],['#_of_affected_women_and_girls_receiving_a_sufficient_quantity_of_sanitary_pads]]</f>
        <v>0</v>
      </c>
      <c r="BO319" s="611">
        <f>IF(WWWW[[#This Row],['# People with access to soap]]&gt;WWWW[[#This Row],['# People with access to Sanity Pads]],WWWW[[#This Row],['# People with access to soap]],WWWW[[#This Row],['# People with access to Sanity Pads]])</f>
        <v>0</v>
      </c>
      <c r="BP319" s="565" t="str">
        <f>IF(OR(WWWW[[#This Row],['#of students in school]]="",WWWW[[#This Row],['#of students in school]]=0),"No","Yes")</f>
        <v>No</v>
      </c>
      <c r="BQ319" s="559" t="str">
        <f>VLOOKUP(WWWW[[#This Row],[Village  Name]],SiteDB6[[Site Name]:[Location Type 1]],9,FALSE)</f>
        <v>Village</v>
      </c>
      <c r="BR319" s="559" t="str">
        <f>VLOOKUP(WWWW[[#This Row],[Village  Name]],SiteDB6[[Site Name]:[Type of Accommodation]],10,FALSE)</f>
        <v>Village</v>
      </c>
      <c r="BS319" s="559">
        <f>VLOOKUP(WWWW[[#This Row],[Village  Name]],SiteDB6[[Site Name]:[Ethnic or GCA/NGCA]],11,FALSE)</f>
        <v>0</v>
      </c>
      <c r="BT319" s="559">
        <f>VLOOKUP(WWWW[[#This Row],[Village  Name]],SiteDB6[[Site Name]:[Lat]],12,FALSE)</f>
        <v>0</v>
      </c>
      <c r="BU319" s="559">
        <f>VLOOKUP(WWWW[[#This Row],[Village  Name]],SiteDB6[[Site Name]:[Long]],13,FALSE)</f>
        <v>0</v>
      </c>
      <c r="BV319" s="559">
        <f>VLOOKUP(WWWW[[#This Row],[Village  Name]],SiteDB6[[Site Name]:[Pcode]],3,FALSE)</f>
        <v>196997</v>
      </c>
      <c r="BW319" s="559" t="str">
        <f t="shared" ref="BW319:BW359" si="12">IF(C319="none","Notcovered","Covered")</f>
        <v>Covered</v>
      </c>
      <c r="BX319" s="587"/>
    </row>
    <row r="320" spans="1:76">
      <c r="A320" s="612" t="s">
        <v>2381</v>
      </c>
      <c r="B320" s="612" t="s">
        <v>316</v>
      </c>
      <c r="C320" s="457" t="s">
        <v>316</v>
      </c>
      <c r="D320" s="457" t="s">
        <v>309</v>
      </c>
      <c r="E320" s="551" t="s">
        <v>2687</v>
      </c>
      <c r="F320" s="457" t="s">
        <v>314</v>
      </c>
      <c r="G320" s="551" t="str">
        <f>VLOOKUP(WWWW[[#This Row],[Village  Name]],SiteDB6[[Site Name]:[Location Type]],8,FALSE)</f>
        <v>Village</v>
      </c>
      <c r="H320" s="457" t="s">
        <v>465</v>
      </c>
      <c r="I320" s="611">
        <v>31</v>
      </c>
      <c r="J320" s="611">
        <v>170</v>
      </c>
      <c r="K320" s="461">
        <v>42736</v>
      </c>
      <c r="L320" s="55">
        <v>44551</v>
      </c>
      <c r="M320" s="611"/>
      <c r="N320" s="611"/>
      <c r="O320" s="611"/>
      <c r="P320" s="611"/>
      <c r="Q320" s="611"/>
      <c r="R320" s="611"/>
      <c r="S320" s="611"/>
      <c r="T320" s="643"/>
      <c r="U320" s="611"/>
      <c r="V320" s="611" t="s">
        <v>132</v>
      </c>
      <c r="W320" s="611"/>
      <c r="X320" s="611"/>
      <c r="Y320" s="611"/>
      <c r="Z320" s="611"/>
      <c r="AA320" s="611"/>
      <c r="AB320" s="643"/>
      <c r="AC320" s="611"/>
      <c r="AD320" s="611"/>
      <c r="AE320" s="611"/>
      <c r="AF320" s="611"/>
      <c r="AG320" s="611"/>
      <c r="AH320" s="611"/>
      <c r="AI320" s="611"/>
      <c r="AJ320" s="611"/>
      <c r="AK320" s="611"/>
      <c r="AL320" s="611"/>
      <c r="AM320" s="643"/>
      <c r="AN320" s="611"/>
      <c r="AO320" s="611"/>
      <c r="AP32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20" s="565">
        <f>WWWW[[#This Row],[%Equitable and continuous access to sufficient quantity of safe drinking water]]*WWWW[[#This Row],[Total PoP ]]</f>
        <v>0</v>
      </c>
      <c r="AR32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0" s="565">
        <f>WWWW[[#This Row],[% Access to unimproved water points]]*WWWW[[#This Row],[Total PoP ]]</f>
        <v>0</v>
      </c>
      <c r="AT32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2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20" s="565">
        <f>WWWW[[#This Row],[HRP1]]/250</f>
        <v>0</v>
      </c>
      <c r="AW320" s="555">
        <f>1-WWWW[[#This Row],[% Equitable and continuous access to sufficient quantity of domestic water]]</f>
        <v>1</v>
      </c>
      <c r="AX320" s="565">
        <f>WWWW[[#This Row],[%equitable and continuous access to sufficient quantity of safe drinking and domestic water''s GAP]]*WWWW[[#This Row],[Total PoP ]]</f>
        <v>170</v>
      </c>
      <c r="AY320" s="557">
        <f>IF(WWWW[[#This Row],[Total required water points]]-WWWW[[#This Row],['#Water points coverage]]&lt;0,0,WWWW[[#This Row],[Total required water points]]-WWWW[[#This Row],['#Water points coverage]])</f>
        <v>1</v>
      </c>
      <c r="AZ320" s="557">
        <f>ROUND(IF(WWWW[[#This Row],[Total PoP ]]&lt;250,1,WWWW[[#This Row],[Total PoP ]]/250),0)</f>
        <v>1</v>
      </c>
      <c r="BA32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0" s="565">
        <f>WWWW[[#This Row],[% people access to functioning Latrine]]*WWWW[[#This Row],[Total PoP ]]</f>
        <v>0</v>
      </c>
      <c r="BC320" s="557">
        <f>WWWW[[#This Row],['#_of_Functioning_latrines_in_school]]*50</f>
        <v>0</v>
      </c>
      <c r="BD320" s="557">
        <f>ROUND((WWWW[[#This Row],[Total PoP ]]/6),0)</f>
        <v>28</v>
      </c>
      <c r="BE320" s="557">
        <f>IF(WWWW[[#This Row],[Total required Latrines]]-(WWWW[[#This Row],['#_of_sanitary_fly-proof_HH_latrines]])&lt;0,0,WWWW[[#This Row],[Total required Latrines]]-(WWWW[[#This Row],['#_of_sanitary_fly-proof_HH_latrines]]))</f>
        <v>28</v>
      </c>
      <c r="BF320" s="558">
        <f>1-WWWW[[#This Row],[% people access to functioning Latrine]]</f>
        <v>1</v>
      </c>
      <c r="BG32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20" s="565">
        <f>IF(WWWW[[#This Row],['#_of_functional_handwashing_facilities_at_HH_level]]*6&gt;WWWW[[#This Row],[Total PoP ]],WWWW[[#This Row],[Total PoP ]],WWWW[[#This Row],['#_of_functional_handwashing_facilities_at_HH_level]]*6)</f>
        <v>0</v>
      </c>
      <c r="BI320" s="557">
        <f>IF(WWWW[[#This Row],['# people reached by regular dedicated hygiene promotion]]&gt;WWWW[[#This Row],['# People received regular supply of hygiene items]],WWWW[[#This Row],['# people reached by regular dedicated hygiene promotion]],WWWW[[#This Row],['# People received regular supply of hygiene items]])</f>
        <v>0</v>
      </c>
      <c r="BJ320" s="555">
        <f>IF(WWWW[[#This Row],[HRP3]]/WWWW[[#This Row],[Total PoP ]]&gt;100%,100%,WWWW[[#This Row],[HRP3]]/WWWW[[#This Row],[Total PoP ]])</f>
        <v>0</v>
      </c>
      <c r="BK320" s="558">
        <f>1-WWWW[[#This Row],[Hygiene Coverage%]]</f>
        <v>1</v>
      </c>
      <c r="BL320" s="556">
        <f>WWWW[[#This Row],['# people reached by regular dedicated hygiene promotion]]/WWWW[[#This Row],[Total PoP ]]</f>
        <v>0</v>
      </c>
      <c r="BM32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0" s="557">
        <f>WWWW[[#This Row],['#_of_affected_women_and_girls_receiving_a_sufficient_quantity_of_sanitary_pads]]</f>
        <v>0</v>
      </c>
      <c r="BO320" s="611">
        <f>IF(WWWW[[#This Row],['# People with access to soap]]&gt;WWWW[[#This Row],['# People with access to Sanity Pads]],WWWW[[#This Row],['# People with access to soap]],WWWW[[#This Row],['# People with access to Sanity Pads]])</f>
        <v>0</v>
      </c>
      <c r="BP320" s="565" t="str">
        <f>IF(OR(WWWW[[#This Row],['#of students in school]]="",WWWW[[#This Row],['#of students in school]]=0),"No","Yes")</f>
        <v>No</v>
      </c>
      <c r="BQ320" s="559" t="str">
        <f>VLOOKUP(WWWW[[#This Row],[Village  Name]],SiteDB6[[Site Name]:[Location Type 1]],9,FALSE)</f>
        <v>Village</v>
      </c>
      <c r="BR320" s="559" t="str">
        <f>VLOOKUP(WWWW[[#This Row],[Village  Name]],SiteDB6[[Site Name]:[Type of Accommodation]],10,FALSE)</f>
        <v>Village</v>
      </c>
      <c r="BS320" s="559" t="str">
        <f>VLOOKUP(WWWW[[#This Row],[Village  Name]],SiteDB6[[Site Name]:[Ethnic or GCA/NGCA]],11,FALSE)</f>
        <v>Rakhine</v>
      </c>
      <c r="BT320" s="559">
        <f>VLOOKUP(WWWW[[#This Row],[Village  Name]],SiteDB6[[Site Name]:[Lat]],12,FALSE)</f>
        <v>20.396680830000001</v>
      </c>
      <c r="BU320" s="559">
        <f>VLOOKUP(WWWW[[#This Row],[Village  Name]],SiteDB6[[Site Name]:[Long]],13,FALSE)</f>
        <v>93.252868649999996</v>
      </c>
      <c r="BV320" s="559">
        <f>VLOOKUP(WWWW[[#This Row],[Village  Name]],SiteDB6[[Site Name]:[Pcode]],3,FALSE)</f>
        <v>196998</v>
      </c>
      <c r="BW320" s="559" t="str">
        <f t="shared" si="12"/>
        <v>Covered</v>
      </c>
      <c r="BX320" s="587"/>
    </row>
    <row r="321" spans="1:76">
      <c r="A321" s="612" t="s">
        <v>2381</v>
      </c>
      <c r="B321" s="612" t="s">
        <v>316</v>
      </c>
      <c r="C321" s="457" t="s">
        <v>316</v>
      </c>
      <c r="D321" s="457" t="s">
        <v>329</v>
      </c>
      <c r="E321" s="551" t="s">
        <v>2687</v>
      </c>
      <c r="F321" s="457" t="s">
        <v>314</v>
      </c>
      <c r="G321" s="551" t="str">
        <f>VLOOKUP(WWWW[[#This Row],[Village  Name]],SiteDB6[[Site Name]:[Location Type]],8,FALSE)</f>
        <v>Village</v>
      </c>
      <c r="H321" s="457" t="s">
        <v>2651</v>
      </c>
      <c r="I321" s="611">
        <v>180</v>
      </c>
      <c r="J321" s="611">
        <v>964</v>
      </c>
      <c r="K321" s="461">
        <v>42736</v>
      </c>
      <c r="L321" s="55">
        <v>44551</v>
      </c>
      <c r="M321" s="611"/>
      <c r="N321" s="611"/>
      <c r="O321" s="611"/>
      <c r="P321" s="611"/>
      <c r="Q321" s="611"/>
      <c r="R321" s="611"/>
      <c r="S321" s="611"/>
      <c r="T321" s="643"/>
      <c r="U321" s="611"/>
      <c r="V321" s="611" t="s">
        <v>132</v>
      </c>
      <c r="W321" s="611"/>
      <c r="X321" s="611"/>
      <c r="Y321" s="611"/>
      <c r="Z321" s="611"/>
      <c r="AA321" s="611"/>
      <c r="AB321" s="643"/>
      <c r="AC321" s="611"/>
      <c r="AD321" s="611"/>
      <c r="AE321" s="611"/>
      <c r="AF321" s="611"/>
      <c r="AG321" s="611"/>
      <c r="AH321" s="611"/>
      <c r="AI321" s="611"/>
      <c r="AJ321" s="611"/>
      <c r="AK321" s="611"/>
      <c r="AL321" s="611"/>
      <c r="AM321" s="643"/>
      <c r="AN321" s="611"/>
      <c r="AO321" s="611"/>
      <c r="AP32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21" s="565">
        <f>WWWW[[#This Row],[%Equitable and continuous access to sufficient quantity of safe drinking water]]*WWWW[[#This Row],[Total PoP ]]</f>
        <v>0</v>
      </c>
      <c r="AR32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1" s="565">
        <f>WWWW[[#This Row],[% Access to unimproved water points]]*WWWW[[#This Row],[Total PoP ]]</f>
        <v>0</v>
      </c>
      <c r="AT32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2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21" s="565">
        <f>WWWW[[#This Row],[HRP1]]/250</f>
        <v>0</v>
      </c>
      <c r="AW321" s="555">
        <f>1-WWWW[[#This Row],[% Equitable and continuous access to sufficient quantity of domestic water]]</f>
        <v>1</v>
      </c>
      <c r="AX321" s="565">
        <f>WWWW[[#This Row],[%equitable and continuous access to sufficient quantity of safe drinking and domestic water''s GAP]]*WWWW[[#This Row],[Total PoP ]]</f>
        <v>964</v>
      </c>
      <c r="AY321" s="557">
        <f>IF(WWWW[[#This Row],[Total required water points]]-WWWW[[#This Row],['#Water points coverage]]&lt;0,0,WWWW[[#This Row],[Total required water points]]-WWWW[[#This Row],['#Water points coverage]])</f>
        <v>4</v>
      </c>
      <c r="AZ321" s="557">
        <f>ROUND(IF(WWWW[[#This Row],[Total PoP ]]&lt;250,1,WWWW[[#This Row],[Total PoP ]]/250),0)</f>
        <v>4</v>
      </c>
      <c r="BA32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1" s="565">
        <f>WWWW[[#This Row],[% people access to functioning Latrine]]*WWWW[[#This Row],[Total PoP ]]</f>
        <v>0</v>
      </c>
      <c r="BC321" s="557">
        <f>WWWW[[#This Row],['#_of_Functioning_latrines_in_school]]*50</f>
        <v>0</v>
      </c>
      <c r="BD321" s="557">
        <f>ROUND((WWWW[[#This Row],[Total PoP ]]/6),0)</f>
        <v>161</v>
      </c>
      <c r="BE321" s="557">
        <f>IF(WWWW[[#This Row],[Total required Latrines]]-(WWWW[[#This Row],['#_of_sanitary_fly-proof_HH_latrines]])&lt;0,0,WWWW[[#This Row],[Total required Latrines]]-(WWWW[[#This Row],['#_of_sanitary_fly-proof_HH_latrines]]))</f>
        <v>161</v>
      </c>
      <c r="BF321" s="558">
        <f>1-WWWW[[#This Row],[% people access to functioning Latrine]]</f>
        <v>1</v>
      </c>
      <c r="BG32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21" s="565">
        <f>IF(WWWW[[#This Row],['#_of_functional_handwashing_facilities_at_HH_level]]*6&gt;WWWW[[#This Row],[Total PoP ]],WWWW[[#This Row],[Total PoP ]],WWWW[[#This Row],['#_of_functional_handwashing_facilities_at_HH_level]]*6)</f>
        <v>0</v>
      </c>
      <c r="BI321" s="557">
        <f>IF(WWWW[[#This Row],['# people reached by regular dedicated hygiene promotion]]&gt;WWWW[[#This Row],['# People received regular supply of hygiene items]],WWWW[[#This Row],['# people reached by regular dedicated hygiene promotion]],WWWW[[#This Row],['# People received regular supply of hygiene items]])</f>
        <v>0</v>
      </c>
      <c r="BJ321" s="555">
        <f>IF(WWWW[[#This Row],[HRP3]]/WWWW[[#This Row],[Total PoP ]]&gt;100%,100%,WWWW[[#This Row],[HRP3]]/WWWW[[#This Row],[Total PoP ]])</f>
        <v>0</v>
      </c>
      <c r="BK321" s="558">
        <f>1-WWWW[[#This Row],[Hygiene Coverage%]]</f>
        <v>1</v>
      </c>
      <c r="BL321" s="556">
        <f>WWWW[[#This Row],['# people reached by regular dedicated hygiene promotion]]/WWWW[[#This Row],[Total PoP ]]</f>
        <v>0</v>
      </c>
      <c r="BM32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1" s="557">
        <f>WWWW[[#This Row],['#_of_affected_women_and_girls_receiving_a_sufficient_quantity_of_sanitary_pads]]</f>
        <v>0</v>
      </c>
      <c r="BO321" s="611">
        <f>IF(WWWW[[#This Row],['# People with access to soap]]&gt;WWWW[[#This Row],['# People with access to Sanity Pads]],WWWW[[#This Row],['# People with access to soap]],WWWW[[#This Row],['# People with access to Sanity Pads]])</f>
        <v>0</v>
      </c>
      <c r="BP321" s="565" t="str">
        <f>IF(OR(WWWW[[#This Row],['#of students in school]]="",WWWW[[#This Row],['#of students in school]]=0),"No","Yes")</f>
        <v>No</v>
      </c>
      <c r="BQ321" s="559" t="str">
        <f>VLOOKUP(WWWW[[#This Row],[Village  Name]],SiteDB6[[Site Name]:[Location Type 1]],9,FALSE)</f>
        <v>Village</v>
      </c>
      <c r="BR321" s="559" t="str">
        <f>VLOOKUP(WWWW[[#This Row],[Village  Name]],SiteDB6[[Site Name]:[Type of Accommodation]],10,FALSE)</f>
        <v>Village</v>
      </c>
      <c r="BS321" s="559">
        <f>VLOOKUP(WWWW[[#This Row],[Village  Name]],SiteDB6[[Site Name]:[Ethnic or GCA/NGCA]],11,FALSE)</f>
        <v>0</v>
      </c>
      <c r="BT321" s="559">
        <f>VLOOKUP(WWWW[[#This Row],[Village  Name]],SiteDB6[[Site Name]:[Lat]],12,FALSE)</f>
        <v>0</v>
      </c>
      <c r="BU321" s="559">
        <f>VLOOKUP(WWWW[[#This Row],[Village  Name]],SiteDB6[[Site Name]:[Long]],13,FALSE)</f>
        <v>0</v>
      </c>
      <c r="BV321" s="559">
        <f>VLOOKUP(WWWW[[#This Row],[Village  Name]],SiteDB6[[Site Name]:[Pcode]],3,FALSE)</f>
        <v>197114</v>
      </c>
      <c r="BW321" s="559" t="str">
        <f t="shared" si="12"/>
        <v>Covered</v>
      </c>
      <c r="BX321" s="587"/>
    </row>
    <row r="322" spans="1:76">
      <c r="A322" s="612" t="s">
        <v>2381</v>
      </c>
      <c r="B322" s="612" t="s">
        <v>316</v>
      </c>
      <c r="C322" s="457" t="s">
        <v>316</v>
      </c>
      <c r="D322" s="457" t="s">
        <v>329</v>
      </c>
      <c r="E322" s="551" t="s">
        <v>2687</v>
      </c>
      <c r="F322" s="457" t="s">
        <v>314</v>
      </c>
      <c r="G322" s="551" t="str">
        <f>VLOOKUP(WWWW[[#This Row],[Village  Name]],SiteDB6[[Site Name]:[Location Type]],8,FALSE)</f>
        <v>Village</v>
      </c>
      <c r="H322" s="457" t="s">
        <v>2652</v>
      </c>
      <c r="I322" s="611">
        <v>130</v>
      </c>
      <c r="J322" s="611">
        <v>398</v>
      </c>
      <c r="K322" s="461">
        <v>42736</v>
      </c>
      <c r="L322" s="55">
        <v>44551</v>
      </c>
      <c r="M322" s="611"/>
      <c r="N322" s="611"/>
      <c r="O322" s="611"/>
      <c r="P322" s="611"/>
      <c r="Q322" s="611"/>
      <c r="R322" s="611"/>
      <c r="S322" s="611"/>
      <c r="T322" s="643"/>
      <c r="U322" s="611"/>
      <c r="V322" s="611" t="s">
        <v>132</v>
      </c>
      <c r="W322" s="611"/>
      <c r="X322" s="611"/>
      <c r="Y322" s="611"/>
      <c r="Z322" s="611"/>
      <c r="AA322" s="611"/>
      <c r="AB322" s="643"/>
      <c r="AC322" s="611"/>
      <c r="AD322" s="611"/>
      <c r="AE322" s="611"/>
      <c r="AF322" s="611"/>
      <c r="AG322" s="611"/>
      <c r="AH322" s="611"/>
      <c r="AI322" s="611"/>
      <c r="AJ322" s="611"/>
      <c r="AK322" s="611"/>
      <c r="AL322" s="611"/>
      <c r="AM322" s="643"/>
      <c r="AN322" s="611"/>
      <c r="AO322" s="611"/>
      <c r="AP32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22" s="565">
        <f>WWWW[[#This Row],[%Equitable and continuous access to sufficient quantity of safe drinking water]]*WWWW[[#This Row],[Total PoP ]]</f>
        <v>0</v>
      </c>
      <c r="AR32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2" s="565">
        <f>WWWW[[#This Row],[% Access to unimproved water points]]*WWWW[[#This Row],[Total PoP ]]</f>
        <v>0</v>
      </c>
      <c r="AT32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2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22" s="565">
        <f>WWWW[[#This Row],[HRP1]]/250</f>
        <v>0</v>
      </c>
      <c r="AW322" s="555">
        <f>1-WWWW[[#This Row],[% Equitable and continuous access to sufficient quantity of domestic water]]</f>
        <v>1</v>
      </c>
      <c r="AX322" s="565">
        <f>WWWW[[#This Row],[%equitable and continuous access to sufficient quantity of safe drinking and domestic water''s GAP]]*WWWW[[#This Row],[Total PoP ]]</f>
        <v>398</v>
      </c>
      <c r="AY322" s="557">
        <f>IF(WWWW[[#This Row],[Total required water points]]-WWWW[[#This Row],['#Water points coverage]]&lt;0,0,WWWW[[#This Row],[Total required water points]]-WWWW[[#This Row],['#Water points coverage]])</f>
        <v>2</v>
      </c>
      <c r="AZ322" s="557">
        <f>ROUND(IF(WWWW[[#This Row],[Total PoP ]]&lt;250,1,WWWW[[#This Row],[Total PoP ]]/250),0)</f>
        <v>2</v>
      </c>
      <c r="BA32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2" s="565">
        <f>WWWW[[#This Row],[% people access to functioning Latrine]]*WWWW[[#This Row],[Total PoP ]]</f>
        <v>0</v>
      </c>
      <c r="BC322" s="557">
        <f>WWWW[[#This Row],['#_of_Functioning_latrines_in_school]]*50</f>
        <v>0</v>
      </c>
      <c r="BD322" s="557">
        <f>ROUND((WWWW[[#This Row],[Total PoP ]]/6),0)</f>
        <v>66</v>
      </c>
      <c r="BE322" s="557">
        <f>IF(WWWW[[#This Row],[Total required Latrines]]-(WWWW[[#This Row],['#_of_sanitary_fly-proof_HH_latrines]])&lt;0,0,WWWW[[#This Row],[Total required Latrines]]-(WWWW[[#This Row],['#_of_sanitary_fly-proof_HH_latrines]]))</f>
        <v>66</v>
      </c>
      <c r="BF322" s="558">
        <f>1-WWWW[[#This Row],[% people access to functioning Latrine]]</f>
        <v>1</v>
      </c>
      <c r="BG32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22" s="565">
        <f>IF(WWWW[[#This Row],['#_of_functional_handwashing_facilities_at_HH_level]]*6&gt;WWWW[[#This Row],[Total PoP ]],WWWW[[#This Row],[Total PoP ]],WWWW[[#This Row],['#_of_functional_handwashing_facilities_at_HH_level]]*6)</f>
        <v>0</v>
      </c>
      <c r="BI322" s="557">
        <f>IF(WWWW[[#This Row],['# people reached by regular dedicated hygiene promotion]]&gt;WWWW[[#This Row],['# People received regular supply of hygiene items]],WWWW[[#This Row],['# people reached by regular dedicated hygiene promotion]],WWWW[[#This Row],['# People received regular supply of hygiene items]])</f>
        <v>0</v>
      </c>
      <c r="BJ322" s="555">
        <f>IF(WWWW[[#This Row],[HRP3]]/WWWW[[#This Row],[Total PoP ]]&gt;100%,100%,WWWW[[#This Row],[HRP3]]/WWWW[[#This Row],[Total PoP ]])</f>
        <v>0</v>
      </c>
      <c r="BK322" s="558">
        <f>1-WWWW[[#This Row],[Hygiene Coverage%]]</f>
        <v>1</v>
      </c>
      <c r="BL322" s="556">
        <f>WWWW[[#This Row],['# people reached by regular dedicated hygiene promotion]]/WWWW[[#This Row],[Total PoP ]]</f>
        <v>0</v>
      </c>
      <c r="BM32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2" s="557">
        <f>WWWW[[#This Row],['#_of_affected_women_and_girls_receiving_a_sufficient_quantity_of_sanitary_pads]]</f>
        <v>0</v>
      </c>
      <c r="BO322" s="611">
        <f>IF(WWWW[[#This Row],['# People with access to soap]]&gt;WWWW[[#This Row],['# People with access to Sanity Pads]],WWWW[[#This Row],['# People with access to soap]],WWWW[[#This Row],['# People with access to Sanity Pads]])</f>
        <v>0</v>
      </c>
      <c r="BP322" s="565" t="str">
        <f>IF(OR(WWWW[[#This Row],['#of students in school]]="",WWWW[[#This Row],['#of students in school]]=0),"No","Yes")</f>
        <v>No</v>
      </c>
      <c r="BQ322" s="559" t="str">
        <f>VLOOKUP(WWWW[[#This Row],[Village  Name]],SiteDB6[[Site Name]:[Location Type 1]],9,FALSE)</f>
        <v>Village</v>
      </c>
      <c r="BR322" s="559" t="str">
        <f>VLOOKUP(WWWW[[#This Row],[Village  Name]],SiteDB6[[Site Name]:[Type of Accommodation]],10,FALSE)</f>
        <v>Village</v>
      </c>
      <c r="BS322" s="559">
        <f>VLOOKUP(WWWW[[#This Row],[Village  Name]],SiteDB6[[Site Name]:[Ethnic or GCA/NGCA]],11,FALSE)</f>
        <v>0</v>
      </c>
      <c r="BT322" s="559">
        <f>VLOOKUP(WWWW[[#This Row],[Village  Name]],SiteDB6[[Site Name]:[Lat]],12,FALSE)</f>
        <v>0</v>
      </c>
      <c r="BU322" s="559">
        <f>VLOOKUP(WWWW[[#This Row],[Village  Name]],SiteDB6[[Site Name]:[Long]],13,FALSE)</f>
        <v>0</v>
      </c>
      <c r="BV322" s="559">
        <f>VLOOKUP(WWWW[[#This Row],[Village  Name]],SiteDB6[[Site Name]:[Pcode]],3,FALSE)</f>
        <v>197111</v>
      </c>
      <c r="BW322" s="559" t="str">
        <f t="shared" si="12"/>
        <v>Covered</v>
      </c>
      <c r="BX322" s="587"/>
    </row>
    <row r="323" spans="1:76">
      <c r="A323" s="612" t="s">
        <v>2381</v>
      </c>
      <c r="B323" s="612" t="s">
        <v>316</v>
      </c>
      <c r="C323" s="457" t="s">
        <v>316</v>
      </c>
      <c r="D323" s="457" t="s">
        <v>329</v>
      </c>
      <c r="E323" s="551" t="s">
        <v>2687</v>
      </c>
      <c r="F323" s="457" t="s">
        <v>314</v>
      </c>
      <c r="G323" s="551" t="str">
        <f>VLOOKUP(WWWW[[#This Row],[Village  Name]],SiteDB6[[Site Name]:[Location Type]],8,FALSE)</f>
        <v>Village</v>
      </c>
      <c r="H323" s="457" t="s">
        <v>2653</v>
      </c>
      <c r="I323" s="611">
        <v>191</v>
      </c>
      <c r="J323" s="611">
        <v>713</v>
      </c>
      <c r="K323" s="461">
        <v>42736</v>
      </c>
      <c r="L323" s="55">
        <v>44551</v>
      </c>
      <c r="M323" s="611"/>
      <c r="N323" s="611"/>
      <c r="O323" s="611"/>
      <c r="P323" s="611"/>
      <c r="Q323" s="611"/>
      <c r="R323" s="611"/>
      <c r="S323" s="611"/>
      <c r="T323" s="643"/>
      <c r="U323" s="611"/>
      <c r="V323" s="611" t="s">
        <v>132</v>
      </c>
      <c r="W323" s="611"/>
      <c r="X323" s="611"/>
      <c r="Y323" s="611"/>
      <c r="Z323" s="611"/>
      <c r="AA323" s="611"/>
      <c r="AB323" s="643"/>
      <c r="AC323" s="611"/>
      <c r="AD323" s="611"/>
      <c r="AE323" s="611"/>
      <c r="AF323" s="611"/>
      <c r="AG323" s="611"/>
      <c r="AH323" s="611"/>
      <c r="AI323" s="611"/>
      <c r="AJ323" s="611"/>
      <c r="AK323" s="611"/>
      <c r="AL323" s="611"/>
      <c r="AM323" s="643"/>
      <c r="AN323" s="611"/>
      <c r="AO323" s="611"/>
      <c r="AP32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23" s="565">
        <f>WWWW[[#This Row],[%Equitable and continuous access to sufficient quantity of safe drinking water]]*WWWW[[#This Row],[Total PoP ]]</f>
        <v>0</v>
      </c>
      <c r="AR32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3" s="565">
        <f>WWWW[[#This Row],[% Access to unimproved water points]]*WWWW[[#This Row],[Total PoP ]]</f>
        <v>0</v>
      </c>
      <c r="AT32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2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23" s="565">
        <f>WWWW[[#This Row],[HRP1]]/250</f>
        <v>0</v>
      </c>
      <c r="AW323" s="555">
        <f>1-WWWW[[#This Row],[% Equitable and continuous access to sufficient quantity of domestic water]]</f>
        <v>1</v>
      </c>
      <c r="AX323" s="565">
        <f>WWWW[[#This Row],[%equitable and continuous access to sufficient quantity of safe drinking and domestic water''s GAP]]*WWWW[[#This Row],[Total PoP ]]</f>
        <v>713</v>
      </c>
      <c r="AY323" s="557">
        <f>IF(WWWW[[#This Row],[Total required water points]]-WWWW[[#This Row],['#Water points coverage]]&lt;0,0,WWWW[[#This Row],[Total required water points]]-WWWW[[#This Row],['#Water points coverage]])</f>
        <v>3</v>
      </c>
      <c r="AZ323" s="557">
        <f>ROUND(IF(WWWW[[#This Row],[Total PoP ]]&lt;250,1,WWWW[[#This Row],[Total PoP ]]/250),0)</f>
        <v>3</v>
      </c>
      <c r="BA32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3" s="565">
        <f>WWWW[[#This Row],[% people access to functioning Latrine]]*WWWW[[#This Row],[Total PoP ]]</f>
        <v>0</v>
      </c>
      <c r="BC323" s="557">
        <f>WWWW[[#This Row],['#_of_Functioning_latrines_in_school]]*50</f>
        <v>0</v>
      </c>
      <c r="BD323" s="557">
        <f>ROUND((WWWW[[#This Row],[Total PoP ]]/6),0)</f>
        <v>119</v>
      </c>
      <c r="BE323" s="557">
        <f>IF(WWWW[[#This Row],[Total required Latrines]]-(WWWW[[#This Row],['#_of_sanitary_fly-proof_HH_latrines]])&lt;0,0,WWWW[[#This Row],[Total required Latrines]]-(WWWW[[#This Row],['#_of_sanitary_fly-proof_HH_latrines]]))</f>
        <v>119</v>
      </c>
      <c r="BF323" s="558">
        <f>1-WWWW[[#This Row],[% people access to functioning Latrine]]</f>
        <v>1</v>
      </c>
      <c r="BG32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23" s="565">
        <f>IF(WWWW[[#This Row],['#_of_functional_handwashing_facilities_at_HH_level]]*6&gt;WWWW[[#This Row],[Total PoP ]],WWWW[[#This Row],[Total PoP ]],WWWW[[#This Row],['#_of_functional_handwashing_facilities_at_HH_level]]*6)</f>
        <v>0</v>
      </c>
      <c r="BI323" s="557">
        <f>IF(WWWW[[#This Row],['# people reached by regular dedicated hygiene promotion]]&gt;WWWW[[#This Row],['# People received regular supply of hygiene items]],WWWW[[#This Row],['# people reached by regular dedicated hygiene promotion]],WWWW[[#This Row],['# People received regular supply of hygiene items]])</f>
        <v>0</v>
      </c>
      <c r="BJ323" s="555">
        <f>IF(WWWW[[#This Row],[HRP3]]/WWWW[[#This Row],[Total PoP ]]&gt;100%,100%,WWWW[[#This Row],[HRP3]]/WWWW[[#This Row],[Total PoP ]])</f>
        <v>0</v>
      </c>
      <c r="BK323" s="558">
        <f>1-WWWW[[#This Row],[Hygiene Coverage%]]</f>
        <v>1</v>
      </c>
      <c r="BL323" s="556">
        <f>WWWW[[#This Row],['# people reached by regular dedicated hygiene promotion]]/WWWW[[#This Row],[Total PoP ]]</f>
        <v>0</v>
      </c>
      <c r="BM32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3" s="557">
        <f>WWWW[[#This Row],['#_of_affected_women_and_girls_receiving_a_sufficient_quantity_of_sanitary_pads]]</f>
        <v>0</v>
      </c>
      <c r="BO323" s="611">
        <f>IF(WWWW[[#This Row],['# People with access to soap]]&gt;WWWW[[#This Row],['# People with access to Sanity Pads]],WWWW[[#This Row],['# People with access to soap]],WWWW[[#This Row],['# People with access to Sanity Pads]])</f>
        <v>0</v>
      </c>
      <c r="BP323" s="565" t="str">
        <f>IF(OR(WWWW[[#This Row],['#of students in school]]="",WWWW[[#This Row],['#of students in school]]=0),"No","Yes")</f>
        <v>No</v>
      </c>
      <c r="BQ323" s="559" t="str">
        <f>VLOOKUP(WWWW[[#This Row],[Village  Name]],SiteDB6[[Site Name]:[Location Type 1]],9,FALSE)</f>
        <v>Village</v>
      </c>
      <c r="BR323" s="559" t="str">
        <f>VLOOKUP(WWWW[[#This Row],[Village  Name]],SiteDB6[[Site Name]:[Type of Accommodation]],10,FALSE)</f>
        <v>Village</v>
      </c>
      <c r="BS323" s="559">
        <f>VLOOKUP(WWWW[[#This Row],[Village  Name]],SiteDB6[[Site Name]:[Ethnic or GCA/NGCA]],11,FALSE)</f>
        <v>0</v>
      </c>
      <c r="BT323" s="559">
        <f>VLOOKUP(WWWW[[#This Row],[Village  Name]],SiteDB6[[Site Name]:[Lat]],12,FALSE)</f>
        <v>0</v>
      </c>
      <c r="BU323" s="559">
        <f>VLOOKUP(WWWW[[#This Row],[Village  Name]],SiteDB6[[Site Name]:[Long]],13,FALSE)</f>
        <v>0</v>
      </c>
      <c r="BV323" s="559">
        <f>VLOOKUP(WWWW[[#This Row],[Village  Name]],SiteDB6[[Site Name]:[Pcode]],3,FALSE)</f>
        <v>197112</v>
      </c>
      <c r="BW323" s="559" t="str">
        <f t="shared" si="12"/>
        <v>Covered</v>
      </c>
      <c r="BX323" s="587"/>
    </row>
    <row r="324" spans="1:76">
      <c r="A324" s="612" t="s">
        <v>2381</v>
      </c>
      <c r="B324" s="612" t="s">
        <v>316</v>
      </c>
      <c r="C324" s="457" t="s">
        <v>316</v>
      </c>
      <c r="D324" s="457" t="s">
        <v>329</v>
      </c>
      <c r="E324" s="551" t="s">
        <v>2687</v>
      </c>
      <c r="F324" s="457" t="s">
        <v>314</v>
      </c>
      <c r="G324" s="551" t="str">
        <f>VLOOKUP(WWWW[[#This Row],[Village  Name]],SiteDB6[[Site Name]:[Location Type]],8,FALSE)</f>
        <v>Village</v>
      </c>
      <c r="H324" s="457" t="s">
        <v>2654</v>
      </c>
      <c r="I324" s="611">
        <v>27</v>
      </c>
      <c r="J324" s="611">
        <v>53</v>
      </c>
      <c r="K324" s="461">
        <v>42736</v>
      </c>
      <c r="L324" s="55">
        <v>44551</v>
      </c>
      <c r="M324" s="611"/>
      <c r="N324" s="611"/>
      <c r="O324" s="611"/>
      <c r="P324" s="611"/>
      <c r="Q324" s="611"/>
      <c r="R324" s="611"/>
      <c r="S324" s="611"/>
      <c r="T324" s="643"/>
      <c r="U324" s="611"/>
      <c r="V324" s="611" t="s">
        <v>132</v>
      </c>
      <c r="W324" s="611"/>
      <c r="X324" s="611"/>
      <c r="Y324" s="611"/>
      <c r="Z324" s="611"/>
      <c r="AA324" s="611"/>
      <c r="AB324" s="643"/>
      <c r="AC324" s="611"/>
      <c r="AD324" s="611"/>
      <c r="AE324" s="611"/>
      <c r="AF324" s="611"/>
      <c r="AG324" s="611"/>
      <c r="AH324" s="611"/>
      <c r="AI324" s="611"/>
      <c r="AJ324" s="611"/>
      <c r="AK324" s="611"/>
      <c r="AL324" s="611"/>
      <c r="AM324" s="643"/>
      <c r="AN324" s="611"/>
      <c r="AO324" s="611"/>
      <c r="AP32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24" s="565">
        <f>WWWW[[#This Row],[%Equitable and continuous access to sufficient quantity of safe drinking water]]*WWWW[[#This Row],[Total PoP ]]</f>
        <v>0</v>
      </c>
      <c r="AR32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4" s="565">
        <f>WWWW[[#This Row],[% Access to unimproved water points]]*WWWW[[#This Row],[Total PoP ]]</f>
        <v>0</v>
      </c>
      <c r="AT32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2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24" s="565">
        <f>WWWW[[#This Row],[HRP1]]/250</f>
        <v>0</v>
      </c>
      <c r="AW324" s="555">
        <f>1-WWWW[[#This Row],[% Equitable and continuous access to sufficient quantity of domestic water]]</f>
        <v>1</v>
      </c>
      <c r="AX324" s="565">
        <f>WWWW[[#This Row],[%equitable and continuous access to sufficient quantity of safe drinking and domestic water''s GAP]]*WWWW[[#This Row],[Total PoP ]]</f>
        <v>53</v>
      </c>
      <c r="AY324" s="557">
        <f>IF(WWWW[[#This Row],[Total required water points]]-WWWW[[#This Row],['#Water points coverage]]&lt;0,0,WWWW[[#This Row],[Total required water points]]-WWWW[[#This Row],['#Water points coverage]])</f>
        <v>1</v>
      </c>
      <c r="AZ324" s="557">
        <f>ROUND(IF(WWWW[[#This Row],[Total PoP ]]&lt;250,1,WWWW[[#This Row],[Total PoP ]]/250),0)</f>
        <v>1</v>
      </c>
      <c r="BA32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4" s="565">
        <f>WWWW[[#This Row],[% people access to functioning Latrine]]*WWWW[[#This Row],[Total PoP ]]</f>
        <v>0</v>
      </c>
      <c r="BC324" s="557">
        <f>WWWW[[#This Row],['#_of_Functioning_latrines_in_school]]*50</f>
        <v>0</v>
      </c>
      <c r="BD324" s="557">
        <f>ROUND((WWWW[[#This Row],[Total PoP ]]/6),0)</f>
        <v>9</v>
      </c>
      <c r="BE324" s="557">
        <f>IF(WWWW[[#This Row],[Total required Latrines]]-(WWWW[[#This Row],['#_of_sanitary_fly-proof_HH_latrines]])&lt;0,0,WWWW[[#This Row],[Total required Latrines]]-(WWWW[[#This Row],['#_of_sanitary_fly-proof_HH_latrines]]))</f>
        <v>9</v>
      </c>
      <c r="BF324" s="558">
        <f>1-WWWW[[#This Row],[% people access to functioning Latrine]]</f>
        <v>1</v>
      </c>
      <c r="BG32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24" s="565">
        <f>IF(WWWW[[#This Row],['#_of_functional_handwashing_facilities_at_HH_level]]*6&gt;WWWW[[#This Row],[Total PoP ]],WWWW[[#This Row],[Total PoP ]],WWWW[[#This Row],['#_of_functional_handwashing_facilities_at_HH_level]]*6)</f>
        <v>0</v>
      </c>
      <c r="BI324" s="557">
        <f>IF(WWWW[[#This Row],['# people reached by regular dedicated hygiene promotion]]&gt;WWWW[[#This Row],['# People received regular supply of hygiene items]],WWWW[[#This Row],['# people reached by regular dedicated hygiene promotion]],WWWW[[#This Row],['# People received regular supply of hygiene items]])</f>
        <v>0</v>
      </c>
      <c r="BJ324" s="555">
        <f>IF(WWWW[[#This Row],[HRP3]]/WWWW[[#This Row],[Total PoP ]]&gt;100%,100%,WWWW[[#This Row],[HRP3]]/WWWW[[#This Row],[Total PoP ]])</f>
        <v>0</v>
      </c>
      <c r="BK324" s="558">
        <f>1-WWWW[[#This Row],[Hygiene Coverage%]]</f>
        <v>1</v>
      </c>
      <c r="BL324" s="556">
        <f>WWWW[[#This Row],['# people reached by regular dedicated hygiene promotion]]/WWWW[[#This Row],[Total PoP ]]</f>
        <v>0</v>
      </c>
      <c r="BM32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4" s="557">
        <f>WWWW[[#This Row],['#_of_affected_women_and_girls_receiving_a_sufficient_quantity_of_sanitary_pads]]</f>
        <v>0</v>
      </c>
      <c r="BO324" s="611">
        <f>IF(WWWW[[#This Row],['# People with access to soap]]&gt;WWWW[[#This Row],['# People with access to Sanity Pads]],WWWW[[#This Row],['# People with access to soap]],WWWW[[#This Row],['# People with access to Sanity Pads]])</f>
        <v>0</v>
      </c>
      <c r="BP324" s="565" t="str">
        <f>IF(OR(WWWW[[#This Row],['#of students in school]]="",WWWW[[#This Row],['#of students in school]]=0),"No","Yes")</f>
        <v>No</v>
      </c>
      <c r="BQ324" s="559" t="str">
        <f>VLOOKUP(WWWW[[#This Row],[Village  Name]],SiteDB6[[Site Name]:[Location Type 1]],9,FALSE)</f>
        <v>Village</v>
      </c>
      <c r="BR324" s="559" t="str">
        <f>VLOOKUP(WWWW[[#This Row],[Village  Name]],SiteDB6[[Site Name]:[Type of Accommodation]],10,FALSE)</f>
        <v>Village</v>
      </c>
      <c r="BS324" s="559">
        <f>VLOOKUP(WWWW[[#This Row],[Village  Name]],SiteDB6[[Site Name]:[Ethnic or GCA/NGCA]],11,FALSE)</f>
        <v>0</v>
      </c>
      <c r="BT324" s="559">
        <f>VLOOKUP(WWWW[[#This Row],[Village  Name]],SiteDB6[[Site Name]:[Lat]],12,FALSE)</f>
        <v>0</v>
      </c>
      <c r="BU324" s="559">
        <f>VLOOKUP(WWWW[[#This Row],[Village  Name]],SiteDB6[[Site Name]:[Long]],13,FALSE)</f>
        <v>0</v>
      </c>
      <c r="BV324" s="559">
        <f>VLOOKUP(WWWW[[#This Row],[Village  Name]],SiteDB6[[Site Name]:[Pcode]],3,FALSE)</f>
        <v>220653</v>
      </c>
      <c r="BW324" s="559" t="str">
        <f t="shared" si="12"/>
        <v>Covered</v>
      </c>
      <c r="BX324" s="587"/>
    </row>
    <row r="325" spans="1:76">
      <c r="A325" s="612" t="s">
        <v>2381</v>
      </c>
      <c r="B325" s="612" t="s">
        <v>316</v>
      </c>
      <c r="C325" s="457" t="s">
        <v>316</v>
      </c>
      <c r="D325" s="457" t="s">
        <v>329</v>
      </c>
      <c r="E325" s="551" t="s">
        <v>2687</v>
      </c>
      <c r="F325" s="457" t="s">
        <v>314</v>
      </c>
      <c r="G325" s="551" t="str">
        <f>VLOOKUP(WWWW[[#This Row],[Village  Name]],SiteDB6[[Site Name]:[Location Type]],8,FALSE)</f>
        <v>Village</v>
      </c>
      <c r="H325" s="457" t="s">
        <v>660</v>
      </c>
      <c r="I325" s="611">
        <v>63</v>
      </c>
      <c r="J325" s="611">
        <v>249</v>
      </c>
      <c r="K325" s="461">
        <v>42736</v>
      </c>
      <c r="L325" s="55">
        <v>44551</v>
      </c>
      <c r="M325" s="611"/>
      <c r="N325" s="611"/>
      <c r="O325" s="611"/>
      <c r="P325" s="611"/>
      <c r="Q325" s="611"/>
      <c r="R325" s="611"/>
      <c r="S325" s="611"/>
      <c r="T325" s="643"/>
      <c r="U325" s="611"/>
      <c r="V325" s="611" t="s">
        <v>132</v>
      </c>
      <c r="W325" s="611"/>
      <c r="X325" s="611"/>
      <c r="Y325" s="611"/>
      <c r="Z325" s="611"/>
      <c r="AA325" s="611"/>
      <c r="AB325" s="643"/>
      <c r="AC325" s="611"/>
      <c r="AD325" s="611"/>
      <c r="AE325" s="611"/>
      <c r="AF325" s="611"/>
      <c r="AG325" s="611"/>
      <c r="AH325" s="611"/>
      <c r="AI325" s="611"/>
      <c r="AJ325" s="611"/>
      <c r="AK325" s="611"/>
      <c r="AL325" s="611"/>
      <c r="AM325" s="643"/>
      <c r="AN325" s="611"/>
      <c r="AO325" s="611"/>
      <c r="AP32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25" s="565">
        <f>WWWW[[#This Row],[%Equitable and continuous access to sufficient quantity of safe drinking water]]*WWWW[[#This Row],[Total PoP ]]</f>
        <v>0</v>
      </c>
      <c r="AR32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5" s="565">
        <f>WWWW[[#This Row],[% Access to unimproved water points]]*WWWW[[#This Row],[Total PoP ]]</f>
        <v>0</v>
      </c>
      <c r="AT32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2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25" s="565">
        <f>WWWW[[#This Row],[HRP1]]/250</f>
        <v>0</v>
      </c>
      <c r="AW325" s="555">
        <f>1-WWWW[[#This Row],[% Equitable and continuous access to sufficient quantity of domestic water]]</f>
        <v>1</v>
      </c>
      <c r="AX325" s="565">
        <f>WWWW[[#This Row],[%equitable and continuous access to sufficient quantity of safe drinking and domestic water''s GAP]]*WWWW[[#This Row],[Total PoP ]]</f>
        <v>249</v>
      </c>
      <c r="AY325" s="557">
        <f>IF(WWWW[[#This Row],[Total required water points]]-WWWW[[#This Row],['#Water points coverage]]&lt;0,0,WWWW[[#This Row],[Total required water points]]-WWWW[[#This Row],['#Water points coverage]])</f>
        <v>1</v>
      </c>
      <c r="AZ325" s="557">
        <f>ROUND(IF(WWWW[[#This Row],[Total PoP ]]&lt;250,1,WWWW[[#This Row],[Total PoP ]]/250),0)</f>
        <v>1</v>
      </c>
      <c r="BA32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5" s="565">
        <f>WWWW[[#This Row],[% people access to functioning Latrine]]*WWWW[[#This Row],[Total PoP ]]</f>
        <v>0</v>
      </c>
      <c r="BC325" s="557">
        <f>WWWW[[#This Row],['#_of_Functioning_latrines_in_school]]*50</f>
        <v>0</v>
      </c>
      <c r="BD325" s="557">
        <f>ROUND((WWWW[[#This Row],[Total PoP ]]/6),0)</f>
        <v>42</v>
      </c>
      <c r="BE325" s="557">
        <f>IF(WWWW[[#This Row],[Total required Latrines]]-(WWWW[[#This Row],['#_of_sanitary_fly-proof_HH_latrines]])&lt;0,0,WWWW[[#This Row],[Total required Latrines]]-(WWWW[[#This Row],['#_of_sanitary_fly-proof_HH_latrines]]))</f>
        <v>42</v>
      </c>
      <c r="BF325" s="558">
        <f>1-WWWW[[#This Row],[% people access to functioning Latrine]]</f>
        <v>1</v>
      </c>
      <c r="BG32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25" s="565">
        <f>IF(WWWW[[#This Row],['#_of_functional_handwashing_facilities_at_HH_level]]*6&gt;WWWW[[#This Row],[Total PoP ]],WWWW[[#This Row],[Total PoP ]],WWWW[[#This Row],['#_of_functional_handwashing_facilities_at_HH_level]]*6)</f>
        <v>0</v>
      </c>
      <c r="BI325" s="557">
        <f>IF(WWWW[[#This Row],['# people reached by regular dedicated hygiene promotion]]&gt;WWWW[[#This Row],['# People received regular supply of hygiene items]],WWWW[[#This Row],['# people reached by regular dedicated hygiene promotion]],WWWW[[#This Row],['# People received regular supply of hygiene items]])</f>
        <v>0</v>
      </c>
      <c r="BJ325" s="555">
        <f>IF(WWWW[[#This Row],[HRP3]]/WWWW[[#This Row],[Total PoP ]]&gt;100%,100%,WWWW[[#This Row],[HRP3]]/WWWW[[#This Row],[Total PoP ]])</f>
        <v>0</v>
      </c>
      <c r="BK325" s="558">
        <f>1-WWWW[[#This Row],[Hygiene Coverage%]]</f>
        <v>1</v>
      </c>
      <c r="BL325" s="556">
        <f>WWWW[[#This Row],['# people reached by regular dedicated hygiene promotion]]/WWWW[[#This Row],[Total PoP ]]</f>
        <v>0</v>
      </c>
      <c r="BM32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5" s="557">
        <f>WWWW[[#This Row],['#_of_affected_women_and_girls_receiving_a_sufficient_quantity_of_sanitary_pads]]</f>
        <v>0</v>
      </c>
      <c r="BO325" s="611">
        <f>IF(WWWW[[#This Row],['# People with access to soap]]&gt;WWWW[[#This Row],['# People with access to Sanity Pads]],WWWW[[#This Row],['# People with access to soap]],WWWW[[#This Row],['# People with access to Sanity Pads]])</f>
        <v>0</v>
      </c>
      <c r="BP325" s="565" t="str">
        <f>IF(OR(WWWW[[#This Row],['#of students in school]]="",WWWW[[#This Row],['#of students in school]]=0),"No","Yes")</f>
        <v>No</v>
      </c>
      <c r="BQ325" s="559" t="str">
        <f>VLOOKUP(WWWW[[#This Row],[Village  Name]],SiteDB6[[Site Name]:[Location Type 1]],9,FALSE)</f>
        <v>Village</v>
      </c>
      <c r="BR325" s="559" t="str">
        <f>VLOOKUP(WWWW[[#This Row],[Village  Name]],SiteDB6[[Site Name]:[Type of Accommodation]],10,FALSE)</f>
        <v>Village</v>
      </c>
      <c r="BS325" s="559">
        <f>VLOOKUP(WWWW[[#This Row],[Village  Name]],SiteDB6[[Site Name]:[Ethnic or GCA/NGCA]],11,FALSE)</f>
        <v>0</v>
      </c>
      <c r="BT325" s="559">
        <f>VLOOKUP(WWWW[[#This Row],[Village  Name]],SiteDB6[[Site Name]:[Lat]],12,FALSE)</f>
        <v>0</v>
      </c>
      <c r="BU325" s="559">
        <f>VLOOKUP(WWWW[[#This Row],[Village  Name]],SiteDB6[[Site Name]:[Long]],13,FALSE)</f>
        <v>0</v>
      </c>
      <c r="BV325" s="559">
        <f>VLOOKUP(WWWW[[#This Row],[Village  Name]],SiteDB6[[Site Name]:[Pcode]],3,FALSE)</f>
        <v>197110</v>
      </c>
      <c r="BW325" s="559" t="str">
        <f t="shared" si="12"/>
        <v>Covered</v>
      </c>
      <c r="BX325" s="587"/>
    </row>
    <row r="326" spans="1:76">
      <c r="A326" s="612" t="s">
        <v>2381</v>
      </c>
      <c r="B326" s="612" t="s">
        <v>2308</v>
      </c>
      <c r="C326" s="457" t="s">
        <v>2308</v>
      </c>
      <c r="D326" s="457" t="s">
        <v>40</v>
      </c>
      <c r="E326" s="551" t="s">
        <v>2687</v>
      </c>
      <c r="F326" s="457" t="s">
        <v>297</v>
      </c>
      <c r="G326" s="551" t="str">
        <f>VLOOKUP(WWWW[[#This Row],[Village  Name]],SiteDB6[[Site Name]:[Location Type]],8,FALSE)</f>
        <v>Village</v>
      </c>
      <c r="H326" s="457" t="s">
        <v>420</v>
      </c>
      <c r="I326" s="611">
        <v>249</v>
      </c>
      <c r="J326" s="611">
        <v>1362</v>
      </c>
      <c r="K326" s="461">
        <v>43009</v>
      </c>
      <c r="L326" s="55">
        <v>44104</v>
      </c>
      <c r="M326" s="611"/>
      <c r="N326" s="611" t="s">
        <v>2657</v>
      </c>
      <c r="O326" s="611"/>
      <c r="P326" s="611"/>
      <c r="Q326" s="611"/>
      <c r="R326" s="611"/>
      <c r="S326" s="611"/>
      <c r="T326" s="643"/>
      <c r="U326" s="611"/>
      <c r="V326" s="611" t="s">
        <v>132</v>
      </c>
      <c r="W326" s="611"/>
      <c r="X326" s="611"/>
      <c r="Y326" s="611"/>
      <c r="Z326" s="611"/>
      <c r="AA326" s="611"/>
      <c r="AB326" s="643"/>
      <c r="AC326" s="611"/>
      <c r="AD326" s="611"/>
      <c r="AE326" s="611"/>
      <c r="AF326" s="611"/>
      <c r="AG326" s="611"/>
      <c r="AH326" s="611"/>
      <c r="AI326" s="611"/>
      <c r="AJ326" s="611"/>
      <c r="AK326" s="611"/>
      <c r="AL326" s="611"/>
      <c r="AM326" s="643"/>
      <c r="AN326" s="611"/>
      <c r="AO326" s="611"/>
      <c r="AP32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26" s="565">
        <f>WWWW[[#This Row],[%Equitable and continuous access to sufficient quantity of safe drinking water]]*WWWW[[#This Row],[Total PoP ]]</f>
        <v>0</v>
      </c>
      <c r="AR32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6" s="565">
        <f>WWWW[[#This Row],[% Access to unimproved water points]]*WWWW[[#This Row],[Total PoP ]]</f>
        <v>0</v>
      </c>
      <c r="AT32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2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26" s="565">
        <f>WWWW[[#This Row],[HRP1]]/250</f>
        <v>0</v>
      </c>
      <c r="AW326" s="555">
        <f>1-WWWW[[#This Row],[% Equitable and continuous access to sufficient quantity of domestic water]]</f>
        <v>1</v>
      </c>
      <c r="AX326" s="565">
        <f>WWWW[[#This Row],[%equitable and continuous access to sufficient quantity of safe drinking and domestic water''s GAP]]*WWWW[[#This Row],[Total PoP ]]</f>
        <v>1362</v>
      </c>
      <c r="AY326" s="557">
        <f>IF(WWWW[[#This Row],[Total required water points]]-WWWW[[#This Row],['#Water points coverage]]&lt;0,0,WWWW[[#This Row],[Total required water points]]-WWWW[[#This Row],['#Water points coverage]])</f>
        <v>5</v>
      </c>
      <c r="AZ326" s="557">
        <f>ROUND(IF(WWWW[[#This Row],[Total PoP ]]&lt;250,1,WWWW[[#This Row],[Total PoP ]]/250),0)</f>
        <v>5</v>
      </c>
      <c r="BA32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6" s="565">
        <f>WWWW[[#This Row],[% people access to functioning Latrine]]*WWWW[[#This Row],[Total PoP ]]</f>
        <v>0</v>
      </c>
      <c r="BC326" s="557">
        <f>WWWW[[#This Row],['#_of_Functioning_latrines_in_school]]*50</f>
        <v>0</v>
      </c>
      <c r="BD326" s="557">
        <f>ROUND((WWWW[[#This Row],[Total PoP ]]/6),0)</f>
        <v>227</v>
      </c>
      <c r="BE326" s="557">
        <f>IF(WWWW[[#This Row],[Total required Latrines]]-(WWWW[[#This Row],['#_of_sanitary_fly-proof_HH_latrines]])&lt;0,0,WWWW[[#This Row],[Total required Latrines]]-(WWWW[[#This Row],['#_of_sanitary_fly-proof_HH_latrines]]))</f>
        <v>227</v>
      </c>
      <c r="BF326" s="558">
        <f>1-WWWW[[#This Row],[% people access to functioning Latrine]]</f>
        <v>1</v>
      </c>
      <c r="BG32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26" s="565">
        <f>IF(WWWW[[#This Row],['#_of_functional_handwashing_facilities_at_HH_level]]*6&gt;WWWW[[#This Row],[Total PoP ]],WWWW[[#This Row],[Total PoP ]],WWWW[[#This Row],['#_of_functional_handwashing_facilities_at_HH_level]]*6)</f>
        <v>0</v>
      </c>
      <c r="BI326" s="557">
        <f>IF(WWWW[[#This Row],['# people reached by regular dedicated hygiene promotion]]&gt;WWWW[[#This Row],['# People received regular supply of hygiene items]],WWWW[[#This Row],['# people reached by regular dedicated hygiene promotion]],WWWW[[#This Row],['# People received regular supply of hygiene items]])</f>
        <v>0</v>
      </c>
      <c r="BJ326" s="555">
        <f>IF(WWWW[[#This Row],[HRP3]]/WWWW[[#This Row],[Total PoP ]]&gt;100%,100%,WWWW[[#This Row],[HRP3]]/WWWW[[#This Row],[Total PoP ]])</f>
        <v>0</v>
      </c>
      <c r="BK326" s="558">
        <f>1-WWWW[[#This Row],[Hygiene Coverage%]]</f>
        <v>1</v>
      </c>
      <c r="BL326" s="556">
        <f>WWWW[[#This Row],['# people reached by regular dedicated hygiene promotion]]/WWWW[[#This Row],[Total PoP ]]</f>
        <v>0</v>
      </c>
      <c r="BM32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6" s="557">
        <f>WWWW[[#This Row],['#_of_affected_women_and_girls_receiving_a_sufficient_quantity_of_sanitary_pads]]</f>
        <v>0</v>
      </c>
      <c r="BO326" s="611">
        <f>IF(WWWW[[#This Row],['# People with access to soap]]&gt;WWWW[[#This Row],['# People with access to Sanity Pads]],WWWW[[#This Row],['# People with access to soap]],WWWW[[#This Row],['# People with access to Sanity Pads]])</f>
        <v>0</v>
      </c>
      <c r="BP326" s="565" t="str">
        <f>IF(OR(WWWW[[#This Row],['#of students in school]]="",WWWW[[#This Row],['#of students in school]]=0),"No","Yes")</f>
        <v>No</v>
      </c>
      <c r="BQ326" s="559" t="str">
        <f>VLOOKUP(WWWW[[#This Row],[Village  Name]],SiteDB6[[Site Name]:[Location Type 1]],9,FALSE)</f>
        <v>Village</v>
      </c>
      <c r="BR326" s="559" t="str">
        <f>VLOOKUP(WWWW[[#This Row],[Village  Name]],SiteDB6[[Site Name]:[Type of Accommodation]],10,FALSE)</f>
        <v>Relocated</v>
      </c>
      <c r="BS326" s="559" t="str">
        <f>VLOOKUP(WWWW[[#This Row],[Village  Name]],SiteDB6[[Site Name]:[Ethnic or GCA/NGCA]],11,FALSE)</f>
        <v>Rakhine</v>
      </c>
      <c r="BT326" s="559">
        <f>VLOOKUP(WWWW[[#This Row],[Village  Name]],SiteDB6[[Site Name]:[Lat]],12,FALSE)</f>
        <v>20.151471999999998</v>
      </c>
      <c r="BU326" s="559">
        <f>VLOOKUP(WWWW[[#This Row],[Village  Name]],SiteDB6[[Site Name]:[Long]],13,FALSE)</f>
        <v>92.887277999999995</v>
      </c>
      <c r="BV326" s="559" t="str">
        <f>VLOOKUP(WWWW[[#This Row],[Village  Name]],SiteDB6[[Site Name]:[Pcode]],3,FALSE)</f>
        <v>MMR012CMP111</v>
      </c>
      <c r="BW326" s="559" t="str">
        <f t="shared" si="12"/>
        <v>Covered</v>
      </c>
      <c r="BX326" s="587"/>
    </row>
    <row r="327" spans="1:76">
      <c r="A327" s="612" t="s">
        <v>2381</v>
      </c>
      <c r="B327" s="612" t="s">
        <v>2307</v>
      </c>
      <c r="C327" s="457" t="s">
        <v>2307</v>
      </c>
      <c r="D327" s="457" t="s">
        <v>40</v>
      </c>
      <c r="E327" s="551" t="s">
        <v>2687</v>
      </c>
      <c r="F327" s="457" t="s">
        <v>297</v>
      </c>
      <c r="G327" s="551" t="str">
        <f>VLOOKUP(WWWW[[#This Row],[Village  Name]],SiteDB6[[Site Name]:[Location Type]],8,FALSE)</f>
        <v>Village</v>
      </c>
      <c r="H327" s="457" t="s">
        <v>421</v>
      </c>
      <c r="I327" s="611">
        <v>420</v>
      </c>
      <c r="J327" s="611">
        <v>2179</v>
      </c>
      <c r="K327" s="461">
        <v>43009</v>
      </c>
      <c r="L327" s="55">
        <v>44104</v>
      </c>
      <c r="M327" s="611"/>
      <c r="N327" s="611" t="s">
        <v>2657</v>
      </c>
      <c r="O327" s="611"/>
      <c r="P327" s="611">
        <v>0</v>
      </c>
      <c r="Q327" s="611"/>
      <c r="R327" s="611"/>
      <c r="S327" s="611"/>
      <c r="T327" s="643"/>
      <c r="U327" s="611"/>
      <c r="V327" s="611" t="s">
        <v>132</v>
      </c>
      <c r="W327" s="611"/>
      <c r="X327" s="611"/>
      <c r="Y327" s="611"/>
      <c r="Z327" s="611"/>
      <c r="AA327" s="611"/>
      <c r="AB327" s="643"/>
      <c r="AC327" s="611"/>
      <c r="AD327" s="611"/>
      <c r="AE327" s="611"/>
      <c r="AF327" s="611"/>
      <c r="AG327" s="611"/>
      <c r="AH327" s="611"/>
      <c r="AI327" s="611"/>
      <c r="AJ327" s="611"/>
      <c r="AK327" s="611"/>
      <c r="AL327" s="611"/>
      <c r="AM327" s="643"/>
      <c r="AN327" s="611"/>
      <c r="AO327" s="611"/>
      <c r="AP32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27" s="565">
        <f>WWWW[[#This Row],[%Equitable and continuous access to sufficient quantity of safe drinking water]]*WWWW[[#This Row],[Total PoP ]]</f>
        <v>0</v>
      </c>
      <c r="AR32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7" s="565">
        <f>WWWW[[#This Row],[% Access to unimproved water points]]*WWWW[[#This Row],[Total PoP ]]</f>
        <v>0</v>
      </c>
      <c r="AT32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2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27" s="565">
        <f>WWWW[[#This Row],[HRP1]]/250</f>
        <v>0</v>
      </c>
      <c r="AW327" s="555">
        <f>1-WWWW[[#This Row],[% Equitable and continuous access to sufficient quantity of domestic water]]</f>
        <v>1</v>
      </c>
      <c r="AX327" s="565">
        <f>WWWW[[#This Row],[%equitable and continuous access to sufficient quantity of safe drinking and domestic water''s GAP]]*WWWW[[#This Row],[Total PoP ]]</f>
        <v>2179</v>
      </c>
      <c r="AY327" s="557">
        <f>IF(WWWW[[#This Row],[Total required water points]]-WWWW[[#This Row],['#Water points coverage]]&lt;0,0,WWWW[[#This Row],[Total required water points]]-WWWW[[#This Row],['#Water points coverage]])</f>
        <v>9</v>
      </c>
      <c r="AZ327" s="557">
        <f>ROUND(IF(WWWW[[#This Row],[Total PoP ]]&lt;250,1,WWWW[[#This Row],[Total PoP ]]/250),0)</f>
        <v>9</v>
      </c>
      <c r="BA32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7" s="565">
        <f>WWWW[[#This Row],[% people access to functioning Latrine]]*WWWW[[#This Row],[Total PoP ]]</f>
        <v>0</v>
      </c>
      <c r="BC327" s="557">
        <f>WWWW[[#This Row],['#_of_Functioning_latrines_in_school]]*50</f>
        <v>0</v>
      </c>
      <c r="BD327" s="557">
        <f>ROUND((WWWW[[#This Row],[Total PoP ]]/6),0)</f>
        <v>363</v>
      </c>
      <c r="BE327" s="557">
        <f>IF(WWWW[[#This Row],[Total required Latrines]]-(WWWW[[#This Row],['#_of_sanitary_fly-proof_HH_latrines]])&lt;0,0,WWWW[[#This Row],[Total required Latrines]]-(WWWW[[#This Row],['#_of_sanitary_fly-proof_HH_latrines]]))</f>
        <v>363</v>
      </c>
      <c r="BF327" s="558">
        <f>1-WWWW[[#This Row],[% people access to functioning Latrine]]</f>
        <v>1</v>
      </c>
      <c r="BG32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27" s="565">
        <f>IF(WWWW[[#This Row],['#_of_functional_handwashing_facilities_at_HH_level]]*6&gt;WWWW[[#This Row],[Total PoP ]],WWWW[[#This Row],[Total PoP ]],WWWW[[#This Row],['#_of_functional_handwashing_facilities_at_HH_level]]*6)</f>
        <v>0</v>
      </c>
      <c r="BI327" s="557">
        <f>IF(WWWW[[#This Row],['# people reached by regular dedicated hygiene promotion]]&gt;WWWW[[#This Row],['# People received regular supply of hygiene items]],WWWW[[#This Row],['# people reached by regular dedicated hygiene promotion]],WWWW[[#This Row],['# People received regular supply of hygiene items]])</f>
        <v>0</v>
      </c>
      <c r="BJ327" s="555">
        <f>IF(WWWW[[#This Row],[HRP3]]/WWWW[[#This Row],[Total PoP ]]&gt;100%,100%,WWWW[[#This Row],[HRP3]]/WWWW[[#This Row],[Total PoP ]])</f>
        <v>0</v>
      </c>
      <c r="BK327" s="558">
        <f>1-WWWW[[#This Row],[Hygiene Coverage%]]</f>
        <v>1</v>
      </c>
      <c r="BL327" s="556">
        <f>WWWW[[#This Row],['# people reached by regular dedicated hygiene promotion]]/WWWW[[#This Row],[Total PoP ]]</f>
        <v>0</v>
      </c>
      <c r="BM32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7" s="557">
        <f>WWWW[[#This Row],['#_of_affected_women_and_girls_receiving_a_sufficient_quantity_of_sanitary_pads]]</f>
        <v>0</v>
      </c>
      <c r="BO327" s="611">
        <f>IF(WWWW[[#This Row],['# People with access to soap]]&gt;WWWW[[#This Row],['# People with access to Sanity Pads]],WWWW[[#This Row],['# People with access to soap]],WWWW[[#This Row],['# People with access to Sanity Pads]])</f>
        <v>0</v>
      </c>
      <c r="BP327" s="565" t="str">
        <f>IF(OR(WWWW[[#This Row],['#of students in school]]="",WWWW[[#This Row],['#of students in school]]=0),"No","Yes")</f>
        <v>No</v>
      </c>
      <c r="BQ327" s="559" t="str">
        <f>VLOOKUP(WWWW[[#This Row],[Village  Name]],SiteDB6[[Site Name]:[Location Type 1]],9,FALSE)</f>
        <v>Village</v>
      </c>
      <c r="BR327" s="559" t="str">
        <f>VLOOKUP(WWWW[[#This Row],[Village  Name]],SiteDB6[[Site Name]:[Type of Accommodation]],10,FALSE)</f>
        <v>Relocated</v>
      </c>
      <c r="BS327" s="559" t="str">
        <f>VLOOKUP(WWWW[[#This Row],[Village  Name]],SiteDB6[[Site Name]:[Ethnic or GCA/NGCA]],11,FALSE)</f>
        <v>Rakhine</v>
      </c>
      <c r="BT327" s="559">
        <f>VLOOKUP(WWWW[[#This Row],[Village  Name]],SiteDB6[[Site Name]:[Lat]],12,FALSE)</f>
        <v>20.151471999999998</v>
      </c>
      <c r="BU327" s="559">
        <f>VLOOKUP(WWWW[[#This Row],[Village  Name]],SiteDB6[[Site Name]:[Long]],13,FALSE)</f>
        <v>92.887277999999995</v>
      </c>
      <c r="BV327" s="559" t="str">
        <f>VLOOKUP(WWWW[[#This Row],[Village  Name]],SiteDB6[[Site Name]:[Pcode]],3,FALSE)</f>
        <v>MMR012CMP112</v>
      </c>
      <c r="BW327" s="559" t="str">
        <f t="shared" si="12"/>
        <v>Covered</v>
      </c>
      <c r="BX327" s="587"/>
    </row>
    <row r="328" spans="1:76">
      <c r="A328" s="612" t="s">
        <v>2381</v>
      </c>
      <c r="B328" s="612" t="s">
        <v>3044</v>
      </c>
      <c r="C328" s="457" t="s">
        <v>3044</v>
      </c>
      <c r="D328" s="457" t="s">
        <v>3045</v>
      </c>
      <c r="E328" s="551" t="s">
        <v>2687</v>
      </c>
      <c r="F328" s="457" t="s">
        <v>297</v>
      </c>
      <c r="G328" s="551" t="str">
        <f>VLOOKUP(WWWW[[#This Row],[Village  Name]],SiteDB6[[Site Name]:[Location Type]],8,FALSE)</f>
        <v>Village</v>
      </c>
      <c r="H328" s="457" t="s">
        <v>439</v>
      </c>
      <c r="I328" s="611">
        <v>92</v>
      </c>
      <c r="J328" s="611">
        <v>695</v>
      </c>
      <c r="K328" s="461" t="s">
        <v>3046</v>
      </c>
      <c r="L328" s="55" t="s">
        <v>3047</v>
      </c>
      <c r="M328" s="611"/>
      <c r="N328" s="611" t="s">
        <v>2657</v>
      </c>
      <c r="O328" s="611"/>
      <c r="P328" s="611">
        <v>7</v>
      </c>
      <c r="Q328" s="611"/>
      <c r="R328" s="611"/>
      <c r="S328" s="611"/>
      <c r="T328" s="643"/>
      <c r="U328" s="611"/>
      <c r="V328" s="611" t="s">
        <v>132</v>
      </c>
      <c r="W328" s="611"/>
      <c r="X328" s="611"/>
      <c r="Y328" s="611"/>
      <c r="Z328" s="611"/>
      <c r="AA328" s="611"/>
      <c r="AB328" s="643"/>
      <c r="AC328" s="611">
        <v>0</v>
      </c>
      <c r="AD328" s="611">
        <v>693</v>
      </c>
      <c r="AE328" s="611"/>
      <c r="AF328" s="611"/>
      <c r="AG328" s="611">
        <v>68</v>
      </c>
      <c r="AH328" s="611">
        <v>124</v>
      </c>
      <c r="AI328" s="611"/>
      <c r="AJ328" s="611"/>
      <c r="AK328" s="611"/>
      <c r="AL328" s="611"/>
      <c r="AM328" s="643"/>
      <c r="AN328" s="611"/>
      <c r="AO328" s="611"/>
      <c r="AP32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28" s="565">
        <f>WWWW[[#This Row],[%Equitable and continuous access to sufficient quantity of safe drinking water]]*WWWW[[#This Row],[Total PoP ]]</f>
        <v>695</v>
      </c>
      <c r="AR32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8" s="565">
        <f>WWWW[[#This Row],[% Access to unimproved water points]]*WWWW[[#This Row],[Total PoP ]]</f>
        <v>0</v>
      </c>
      <c r="AT32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2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695</v>
      </c>
      <c r="AV328" s="565">
        <f>WWWW[[#This Row],[HRP1]]/250</f>
        <v>2.78</v>
      </c>
      <c r="AW328" s="555">
        <f>1-WWWW[[#This Row],[% Equitable and continuous access to sufficient quantity of domestic water]]</f>
        <v>0</v>
      </c>
      <c r="AX328" s="565">
        <f>WWWW[[#This Row],[%equitable and continuous access to sufficient quantity of safe drinking and domestic water''s GAP]]*WWWW[[#This Row],[Total PoP ]]</f>
        <v>0</v>
      </c>
      <c r="AY328" s="557">
        <f>IF(WWWW[[#This Row],[Total required water points]]-WWWW[[#This Row],['#Water points coverage]]&lt;0,0,WWWW[[#This Row],[Total required water points]]-WWWW[[#This Row],['#Water points coverage]])</f>
        <v>0.2200000000000002</v>
      </c>
      <c r="AZ328" s="557">
        <f>ROUND(IF(WWWW[[#This Row],[Total PoP ]]&lt;250,1,WWWW[[#This Row],[Total PoP ]]/250),0)</f>
        <v>3</v>
      </c>
      <c r="BA32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8" s="565">
        <f>WWWW[[#This Row],[% people access to functioning Latrine]]*WWWW[[#This Row],[Total PoP ]]</f>
        <v>0</v>
      </c>
      <c r="BC328" s="557">
        <f>WWWW[[#This Row],['#_of_Functioning_latrines_in_school]]*50</f>
        <v>0</v>
      </c>
      <c r="BD328" s="557">
        <f>ROUND((WWWW[[#This Row],[Total PoP ]]/6),0)</f>
        <v>116</v>
      </c>
      <c r="BE328" s="557">
        <f>IF(WWWW[[#This Row],[Total required Latrines]]-(WWWW[[#This Row],['#_of_sanitary_fly-proof_HH_latrines]])&lt;0,0,WWWW[[#This Row],[Total required Latrines]]-(WWWW[[#This Row],['#_of_sanitary_fly-proof_HH_latrines]]))</f>
        <v>116</v>
      </c>
      <c r="BF328" s="558">
        <f>1-WWWW[[#This Row],[% people access to functioning Latrine]]</f>
        <v>1</v>
      </c>
      <c r="BG32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695</v>
      </c>
      <c r="BH328" s="565">
        <f>IF(WWWW[[#This Row],['#_of_functional_handwashing_facilities_at_HH_level]]*6&gt;WWWW[[#This Row],[Total PoP ]],WWWW[[#This Row],[Total PoP ]],WWWW[[#This Row],['#_of_functional_handwashing_facilities_at_HH_level]]*6)</f>
        <v>0</v>
      </c>
      <c r="BI328" s="557">
        <f>IF(WWWW[[#This Row],['# people reached by regular dedicated hygiene promotion]]&gt;WWWW[[#This Row],['# People received regular supply of hygiene items]],WWWW[[#This Row],['# people reached by regular dedicated hygiene promotion]],WWWW[[#This Row],['# People received regular supply of hygiene items]])</f>
        <v>695</v>
      </c>
      <c r="BJ328" s="555">
        <f>IF(WWWW[[#This Row],[HRP3]]/WWWW[[#This Row],[Total PoP ]]&gt;100%,100%,WWWW[[#This Row],[HRP3]]/WWWW[[#This Row],[Total PoP ]])</f>
        <v>1</v>
      </c>
      <c r="BK328" s="558">
        <f>1-WWWW[[#This Row],[Hygiene Coverage%]]</f>
        <v>0</v>
      </c>
      <c r="BL328" s="556">
        <f>WWWW[[#This Row],['# people reached by regular dedicated hygiene promotion]]/WWWW[[#This Row],[Total PoP ]]</f>
        <v>1</v>
      </c>
      <c r="BM32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8" s="557">
        <f>WWWW[[#This Row],['#_of_affected_women_and_girls_receiving_a_sufficient_quantity_of_sanitary_pads]]</f>
        <v>0</v>
      </c>
      <c r="BO328" s="611">
        <f>IF(WWWW[[#This Row],['# People with access to soap]]&gt;WWWW[[#This Row],['# People with access to Sanity Pads]],WWWW[[#This Row],['# People with access to soap]],WWWW[[#This Row],['# People with access to Sanity Pads]])</f>
        <v>0</v>
      </c>
      <c r="BP328" s="565" t="str">
        <f>IF(OR(WWWW[[#This Row],['#of students in school]]="",WWWW[[#This Row],['#of students in school]]=0),"No","Yes")</f>
        <v>No</v>
      </c>
      <c r="BQ328" s="559" t="str">
        <f>VLOOKUP(WWWW[[#This Row],[Village  Name]],SiteDB6[[Site Name]:[Location Type 1]],9,FALSE)</f>
        <v>Village</v>
      </c>
      <c r="BR328" s="559" t="str">
        <f>VLOOKUP(WWWW[[#This Row],[Village  Name]],SiteDB6[[Site Name]:[Type of Accommodation]],10,FALSE)</f>
        <v>Village</v>
      </c>
      <c r="BS328" s="559" t="str">
        <f>VLOOKUP(WWWW[[#This Row],[Village  Name]],SiteDB6[[Site Name]:[Ethnic or GCA/NGCA]],11,FALSE)</f>
        <v>Muslim</v>
      </c>
      <c r="BT328" s="559">
        <f>VLOOKUP(WWWW[[#This Row],[Village  Name]],SiteDB6[[Site Name]:[Lat]],12,FALSE)</f>
        <v>20.201499999999999</v>
      </c>
      <c r="BU328" s="559">
        <f>VLOOKUP(WWWW[[#This Row],[Village  Name]],SiteDB6[[Site Name]:[Long]],13,FALSE)</f>
        <v>92.796599999999998</v>
      </c>
      <c r="BV328" s="559">
        <f>VLOOKUP(WWWW[[#This Row],[Village  Name]],SiteDB6[[Site Name]:[Pcode]],3,FALSE)</f>
        <v>196154</v>
      </c>
      <c r="BW328" s="559" t="str">
        <f t="shared" si="12"/>
        <v>Covered</v>
      </c>
      <c r="BX328" s="587"/>
    </row>
    <row r="329" spans="1:76">
      <c r="A329" s="612" t="s">
        <v>2381</v>
      </c>
      <c r="B329" s="612" t="s">
        <v>2307</v>
      </c>
      <c r="C329" s="457" t="s">
        <v>2307</v>
      </c>
      <c r="D329" s="457" t="s">
        <v>40</v>
      </c>
      <c r="E329" s="551" t="s">
        <v>2687</v>
      </c>
      <c r="F329" s="457" t="s">
        <v>297</v>
      </c>
      <c r="G329" s="551" t="str">
        <f>VLOOKUP(WWWW[[#This Row],[Village  Name]],SiteDB6[[Site Name]:[Location Type]],8,FALSE)</f>
        <v>Village</v>
      </c>
      <c r="H329" s="457" t="s">
        <v>435</v>
      </c>
      <c r="I329" s="611">
        <v>235</v>
      </c>
      <c r="J329" s="611">
        <v>1390</v>
      </c>
      <c r="K329" s="461">
        <v>43009</v>
      </c>
      <c r="L329" s="55">
        <v>44104</v>
      </c>
      <c r="M329" s="611"/>
      <c r="N329" s="611" t="s">
        <v>2657</v>
      </c>
      <c r="O329" s="611"/>
      <c r="P329" s="611">
        <v>8</v>
      </c>
      <c r="Q329" s="611"/>
      <c r="R329" s="611"/>
      <c r="S329" s="611"/>
      <c r="T329" s="643"/>
      <c r="U329" s="611"/>
      <c r="V329" s="611" t="s">
        <v>132</v>
      </c>
      <c r="W329" s="611"/>
      <c r="X329" s="611"/>
      <c r="Y329" s="611"/>
      <c r="Z329" s="611"/>
      <c r="AA329" s="611"/>
      <c r="AB329" s="643"/>
      <c r="AC329" s="611">
        <v>0</v>
      </c>
      <c r="AD329" s="611">
        <v>486</v>
      </c>
      <c r="AE329" s="611">
        <v>0</v>
      </c>
      <c r="AF329" s="611">
        <v>252</v>
      </c>
      <c r="AG329" s="611"/>
      <c r="AH329" s="611"/>
      <c r="AI329" s="611"/>
      <c r="AJ329" s="611"/>
      <c r="AK329" s="611"/>
      <c r="AL329" s="611"/>
      <c r="AM329" s="643"/>
      <c r="AN329" s="611"/>
      <c r="AO329" s="611"/>
      <c r="AP32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29" s="565">
        <f>WWWW[[#This Row],[%Equitable and continuous access to sufficient quantity of safe drinking water]]*WWWW[[#This Row],[Total PoP ]]</f>
        <v>1390</v>
      </c>
      <c r="AR32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29" s="565">
        <f>WWWW[[#This Row],[% Access to unimproved water points]]*WWWW[[#This Row],[Total PoP ]]</f>
        <v>0</v>
      </c>
      <c r="AT32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2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1390</v>
      </c>
      <c r="AV329" s="565">
        <f>WWWW[[#This Row],[HRP1]]/250</f>
        <v>5.56</v>
      </c>
      <c r="AW329" s="555">
        <f>1-WWWW[[#This Row],[% Equitable and continuous access to sufficient quantity of domestic water]]</f>
        <v>0</v>
      </c>
      <c r="AX329" s="565">
        <f>WWWW[[#This Row],[%equitable and continuous access to sufficient quantity of safe drinking and domestic water''s GAP]]*WWWW[[#This Row],[Total PoP ]]</f>
        <v>0</v>
      </c>
      <c r="AY329" s="557">
        <f>IF(WWWW[[#This Row],[Total required water points]]-WWWW[[#This Row],['#Water points coverage]]&lt;0,0,WWWW[[#This Row],[Total required water points]]-WWWW[[#This Row],['#Water points coverage]])</f>
        <v>0.44000000000000039</v>
      </c>
      <c r="AZ329" s="557">
        <f>ROUND(IF(WWWW[[#This Row],[Total PoP ]]&lt;250,1,WWWW[[#This Row],[Total PoP ]]/250),0)</f>
        <v>6</v>
      </c>
      <c r="BA32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29" s="565">
        <f>WWWW[[#This Row],[% people access to functioning Latrine]]*WWWW[[#This Row],[Total PoP ]]</f>
        <v>0</v>
      </c>
      <c r="BC329" s="557">
        <f>WWWW[[#This Row],['#_of_Functioning_latrines_in_school]]*50</f>
        <v>0</v>
      </c>
      <c r="BD329" s="557">
        <f>ROUND((WWWW[[#This Row],[Total PoP ]]/6),0)</f>
        <v>232</v>
      </c>
      <c r="BE329" s="557">
        <f>IF(WWWW[[#This Row],[Total required Latrines]]-(WWWW[[#This Row],['#_of_sanitary_fly-proof_HH_latrines]])&lt;0,0,WWWW[[#This Row],[Total required Latrines]]-(WWWW[[#This Row],['#_of_sanitary_fly-proof_HH_latrines]]))</f>
        <v>232</v>
      </c>
      <c r="BF329" s="558">
        <f>1-WWWW[[#This Row],[% people access to functioning Latrine]]</f>
        <v>1</v>
      </c>
      <c r="BG32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738</v>
      </c>
      <c r="BH329" s="565">
        <f>IF(WWWW[[#This Row],['#_of_functional_handwashing_facilities_at_HH_level]]*6&gt;WWWW[[#This Row],[Total PoP ]],WWWW[[#This Row],[Total PoP ]],WWWW[[#This Row],['#_of_functional_handwashing_facilities_at_HH_level]]*6)</f>
        <v>0</v>
      </c>
      <c r="BI329" s="557">
        <f>IF(WWWW[[#This Row],['# people reached by regular dedicated hygiene promotion]]&gt;WWWW[[#This Row],['# People received regular supply of hygiene items]],WWWW[[#This Row],['# people reached by regular dedicated hygiene promotion]],WWWW[[#This Row],['# People received regular supply of hygiene items]])</f>
        <v>738</v>
      </c>
      <c r="BJ329" s="555">
        <f>IF(WWWW[[#This Row],[HRP3]]/WWWW[[#This Row],[Total PoP ]]&gt;100%,100%,WWWW[[#This Row],[HRP3]]/WWWW[[#This Row],[Total PoP ]])</f>
        <v>0.53093525179856116</v>
      </c>
      <c r="BK329" s="558">
        <f>1-WWWW[[#This Row],[Hygiene Coverage%]]</f>
        <v>0.46906474820143884</v>
      </c>
      <c r="BL329" s="556">
        <f>WWWW[[#This Row],['# people reached by regular dedicated hygiene promotion]]/WWWW[[#This Row],[Total PoP ]]</f>
        <v>0.53093525179856116</v>
      </c>
      <c r="BM32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29" s="557">
        <f>WWWW[[#This Row],['#_of_affected_women_and_girls_receiving_a_sufficient_quantity_of_sanitary_pads]]</f>
        <v>0</v>
      </c>
      <c r="BO329" s="611">
        <f>IF(WWWW[[#This Row],['# People with access to soap]]&gt;WWWW[[#This Row],['# People with access to Sanity Pads]],WWWW[[#This Row],['# People with access to soap]],WWWW[[#This Row],['# People with access to Sanity Pads]])</f>
        <v>0</v>
      </c>
      <c r="BP329" s="565" t="str">
        <f>IF(OR(WWWW[[#This Row],['#of students in school]]="",WWWW[[#This Row],['#of students in school]]=0),"No","Yes")</f>
        <v>No</v>
      </c>
      <c r="BQ329" s="559" t="str">
        <f>VLOOKUP(WWWW[[#This Row],[Village  Name]],SiteDB6[[Site Name]:[Location Type 1]],9,FALSE)</f>
        <v>Village</v>
      </c>
      <c r="BR329" s="559" t="str">
        <f>VLOOKUP(WWWW[[#This Row],[Village  Name]],SiteDB6[[Site Name]:[Type of Accommodation]],10,FALSE)</f>
        <v>Village</v>
      </c>
      <c r="BS329" s="559" t="str">
        <f>VLOOKUP(WWWW[[#This Row],[Village  Name]],SiteDB6[[Site Name]:[Ethnic or GCA/NGCA]],11,FALSE)</f>
        <v>Muslim</v>
      </c>
      <c r="BT329" s="559">
        <f>VLOOKUP(WWWW[[#This Row],[Village  Name]],SiteDB6[[Site Name]:[Lat]],12,FALSE)</f>
        <v>20.19171906</v>
      </c>
      <c r="BU329" s="559">
        <f>VLOOKUP(WWWW[[#This Row],[Village  Name]],SiteDB6[[Site Name]:[Long]],13,FALSE)</f>
        <v>92.808166499999999</v>
      </c>
      <c r="BV329" s="559">
        <f>VLOOKUP(WWWW[[#This Row],[Village  Name]],SiteDB6[[Site Name]:[Pcode]],3,FALSE)</f>
        <v>196155</v>
      </c>
      <c r="BW329" s="559" t="str">
        <f t="shared" si="12"/>
        <v>Covered</v>
      </c>
      <c r="BX329" s="587"/>
    </row>
    <row r="330" spans="1:76">
      <c r="A330" s="612" t="s">
        <v>2381</v>
      </c>
      <c r="B330" s="612" t="s">
        <v>2307</v>
      </c>
      <c r="C330" s="457" t="s">
        <v>2307</v>
      </c>
      <c r="D330" s="457" t="s">
        <v>40</v>
      </c>
      <c r="E330" s="551" t="s">
        <v>2687</v>
      </c>
      <c r="F330" s="457" t="s">
        <v>297</v>
      </c>
      <c r="G330" s="551" t="str">
        <f>VLOOKUP(WWWW[[#This Row],[Village  Name]],SiteDB6[[Site Name]:[Location Type]],8,FALSE)</f>
        <v>Village</v>
      </c>
      <c r="H330" s="457" t="s">
        <v>418</v>
      </c>
      <c r="I330" s="611">
        <v>72</v>
      </c>
      <c r="J330" s="611">
        <v>442</v>
      </c>
      <c r="K330" s="461">
        <v>43009</v>
      </c>
      <c r="L330" s="55">
        <v>44104</v>
      </c>
      <c r="M330" s="611"/>
      <c r="N330" s="611" t="s">
        <v>2657</v>
      </c>
      <c r="O330" s="611"/>
      <c r="P330" s="611">
        <v>0</v>
      </c>
      <c r="Q330" s="611"/>
      <c r="R330" s="611"/>
      <c r="S330" s="611"/>
      <c r="T330" s="643"/>
      <c r="U330" s="611"/>
      <c r="V330" s="611" t="s">
        <v>132</v>
      </c>
      <c r="W330" s="611"/>
      <c r="X330" s="611"/>
      <c r="Y330" s="611"/>
      <c r="Z330" s="611"/>
      <c r="AA330" s="611"/>
      <c r="AB330" s="643"/>
      <c r="AC330" s="611">
        <v>49</v>
      </c>
      <c r="AD330" s="611">
        <v>117</v>
      </c>
      <c r="AE330" s="611">
        <v>57</v>
      </c>
      <c r="AF330" s="611">
        <v>257</v>
      </c>
      <c r="AG330" s="611"/>
      <c r="AH330" s="611"/>
      <c r="AI330" s="611"/>
      <c r="AJ330" s="611"/>
      <c r="AK330" s="611"/>
      <c r="AL330" s="611"/>
      <c r="AM330" s="643"/>
      <c r="AN330" s="611"/>
      <c r="AO330" s="611"/>
      <c r="AP33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30" s="565">
        <f>WWWW[[#This Row],[%Equitable and continuous access to sufficient quantity of safe drinking water]]*WWWW[[#This Row],[Total PoP ]]</f>
        <v>0</v>
      </c>
      <c r="AR33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0" s="565">
        <f>WWWW[[#This Row],[% Access to unimproved water points]]*WWWW[[#This Row],[Total PoP ]]</f>
        <v>0</v>
      </c>
      <c r="AT33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3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30" s="565">
        <f>WWWW[[#This Row],[HRP1]]/250</f>
        <v>0</v>
      </c>
      <c r="AW330" s="555">
        <f>1-WWWW[[#This Row],[% Equitable and continuous access to sufficient quantity of domestic water]]</f>
        <v>1</v>
      </c>
      <c r="AX330" s="565">
        <f>WWWW[[#This Row],[%equitable and continuous access to sufficient quantity of safe drinking and domestic water''s GAP]]*WWWW[[#This Row],[Total PoP ]]</f>
        <v>442</v>
      </c>
      <c r="AY330" s="557">
        <f>IF(WWWW[[#This Row],[Total required water points]]-WWWW[[#This Row],['#Water points coverage]]&lt;0,0,WWWW[[#This Row],[Total required water points]]-WWWW[[#This Row],['#Water points coverage]])</f>
        <v>2</v>
      </c>
      <c r="AZ330" s="557">
        <f>ROUND(IF(WWWW[[#This Row],[Total PoP ]]&lt;250,1,WWWW[[#This Row],[Total PoP ]]/250),0)</f>
        <v>2</v>
      </c>
      <c r="BA33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30" s="565">
        <f>WWWW[[#This Row],[% people access to functioning Latrine]]*WWWW[[#This Row],[Total PoP ]]</f>
        <v>0</v>
      </c>
      <c r="BC330" s="557">
        <f>WWWW[[#This Row],['#_of_Functioning_latrines_in_school]]*50</f>
        <v>0</v>
      </c>
      <c r="BD330" s="557">
        <f>ROUND((WWWW[[#This Row],[Total PoP ]]/6),0)</f>
        <v>74</v>
      </c>
      <c r="BE330" s="557">
        <f>IF(WWWW[[#This Row],[Total required Latrines]]-(WWWW[[#This Row],['#_of_sanitary_fly-proof_HH_latrines]])&lt;0,0,WWWW[[#This Row],[Total required Latrines]]-(WWWW[[#This Row],['#_of_sanitary_fly-proof_HH_latrines]]))</f>
        <v>74</v>
      </c>
      <c r="BF330" s="558">
        <f>1-WWWW[[#This Row],[% people access to functioning Latrine]]</f>
        <v>1</v>
      </c>
      <c r="BG33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442</v>
      </c>
      <c r="BH330" s="565">
        <f>IF(WWWW[[#This Row],['#_of_functional_handwashing_facilities_at_HH_level]]*6&gt;WWWW[[#This Row],[Total PoP ]],WWWW[[#This Row],[Total PoP ]],WWWW[[#This Row],['#_of_functional_handwashing_facilities_at_HH_level]]*6)</f>
        <v>0</v>
      </c>
      <c r="BI330" s="557">
        <f>IF(WWWW[[#This Row],['# people reached by regular dedicated hygiene promotion]]&gt;WWWW[[#This Row],['# People received regular supply of hygiene items]],WWWW[[#This Row],['# people reached by regular dedicated hygiene promotion]],WWWW[[#This Row],['# People received regular supply of hygiene items]])</f>
        <v>442</v>
      </c>
      <c r="BJ330" s="555">
        <f>IF(WWWW[[#This Row],[HRP3]]/WWWW[[#This Row],[Total PoP ]]&gt;100%,100%,WWWW[[#This Row],[HRP3]]/WWWW[[#This Row],[Total PoP ]])</f>
        <v>1</v>
      </c>
      <c r="BK330" s="558">
        <f>1-WWWW[[#This Row],[Hygiene Coverage%]]</f>
        <v>0</v>
      </c>
      <c r="BL330" s="556">
        <f>WWWW[[#This Row],['# people reached by regular dedicated hygiene promotion]]/WWWW[[#This Row],[Total PoP ]]</f>
        <v>1</v>
      </c>
      <c r="BM33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30" s="557">
        <f>WWWW[[#This Row],['#_of_affected_women_and_girls_receiving_a_sufficient_quantity_of_sanitary_pads]]</f>
        <v>0</v>
      </c>
      <c r="BO330" s="611">
        <f>IF(WWWW[[#This Row],['# People with access to soap]]&gt;WWWW[[#This Row],['# People with access to Sanity Pads]],WWWW[[#This Row],['# People with access to soap]],WWWW[[#This Row],['# People with access to Sanity Pads]])</f>
        <v>0</v>
      </c>
      <c r="BP330" s="565" t="str">
        <f>IF(OR(WWWW[[#This Row],['#of students in school]]="",WWWW[[#This Row],['#of students in school]]=0),"No","Yes")</f>
        <v>No</v>
      </c>
      <c r="BQ330" s="559" t="str">
        <f>VLOOKUP(WWWW[[#This Row],[Village  Name]],SiteDB6[[Site Name]:[Location Type 1]],9,FALSE)</f>
        <v>Village</v>
      </c>
      <c r="BR330" s="559" t="str">
        <f>VLOOKUP(WWWW[[#This Row],[Village  Name]],SiteDB6[[Site Name]:[Type of Accommodation]],10,FALSE)</f>
        <v>Relocated</v>
      </c>
      <c r="BS330" s="559" t="str">
        <f>VLOOKUP(WWWW[[#This Row],[Village  Name]],SiteDB6[[Site Name]:[Ethnic or GCA/NGCA]],11,FALSE)</f>
        <v>Maramargyi</v>
      </c>
      <c r="BT330" s="559">
        <f>VLOOKUP(WWWW[[#This Row],[Village  Name]],SiteDB6[[Site Name]:[Lat]],12,FALSE)</f>
        <v>20.148584</v>
      </c>
      <c r="BU330" s="559">
        <f>VLOOKUP(WWWW[[#This Row],[Village  Name]],SiteDB6[[Site Name]:[Long]],13,FALSE)</f>
        <v>92.880319999999998</v>
      </c>
      <c r="BV330" s="559" t="str">
        <f>VLOOKUP(WWWW[[#This Row],[Village  Name]],SiteDB6[[Site Name]:[Pcode]],3,FALSE)</f>
        <v>MMR012CMP056</v>
      </c>
      <c r="BW330" s="559" t="str">
        <f t="shared" si="12"/>
        <v>Covered</v>
      </c>
      <c r="BX330" s="587"/>
    </row>
    <row r="331" spans="1:76">
      <c r="A331" s="612" t="s">
        <v>2381</v>
      </c>
      <c r="B331" s="612" t="s">
        <v>2307</v>
      </c>
      <c r="C331" s="457" t="s">
        <v>2307</v>
      </c>
      <c r="D331" s="457" t="s">
        <v>40</v>
      </c>
      <c r="E331" s="551" t="s">
        <v>2687</v>
      </c>
      <c r="F331" s="457" t="s">
        <v>297</v>
      </c>
      <c r="G331" s="551" t="str">
        <f>VLOOKUP(WWWW[[#This Row],[Village  Name]],SiteDB6[[Site Name]:[Location Type]],8,FALSE)</f>
        <v>Village</v>
      </c>
      <c r="H331" s="457" t="s">
        <v>1909</v>
      </c>
      <c r="I331" s="611">
        <v>151</v>
      </c>
      <c r="J331" s="611">
        <v>625</v>
      </c>
      <c r="K331" s="461">
        <v>43009</v>
      </c>
      <c r="L331" s="55">
        <v>44104</v>
      </c>
      <c r="M331" s="611"/>
      <c r="N331" s="611" t="s">
        <v>2657</v>
      </c>
      <c r="O331" s="611"/>
      <c r="P331" s="611">
        <v>6</v>
      </c>
      <c r="Q331" s="611"/>
      <c r="R331" s="611"/>
      <c r="S331" s="611"/>
      <c r="T331" s="643"/>
      <c r="U331" s="611"/>
      <c r="V331" s="611" t="s">
        <v>132</v>
      </c>
      <c r="W331" s="611"/>
      <c r="X331" s="611"/>
      <c r="Y331" s="611"/>
      <c r="Z331" s="611"/>
      <c r="AA331" s="611"/>
      <c r="AB331" s="643"/>
      <c r="AC331" s="611">
        <v>184</v>
      </c>
      <c r="AD331" s="611">
        <v>383</v>
      </c>
      <c r="AE331" s="611">
        <v>5</v>
      </c>
      <c r="AF331" s="611">
        <v>93</v>
      </c>
      <c r="AG331" s="611"/>
      <c r="AH331" s="611"/>
      <c r="AI331" s="611"/>
      <c r="AJ331" s="611"/>
      <c r="AK331" s="611"/>
      <c r="AL331" s="611"/>
      <c r="AM331" s="643"/>
      <c r="AN331" s="611"/>
      <c r="AO331" s="611"/>
      <c r="AP33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31" s="565">
        <f>WWWW[[#This Row],[%Equitable and continuous access to sufficient quantity of safe drinking water]]*WWWW[[#This Row],[Total PoP ]]</f>
        <v>625</v>
      </c>
      <c r="AR33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1" s="565">
        <f>WWWW[[#This Row],[% Access to unimproved water points]]*WWWW[[#This Row],[Total PoP ]]</f>
        <v>0</v>
      </c>
      <c r="AT33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3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625</v>
      </c>
      <c r="AV331" s="565">
        <f>WWWW[[#This Row],[HRP1]]/250</f>
        <v>2.5</v>
      </c>
      <c r="AW331" s="555">
        <f>1-WWWW[[#This Row],[% Equitable and continuous access to sufficient quantity of domestic water]]</f>
        <v>0</v>
      </c>
      <c r="AX331" s="565">
        <f>WWWW[[#This Row],[%equitable and continuous access to sufficient quantity of safe drinking and domestic water''s GAP]]*WWWW[[#This Row],[Total PoP ]]</f>
        <v>0</v>
      </c>
      <c r="AY331" s="557">
        <f>IF(WWWW[[#This Row],[Total required water points]]-WWWW[[#This Row],['#Water points coverage]]&lt;0,0,WWWW[[#This Row],[Total required water points]]-WWWW[[#This Row],['#Water points coverage]])</f>
        <v>0.5</v>
      </c>
      <c r="AZ331" s="557">
        <f>ROUND(IF(WWWW[[#This Row],[Total PoP ]]&lt;250,1,WWWW[[#This Row],[Total PoP ]]/250),0)</f>
        <v>3</v>
      </c>
      <c r="BA33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31" s="565">
        <f>WWWW[[#This Row],[% people access to functioning Latrine]]*WWWW[[#This Row],[Total PoP ]]</f>
        <v>0</v>
      </c>
      <c r="BC331" s="557">
        <f>WWWW[[#This Row],['#_of_Functioning_latrines_in_school]]*50</f>
        <v>0</v>
      </c>
      <c r="BD331" s="557">
        <f>ROUND((WWWW[[#This Row],[Total PoP ]]/6),0)</f>
        <v>104</v>
      </c>
      <c r="BE331" s="557">
        <f>IF(WWWW[[#This Row],[Total required Latrines]]-(WWWW[[#This Row],['#_of_sanitary_fly-proof_HH_latrines]])&lt;0,0,WWWW[[#This Row],[Total required Latrines]]-(WWWW[[#This Row],['#_of_sanitary_fly-proof_HH_latrines]]))</f>
        <v>104</v>
      </c>
      <c r="BF331" s="558">
        <f>1-WWWW[[#This Row],[% people access to functioning Latrine]]</f>
        <v>1</v>
      </c>
      <c r="BG33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625</v>
      </c>
      <c r="BH331" s="565">
        <f>IF(WWWW[[#This Row],['#_of_functional_handwashing_facilities_at_HH_level]]*6&gt;WWWW[[#This Row],[Total PoP ]],WWWW[[#This Row],[Total PoP ]],WWWW[[#This Row],['#_of_functional_handwashing_facilities_at_HH_level]]*6)</f>
        <v>0</v>
      </c>
      <c r="BI331" s="557">
        <f>IF(WWWW[[#This Row],['# people reached by regular dedicated hygiene promotion]]&gt;WWWW[[#This Row],['# People received regular supply of hygiene items]],WWWW[[#This Row],['# people reached by regular dedicated hygiene promotion]],WWWW[[#This Row],['# People received regular supply of hygiene items]])</f>
        <v>625</v>
      </c>
      <c r="BJ331" s="555">
        <f>IF(WWWW[[#This Row],[HRP3]]/WWWW[[#This Row],[Total PoP ]]&gt;100%,100%,WWWW[[#This Row],[HRP3]]/WWWW[[#This Row],[Total PoP ]])</f>
        <v>1</v>
      </c>
      <c r="BK331" s="558">
        <f>1-WWWW[[#This Row],[Hygiene Coverage%]]</f>
        <v>0</v>
      </c>
      <c r="BL331" s="556">
        <f>WWWW[[#This Row],['# people reached by regular dedicated hygiene promotion]]/WWWW[[#This Row],[Total PoP ]]</f>
        <v>1</v>
      </c>
      <c r="BM33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31" s="557">
        <f>WWWW[[#This Row],['#_of_affected_women_and_girls_receiving_a_sufficient_quantity_of_sanitary_pads]]</f>
        <v>0</v>
      </c>
      <c r="BO331" s="611">
        <f>IF(WWWW[[#This Row],['# People with access to soap]]&gt;WWWW[[#This Row],['# People with access to Sanity Pads]],WWWW[[#This Row],['# People with access to soap]],WWWW[[#This Row],['# People with access to Sanity Pads]])</f>
        <v>0</v>
      </c>
      <c r="BP331" s="565" t="str">
        <f>IF(OR(WWWW[[#This Row],['#of students in school]]="",WWWW[[#This Row],['#of students in school]]=0),"No","Yes")</f>
        <v>No</v>
      </c>
      <c r="BQ331" s="559" t="str">
        <f>VLOOKUP(WWWW[[#This Row],[Village  Name]],SiteDB6[[Site Name]:[Location Type 1]],9,FALSE)</f>
        <v>Village</v>
      </c>
      <c r="BR331" s="559" t="str">
        <f>VLOOKUP(WWWW[[#This Row],[Village  Name]],SiteDB6[[Site Name]:[Type of Accommodation]],10,FALSE)</f>
        <v>Relocated</v>
      </c>
      <c r="BS331" s="559" t="str">
        <f>VLOOKUP(WWWW[[#This Row],[Village  Name]],SiteDB6[[Site Name]:[Ethnic or GCA/NGCA]],11,FALSE)</f>
        <v>Rakhine</v>
      </c>
      <c r="BT331" s="559">
        <f>VLOOKUP(WWWW[[#This Row],[Village  Name]],SiteDB6[[Site Name]:[Lat]],12,FALSE)</f>
        <v>20.155805999999998</v>
      </c>
      <c r="BU331" s="559">
        <f>VLOOKUP(WWWW[[#This Row],[Village  Name]],SiteDB6[[Site Name]:[Long]],13,FALSE)</f>
        <v>92.879138999999995</v>
      </c>
      <c r="BV331" s="559" t="str">
        <f>VLOOKUP(WWWW[[#This Row],[Village  Name]],SiteDB6[[Site Name]:[Pcode]],3,FALSE)</f>
        <v>MMR012CMP093</v>
      </c>
      <c r="BW331" s="559" t="str">
        <f t="shared" si="12"/>
        <v>Covered</v>
      </c>
      <c r="BX331" s="587"/>
    </row>
    <row r="332" spans="1:76">
      <c r="A332" s="612" t="s">
        <v>2381</v>
      </c>
      <c r="B332" s="612" t="s">
        <v>2308</v>
      </c>
      <c r="C332" s="457" t="s">
        <v>2308</v>
      </c>
      <c r="D332" s="457" t="s">
        <v>40</v>
      </c>
      <c r="E332" s="551" t="s">
        <v>2687</v>
      </c>
      <c r="F332" s="457" t="s">
        <v>297</v>
      </c>
      <c r="G332" s="551" t="str">
        <f>VLOOKUP(WWWW[[#This Row],[Village  Name]],SiteDB6[[Site Name]:[Location Type]],8,FALSE)</f>
        <v>Village</v>
      </c>
      <c r="H332" s="457" t="s">
        <v>691</v>
      </c>
      <c r="I332" s="611">
        <v>155</v>
      </c>
      <c r="J332" s="611">
        <v>745</v>
      </c>
      <c r="K332" s="461">
        <v>43009</v>
      </c>
      <c r="L332" s="55">
        <v>44104</v>
      </c>
      <c r="M332" s="611"/>
      <c r="N332" s="611" t="s">
        <v>2657</v>
      </c>
      <c r="O332" s="611"/>
      <c r="P332" s="611">
        <v>10</v>
      </c>
      <c r="Q332" s="611"/>
      <c r="R332" s="611"/>
      <c r="S332" s="611">
        <v>1</v>
      </c>
      <c r="T332" s="643"/>
      <c r="U332" s="611"/>
      <c r="V332" s="611" t="s">
        <v>132</v>
      </c>
      <c r="W332" s="611">
        <v>5</v>
      </c>
      <c r="X332" s="611">
        <v>4</v>
      </c>
      <c r="Y332" s="611"/>
      <c r="Z332" s="611"/>
      <c r="AA332" s="611"/>
      <c r="AB332" s="643"/>
      <c r="AC332" s="611">
        <v>25</v>
      </c>
      <c r="AD332" s="611">
        <v>34</v>
      </c>
      <c r="AE332" s="611">
        <v>14</v>
      </c>
      <c r="AF332" s="611">
        <v>20</v>
      </c>
      <c r="AG332" s="611"/>
      <c r="AH332" s="611"/>
      <c r="AI332" s="611"/>
      <c r="AJ332" s="611"/>
      <c r="AK332" s="611"/>
      <c r="AL332" s="611"/>
      <c r="AM332" s="643"/>
      <c r="AN332" s="611"/>
      <c r="AO332" s="611"/>
      <c r="AP33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32" s="565">
        <f>WWWW[[#This Row],[%Equitable and continuous access to sufficient quantity of safe drinking water]]*WWWW[[#This Row],[Total PoP ]]</f>
        <v>745</v>
      </c>
      <c r="AR33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2" s="565">
        <f>WWWW[[#This Row],[% Access to unimproved water points]]*WWWW[[#This Row],[Total PoP ]]</f>
        <v>0</v>
      </c>
      <c r="AT33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3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AV332" s="565">
        <f>WWWW[[#This Row],[HRP1]]/250</f>
        <v>2.98</v>
      </c>
      <c r="AW332" s="555">
        <f>1-WWWW[[#This Row],[% Equitable and continuous access to sufficient quantity of domestic water]]</f>
        <v>0</v>
      </c>
      <c r="AX332" s="565">
        <f>WWWW[[#This Row],[%equitable and continuous access to sufficient quantity of safe drinking and domestic water''s GAP]]*WWWW[[#This Row],[Total PoP ]]</f>
        <v>0</v>
      </c>
      <c r="AY332" s="557">
        <f>IF(WWWW[[#This Row],[Total required water points]]-WWWW[[#This Row],['#Water points coverage]]&lt;0,0,WWWW[[#This Row],[Total required water points]]-WWWW[[#This Row],['#Water points coverage]])</f>
        <v>2.0000000000000018E-2</v>
      </c>
      <c r="AZ332" s="557">
        <f>ROUND(IF(WWWW[[#This Row],[Total PoP ]]&lt;250,1,WWWW[[#This Row],[Total PoP ]]/250),0)</f>
        <v>3</v>
      </c>
      <c r="BA332"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0.33557046979865773</v>
      </c>
      <c r="BB332" s="565">
        <f>WWWW[[#This Row],[% people access to functioning Latrine]]*WWWW[[#This Row],[Total PoP ]]</f>
        <v>250</v>
      </c>
      <c r="BC332" s="557">
        <f>WWWW[[#This Row],['#_of_Functioning_latrines_in_school]]*50</f>
        <v>250</v>
      </c>
      <c r="BD332" s="557">
        <f>ROUND((WWWW[[#This Row],[Total PoP ]]/6),0)</f>
        <v>124</v>
      </c>
      <c r="BE332" s="557">
        <f>IF(WWWW[[#This Row],[Total required Latrines]]-(WWWW[[#This Row],['#_of_sanitary_fly-proof_HH_latrines]])&lt;0,0,WWWW[[#This Row],[Total required Latrines]]-(WWWW[[#This Row],['#_of_sanitary_fly-proof_HH_latrines]]))</f>
        <v>124</v>
      </c>
      <c r="BF332" s="558">
        <f>1-WWWW[[#This Row],[% people access to functioning Latrine]]</f>
        <v>0.66442953020134232</v>
      </c>
      <c r="BG33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93</v>
      </c>
      <c r="BH332" s="565">
        <f>IF(WWWW[[#This Row],['#_of_functional_handwashing_facilities_at_HH_level]]*6&gt;WWWW[[#This Row],[Total PoP ]],WWWW[[#This Row],[Total PoP ]],WWWW[[#This Row],['#_of_functional_handwashing_facilities_at_HH_level]]*6)</f>
        <v>0</v>
      </c>
      <c r="BI332" s="557">
        <f>IF(WWWW[[#This Row],['# people reached by regular dedicated hygiene promotion]]&gt;WWWW[[#This Row],['# People received regular supply of hygiene items]],WWWW[[#This Row],['# people reached by regular dedicated hygiene promotion]],WWWW[[#This Row],['# People received regular supply of hygiene items]])</f>
        <v>93</v>
      </c>
      <c r="BJ332" s="555">
        <f>IF(WWWW[[#This Row],[HRP3]]/WWWW[[#This Row],[Total PoP ]]&gt;100%,100%,WWWW[[#This Row],[HRP3]]/WWWW[[#This Row],[Total PoP ]])</f>
        <v>0.12483221476510067</v>
      </c>
      <c r="BK332" s="558">
        <f>1-WWWW[[#This Row],[Hygiene Coverage%]]</f>
        <v>0.87516778523489935</v>
      </c>
      <c r="BL332" s="556">
        <f>WWWW[[#This Row],['# people reached by regular dedicated hygiene promotion]]/WWWW[[#This Row],[Total PoP ]]</f>
        <v>0.12483221476510067</v>
      </c>
      <c r="BM33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32" s="557">
        <f>WWWW[[#This Row],['#_of_affected_women_and_girls_receiving_a_sufficient_quantity_of_sanitary_pads]]</f>
        <v>0</v>
      </c>
      <c r="BO332" s="611">
        <f>IF(WWWW[[#This Row],['# People with access to soap]]&gt;WWWW[[#This Row],['# People with access to Sanity Pads]],WWWW[[#This Row],['# People with access to soap]],WWWW[[#This Row],['# People with access to Sanity Pads]])</f>
        <v>0</v>
      </c>
      <c r="BP332" s="565" t="str">
        <f>IF(OR(WWWW[[#This Row],['#of students in school]]="",WWWW[[#This Row],['#of students in school]]=0),"No","Yes")</f>
        <v>No</v>
      </c>
      <c r="BQ332" s="559" t="str">
        <f>VLOOKUP(WWWW[[#This Row],[Village  Name]],SiteDB6[[Site Name]:[Location Type 1]],9,FALSE)</f>
        <v>Village</v>
      </c>
      <c r="BR332" s="559" t="str">
        <f>VLOOKUP(WWWW[[#This Row],[Village  Name]],SiteDB6[[Site Name]:[Type of Accommodation]],10,FALSE)</f>
        <v>Village</v>
      </c>
      <c r="BS332" s="559" t="str">
        <f>VLOOKUP(WWWW[[#This Row],[Village  Name]],SiteDB6[[Site Name]:[Ethnic or GCA/NGCA]],11,FALSE)</f>
        <v>Rakhine</v>
      </c>
      <c r="BT332" s="559">
        <f>VLOOKUP(WWWW[[#This Row],[Village  Name]],SiteDB6[[Site Name]:[Lat]],12,FALSE)</f>
        <v>20.16259956</v>
      </c>
      <c r="BU332" s="559">
        <f>VLOOKUP(WWWW[[#This Row],[Village  Name]],SiteDB6[[Site Name]:[Long]],13,FALSE)</f>
        <v>92.834457400000005</v>
      </c>
      <c r="BV332" s="559">
        <f>VLOOKUP(WWWW[[#This Row],[Village  Name]],SiteDB6[[Site Name]:[Pcode]],3,FALSE)</f>
        <v>196210</v>
      </c>
      <c r="BW332" s="559" t="str">
        <f t="shared" si="12"/>
        <v>Covered</v>
      </c>
      <c r="BX332" s="587"/>
    </row>
    <row r="333" spans="1:76">
      <c r="A333" s="612" t="s">
        <v>2381</v>
      </c>
      <c r="B333" s="612" t="s">
        <v>2308</v>
      </c>
      <c r="C333" s="457" t="s">
        <v>2308</v>
      </c>
      <c r="D333" s="457" t="s">
        <v>40</v>
      </c>
      <c r="E333" s="551" t="s">
        <v>2687</v>
      </c>
      <c r="F333" s="457" t="s">
        <v>297</v>
      </c>
      <c r="G333" s="551" t="str">
        <f>VLOOKUP(WWWW[[#This Row],[Village  Name]],SiteDB6[[Site Name]:[Location Type]],8,FALSE)</f>
        <v>Village</v>
      </c>
      <c r="H333" s="457" t="s">
        <v>423</v>
      </c>
      <c r="I333" s="611">
        <v>758</v>
      </c>
      <c r="J333" s="611">
        <v>5579</v>
      </c>
      <c r="K333" s="461">
        <v>43009</v>
      </c>
      <c r="L333" s="55">
        <v>44104</v>
      </c>
      <c r="M333" s="611"/>
      <c r="N333" s="611" t="s">
        <v>2657</v>
      </c>
      <c r="O333" s="611"/>
      <c r="P333" s="611">
        <v>16</v>
      </c>
      <c r="Q333" s="611"/>
      <c r="R333" s="611"/>
      <c r="S333" s="611"/>
      <c r="T333" s="643"/>
      <c r="U333" s="611"/>
      <c r="V333" s="611" t="s">
        <v>132</v>
      </c>
      <c r="W333" s="611"/>
      <c r="X333" s="611">
        <v>1</v>
      </c>
      <c r="Y333" s="611"/>
      <c r="Z333" s="611"/>
      <c r="AA333" s="611"/>
      <c r="AB333" s="643"/>
      <c r="AC333" s="611">
        <v>52</v>
      </c>
      <c r="AD333" s="611">
        <v>104</v>
      </c>
      <c r="AE333" s="611">
        <v>100</v>
      </c>
      <c r="AF333" s="611">
        <v>93</v>
      </c>
      <c r="AG333" s="611"/>
      <c r="AH333" s="611"/>
      <c r="AI333" s="611"/>
      <c r="AJ333" s="611"/>
      <c r="AK333" s="611">
        <v>763</v>
      </c>
      <c r="AL333" s="611">
        <v>1178</v>
      </c>
      <c r="AM333" s="643"/>
      <c r="AN333" s="611">
        <v>1</v>
      </c>
      <c r="AO333" s="611">
        <v>0.76</v>
      </c>
      <c r="AP33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33" s="565">
        <f>WWWW[[#This Row],[%Equitable and continuous access to sufficient quantity of safe drinking water]]*WWWW[[#This Row],[Total PoP ]]</f>
        <v>5579</v>
      </c>
      <c r="AR33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3" s="565">
        <f>WWWW[[#This Row],[% Access to unimproved water points]]*WWWW[[#This Row],[Total PoP ]]</f>
        <v>0</v>
      </c>
      <c r="AT33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3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5579</v>
      </c>
      <c r="AV333" s="565">
        <f>WWWW[[#This Row],[HRP1]]/250</f>
        <v>22.315999999999999</v>
      </c>
      <c r="AW333" s="555">
        <f>1-WWWW[[#This Row],[% Equitable and continuous access to sufficient quantity of domestic water]]</f>
        <v>0</v>
      </c>
      <c r="AX333" s="565">
        <f>WWWW[[#This Row],[%equitable and continuous access to sufficient quantity of safe drinking and domestic water''s GAP]]*WWWW[[#This Row],[Total PoP ]]</f>
        <v>0</v>
      </c>
      <c r="AY333" s="557">
        <f>IF(WWWW[[#This Row],[Total required water points]]-WWWW[[#This Row],['#Water points coverage]]&lt;0,0,WWWW[[#This Row],[Total required water points]]-WWWW[[#This Row],['#Water points coverage]])</f>
        <v>0</v>
      </c>
      <c r="AZ333" s="557">
        <f>ROUND(IF(WWWW[[#This Row],[Total PoP ]]&lt;250,1,WWWW[[#This Row],[Total PoP ]]/250),0)</f>
        <v>22</v>
      </c>
      <c r="BA33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33" s="565">
        <f>WWWW[[#This Row],[% people access to functioning Latrine]]*WWWW[[#This Row],[Total PoP ]]</f>
        <v>0</v>
      </c>
      <c r="BC333" s="557">
        <f>WWWW[[#This Row],['#_of_Functioning_latrines_in_school]]*50</f>
        <v>0</v>
      </c>
      <c r="BD333" s="557">
        <f>ROUND((WWWW[[#This Row],[Total PoP ]]/6),0)</f>
        <v>930</v>
      </c>
      <c r="BE333" s="557">
        <f>IF(WWWW[[#This Row],[Total required Latrines]]-(WWWW[[#This Row],['#_of_sanitary_fly-proof_HH_latrines]])&lt;0,0,WWWW[[#This Row],[Total required Latrines]]-(WWWW[[#This Row],['#_of_sanitary_fly-proof_HH_latrines]]))</f>
        <v>930</v>
      </c>
      <c r="BF333" s="558">
        <f>1-WWWW[[#This Row],[% people access to functioning Latrine]]</f>
        <v>1</v>
      </c>
      <c r="BG33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349</v>
      </c>
      <c r="BH333" s="565">
        <f>IF(WWWW[[#This Row],['#_of_functional_handwashing_facilities_at_HH_level]]*6&gt;WWWW[[#This Row],[Total PoP ]],WWWW[[#This Row],[Total PoP ]],WWWW[[#This Row],['#_of_functional_handwashing_facilities_at_HH_level]]*6)</f>
        <v>0</v>
      </c>
      <c r="BI333" s="557">
        <f>IF(WWWW[[#This Row],['# people reached by regular dedicated hygiene promotion]]&gt;WWWW[[#This Row],['# People received regular supply of hygiene items]],WWWW[[#This Row],['# people reached by regular dedicated hygiene promotion]],WWWW[[#This Row],['# People received regular supply of hygiene items]])</f>
        <v>5579</v>
      </c>
      <c r="BJ333" s="555">
        <f>IF(WWWW[[#This Row],[HRP3]]/WWWW[[#This Row],[Total PoP ]]&gt;100%,100%,WWWW[[#This Row],[HRP3]]/WWWW[[#This Row],[Total PoP ]])</f>
        <v>1</v>
      </c>
      <c r="BK333" s="558">
        <f>1-WWWW[[#This Row],[Hygiene Coverage%]]</f>
        <v>0</v>
      </c>
      <c r="BL333" s="556">
        <f>WWWW[[#This Row],['# people reached by regular dedicated hygiene promotion]]/WWWW[[#This Row],[Total PoP ]]</f>
        <v>6.2556013622512993E-2</v>
      </c>
      <c r="BM33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5579</v>
      </c>
      <c r="BN333" s="557">
        <f>WWWW[[#This Row],['#_of_affected_women_and_girls_receiving_a_sufficient_quantity_of_sanitary_pads]]</f>
        <v>1178</v>
      </c>
      <c r="BO333" s="611">
        <f>IF(WWWW[[#This Row],['# People with access to soap]]&gt;WWWW[[#This Row],['# People with access to Sanity Pads]],WWWW[[#This Row],['# People with access to soap]],WWWW[[#This Row],['# People with access to Sanity Pads]])</f>
        <v>5579</v>
      </c>
      <c r="BP333" s="565" t="str">
        <f>IF(OR(WWWW[[#This Row],['#of students in school]]="",WWWW[[#This Row],['#of students in school]]=0),"No","Yes")</f>
        <v>No</v>
      </c>
      <c r="BQ333" s="559" t="str">
        <f>VLOOKUP(WWWW[[#This Row],[Village  Name]],SiteDB6[[Site Name]:[Location Type 1]],9,FALSE)</f>
        <v>Village</v>
      </c>
      <c r="BR333" s="559" t="str">
        <f>VLOOKUP(WWWW[[#This Row],[Village  Name]],SiteDB6[[Site Name]:[Type of Accommodation]],10,FALSE)</f>
        <v>Village</v>
      </c>
      <c r="BS333" s="559" t="str">
        <f>VLOOKUP(WWWW[[#This Row],[Village  Name]],SiteDB6[[Site Name]:[Ethnic or GCA/NGCA]],11,FALSE)</f>
        <v>Muslim</v>
      </c>
      <c r="BT333" s="559">
        <f>VLOOKUP(WWWW[[#This Row],[Village  Name]],SiteDB6[[Site Name]:[Lat]],12,FALSE)</f>
        <v>20.15736008</v>
      </c>
      <c r="BU333" s="559">
        <f>VLOOKUP(WWWW[[#This Row],[Village  Name]],SiteDB6[[Site Name]:[Long]],13,FALSE)</f>
        <v>92.838653559999997</v>
      </c>
      <c r="BV333" s="559">
        <f>VLOOKUP(WWWW[[#This Row],[Village  Name]],SiteDB6[[Site Name]:[Pcode]],3,FALSE)</f>
        <v>196211</v>
      </c>
      <c r="BW333" s="559" t="str">
        <f t="shared" si="12"/>
        <v>Covered</v>
      </c>
      <c r="BX333" s="587"/>
    </row>
    <row r="334" spans="1:76">
      <c r="A334" s="612" t="s">
        <v>2381</v>
      </c>
      <c r="B334" s="612" t="s">
        <v>2308</v>
      </c>
      <c r="C334" s="612" t="s">
        <v>2308</v>
      </c>
      <c r="D334" s="457" t="s">
        <v>40</v>
      </c>
      <c r="E334" s="551" t="s">
        <v>2687</v>
      </c>
      <c r="F334" s="457" t="s">
        <v>297</v>
      </c>
      <c r="G334" s="551" t="str">
        <f>VLOOKUP(WWWW[[#This Row],[Village  Name]],SiteDB6[[Site Name]:[Location Type]],8,FALSE)</f>
        <v>Village</v>
      </c>
      <c r="H334" s="457" t="s">
        <v>419</v>
      </c>
      <c r="I334" s="611">
        <v>427</v>
      </c>
      <c r="J334" s="611">
        <v>2427</v>
      </c>
      <c r="K334" s="461">
        <v>43009</v>
      </c>
      <c r="L334" s="55">
        <v>44104</v>
      </c>
      <c r="M334" s="611"/>
      <c r="N334" s="611" t="s">
        <v>2657</v>
      </c>
      <c r="O334" s="611"/>
      <c r="P334" s="611">
        <v>17</v>
      </c>
      <c r="Q334" s="611"/>
      <c r="R334" s="611"/>
      <c r="S334" s="611">
        <v>1</v>
      </c>
      <c r="T334" s="643"/>
      <c r="U334" s="611"/>
      <c r="V334" s="611" t="s">
        <v>132</v>
      </c>
      <c r="W334" s="611">
        <v>4</v>
      </c>
      <c r="X334" s="611"/>
      <c r="Y334" s="611"/>
      <c r="Z334" s="611"/>
      <c r="AA334" s="611"/>
      <c r="AB334" s="643"/>
      <c r="AC334" s="611">
        <v>23</v>
      </c>
      <c r="AD334" s="611">
        <v>54</v>
      </c>
      <c r="AE334" s="611">
        <v>537</v>
      </c>
      <c r="AF334" s="611">
        <v>515</v>
      </c>
      <c r="AG334" s="611"/>
      <c r="AH334" s="611"/>
      <c r="AI334" s="611"/>
      <c r="AJ334" s="611"/>
      <c r="AK334" s="611">
        <v>427</v>
      </c>
      <c r="AL334" s="611">
        <v>756</v>
      </c>
      <c r="AM334" s="643"/>
      <c r="AN334" s="611">
        <v>0.81</v>
      </c>
      <c r="AO334" s="611">
        <v>0.62</v>
      </c>
      <c r="AP33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34" s="565">
        <f>WWWW[[#This Row],[%Equitable and continuous access to sufficient quantity of safe drinking water]]*WWWW[[#This Row],[Total PoP ]]</f>
        <v>2427</v>
      </c>
      <c r="AR33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4" s="565">
        <f>WWWW[[#This Row],[% Access to unimproved water points]]*WWWW[[#This Row],[Total PoP ]]</f>
        <v>0</v>
      </c>
      <c r="AT33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3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2427</v>
      </c>
      <c r="AV334" s="565">
        <f>WWWW[[#This Row],[HRP1]]/250</f>
        <v>9.7080000000000002</v>
      </c>
      <c r="AW334" s="555">
        <f>1-WWWW[[#This Row],[% Equitable and continuous access to sufficient quantity of domestic water]]</f>
        <v>0</v>
      </c>
      <c r="AX334" s="565">
        <f>WWWW[[#This Row],[%equitable and continuous access to sufficient quantity of safe drinking and domestic water''s GAP]]*WWWW[[#This Row],[Total PoP ]]</f>
        <v>0</v>
      </c>
      <c r="AY334" s="557">
        <f>IF(WWWW[[#This Row],[Total required water points]]-WWWW[[#This Row],['#Water points coverage]]&lt;0,0,WWWW[[#This Row],[Total required water points]]-WWWW[[#This Row],['#Water points coverage]])</f>
        <v>0.29199999999999982</v>
      </c>
      <c r="AZ334" s="557">
        <f>ROUND(IF(WWWW[[#This Row],[Total PoP ]]&lt;250,1,WWWW[[#This Row],[Total PoP ]]/250),0)</f>
        <v>10</v>
      </c>
      <c r="BA334"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8.2406262875978575E-2</v>
      </c>
      <c r="BB334" s="565">
        <f>WWWW[[#This Row],[% people access to functioning Latrine]]*WWWW[[#This Row],[Total PoP ]]</f>
        <v>200</v>
      </c>
      <c r="BC334" s="557">
        <f>WWWW[[#This Row],['#_of_Functioning_latrines_in_school]]*50</f>
        <v>200</v>
      </c>
      <c r="BD334" s="557">
        <f>ROUND((WWWW[[#This Row],[Total PoP ]]/6),0)</f>
        <v>405</v>
      </c>
      <c r="BE334" s="557">
        <f>IF(WWWW[[#This Row],[Total required Latrines]]-(WWWW[[#This Row],['#_of_sanitary_fly-proof_HH_latrines]])&lt;0,0,WWWW[[#This Row],[Total required Latrines]]-(WWWW[[#This Row],['#_of_sanitary_fly-proof_HH_latrines]]))</f>
        <v>405</v>
      </c>
      <c r="BF334" s="558">
        <f>1-WWWW[[#This Row],[% people access to functioning Latrine]]</f>
        <v>0.91759373712402148</v>
      </c>
      <c r="BG33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1129</v>
      </c>
      <c r="BH334" s="565">
        <f>IF(WWWW[[#This Row],['#_of_functional_handwashing_facilities_at_HH_level]]*6&gt;WWWW[[#This Row],[Total PoP ]],WWWW[[#This Row],[Total PoP ]],WWWW[[#This Row],['#_of_functional_handwashing_facilities_at_HH_level]]*6)</f>
        <v>0</v>
      </c>
      <c r="BI334" s="557">
        <f>IF(WWWW[[#This Row],['# people reached by regular dedicated hygiene promotion]]&gt;WWWW[[#This Row],['# People received regular supply of hygiene items]],WWWW[[#This Row],['# people reached by regular dedicated hygiene promotion]],WWWW[[#This Row],['# People received regular supply of hygiene items]])</f>
        <v>2427</v>
      </c>
      <c r="BJ334" s="555">
        <f>IF(WWWW[[#This Row],[HRP3]]/WWWW[[#This Row],[Total PoP ]]&gt;100%,100%,WWWW[[#This Row],[HRP3]]/WWWW[[#This Row],[Total PoP ]])</f>
        <v>1</v>
      </c>
      <c r="BK334" s="558">
        <f>1-WWWW[[#This Row],[Hygiene Coverage%]]</f>
        <v>0</v>
      </c>
      <c r="BL334" s="556">
        <f>WWWW[[#This Row],['# people reached by regular dedicated hygiene promotion]]/WWWW[[#This Row],[Total PoP ]]</f>
        <v>0.46518335393489907</v>
      </c>
      <c r="BM33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2427</v>
      </c>
      <c r="BN334" s="557">
        <f>WWWW[[#This Row],['#_of_affected_women_and_girls_receiving_a_sufficient_quantity_of_sanitary_pads]]</f>
        <v>756</v>
      </c>
      <c r="BO334" s="611">
        <f>IF(WWWW[[#This Row],['# People with access to soap]]&gt;WWWW[[#This Row],['# People with access to Sanity Pads]],WWWW[[#This Row],['# People with access to soap]],WWWW[[#This Row],['# People with access to Sanity Pads]])</f>
        <v>2427</v>
      </c>
      <c r="BP334" s="565" t="str">
        <f>IF(OR(WWWW[[#This Row],['#of students in school]]="",WWWW[[#This Row],['#of students in school]]=0),"No","Yes")</f>
        <v>No</v>
      </c>
      <c r="BQ334" s="559" t="str">
        <f>VLOOKUP(WWWW[[#This Row],[Village  Name]],SiteDB6[[Site Name]:[Location Type 1]],9,FALSE)</f>
        <v>Village</v>
      </c>
      <c r="BR334" s="559" t="str">
        <f>VLOOKUP(WWWW[[#This Row],[Village  Name]],SiteDB6[[Site Name]:[Type of Accommodation]],10,FALSE)</f>
        <v>Village</v>
      </c>
      <c r="BS334" s="559" t="str">
        <f>VLOOKUP(WWWW[[#This Row],[Village  Name]],SiteDB6[[Site Name]:[Ethnic or GCA/NGCA]],11,FALSE)</f>
        <v>Muslim</v>
      </c>
      <c r="BT334" s="559">
        <f>VLOOKUP(WWWW[[#This Row],[Village  Name]],SiteDB6[[Site Name]:[Lat]],12,FALSE)</f>
        <v>20.147863431600001</v>
      </c>
      <c r="BU334" s="559">
        <f>VLOOKUP(WWWW[[#This Row],[Village  Name]],SiteDB6[[Site Name]:[Long]],13,FALSE)</f>
        <v>92.846768572000002</v>
      </c>
      <c r="BV334" s="559">
        <f>VLOOKUP(WWWW[[#This Row],[Village  Name]],SiteDB6[[Site Name]:[Pcode]],3,FALSE)</f>
        <v>196209</v>
      </c>
      <c r="BW334" s="559" t="str">
        <f t="shared" si="12"/>
        <v>Covered</v>
      </c>
      <c r="BX334" s="587"/>
    </row>
    <row r="335" spans="1:76">
      <c r="A335" s="612" t="s">
        <v>2381</v>
      </c>
      <c r="B335" s="612" t="s">
        <v>316</v>
      </c>
      <c r="C335" s="457" t="s">
        <v>316</v>
      </c>
      <c r="D335" s="457" t="s">
        <v>329</v>
      </c>
      <c r="E335" s="551" t="s">
        <v>2687</v>
      </c>
      <c r="F335" s="457" t="s">
        <v>297</v>
      </c>
      <c r="G335" s="551" t="str">
        <f>VLOOKUP(WWWW[[#This Row],[Village  Name]],SiteDB6[[Site Name]:[Location Type]],8,FALSE)</f>
        <v>Village</v>
      </c>
      <c r="H335" s="457" t="s">
        <v>2250</v>
      </c>
      <c r="I335" s="611">
        <v>452</v>
      </c>
      <c r="J335" s="611">
        <v>1901</v>
      </c>
      <c r="K335" s="461">
        <v>42736</v>
      </c>
      <c r="L335" s="55">
        <v>44551</v>
      </c>
      <c r="M335" s="611"/>
      <c r="N335" s="611"/>
      <c r="O335" s="611"/>
      <c r="P335" s="611"/>
      <c r="Q335" s="611"/>
      <c r="R335" s="611"/>
      <c r="S335" s="611"/>
      <c r="T335" s="643"/>
      <c r="U335" s="611"/>
      <c r="V335" s="611" t="s">
        <v>132</v>
      </c>
      <c r="W335" s="611"/>
      <c r="X335" s="611"/>
      <c r="Y335" s="611"/>
      <c r="Z335" s="611"/>
      <c r="AA335" s="611"/>
      <c r="AB335" s="643"/>
      <c r="AC335" s="611"/>
      <c r="AD335" s="611"/>
      <c r="AE335" s="611"/>
      <c r="AF335" s="611"/>
      <c r="AG335" s="611"/>
      <c r="AH335" s="611"/>
      <c r="AI335" s="611"/>
      <c r="AJ335" s="611"/>
      <c r="AK335" s="611"/>
      <c r="AL335" s="611"/>
      <c r="AM335" s="643"/>
      <c r="AN335" s="611"/>
      <c r="AO335" s="611"/>
      <c r="AP33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35" s="565">
        <f>WWWW[[#This Row],[%Equitable and continuous access to sufficient quantity of safe drinking water]]*WWWW[[#This Row],[Total PoP ]]</f>
        <v>0</v>
      </c>
      <c r="AR33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5" s="565">
        <f>WWWW[[#This Row],[% Access to unimproved water points]]*WWWW[[#This Row],[Total PoP ]]</f>
        <v>0</v>
      </c>
      <c r="AT33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3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35" s="565">
        <f>WWWW[[#This Row],[HRP1]]/250</f>
        <v>0</v>
      </c>
      <c r="AW335" s="555">
        <f>1-WWWW[[#This Row],[% Equitable and continuous access to sufficient quantity of domestic water]]</f>
        <v>1</v>
      </c>
      <c r="AX335" s="565">
        <f>WWWW[[#This Row],[%equitable and continuous access to sufficient quantity of safe drinking and domestic water''s GAP]]*WWWW[[#This Row],[Total PoP ]]</f>
        <v>1901</v>
      </c>
      <c r="AY335" s="557">
        <f>IF(WWWW[[#This Row],[Total required water points]]-WWWW[[#This Row],['#Water points coverage]]&lt;0,0,WWWW[[#This Row],[Total required water points]]-WWWW[[#This Row],['#Water points coverage]])</f>
        <v>8</v>
      </c>
      <c r="AZ335" s="557">
        <f>ROUND(IF(WWWW[[#This Row],[Total PoP ]]&lt;250,1,WWWW[[#This Row],[Total PoP ]]/250),0)</f>
        <v>8</v>
      </c>
      <c r="BA33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35" s="565">
        <f>WWWW[[#This Row],[% people access to functioning Latrine]]*WWWW[[#This Row],[Total PoP ]]</f>
        <v>0</v>
      </c>
      <c r="BC335" s="557">
        <f>WWWW[[#This Row],['#_of_Functioning_latrines_in_school]]*50</f>
        <v>0</v>
      </c>
      <c r="BD335" s="557">
        <f>ROUND((WWWW[[#This Row],[Total PoP ]]/6),0)</f>
        <v>317</v>
      </c>
      <c r="BE335" s="557">
        <f>IF(WWWW[[#This Row],[Total required Latrines]]-(WWWW[[#This Row],['#_of_sanitary_fly-proof_HH_latrines]])&lt;0,0,WWWW[[#This Row],[Total required Latrines]]-(WWWW[[#This Row],['#_of_sanitary_fly-proof_HH_latrines]]))</f>
        <v>317</v>
      </c>
      <c r="BF335" s="558">
        <f>1-WWWW[[#This Row],[% people access to functioning Latrine]]</f>
        <v>1</v>
      </c>
      <c r="BG33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35" s="565">
        <f>IF(WWWW[[#This Row],['#_of_functional_handwashing_facilities_at_HH_level]]*6&gt;WWWW[[#This Row],[Total PoP ]],WWWW[[#This Row],[Total PoP ]],WWWW[[#This Row],['#_of_functional_handwashing_facilities_at_HH_level]]*6)</f>
        <v>0</v>
      </c>
      <c r="BI335" s="557">
        <f>IF(WWWW[[#This Row],['# people reached by regular dedicated hygiene promotion]]&gt;WWWW[[#This Row],['# People received regular supply of hygiene items]],WWWW[[#This Row],['# people reached by regular dedicated hygiene promotion]],WWWW[[#This Row],['# People received regular supply of hygiene items]])</f>
        <v>0</v>
      </c>
      <c r="BJ335" s="555">
        <f>IF(WWWW[[#This Row],[HRP3]]/WWWW[[#This Row],[Total PoP ]]&gt;100%,100%,WWWW[[#This Row],[HRP3]]/WWWW[[#This Row],[Total PoP ]])</f>
        <v>0</v>
      </c>
      <c r="BK335" s="558">
        <f>1-WWWW[[#This Row],[Hygiene Coverage%]]</f>
        <v>1</v>
      </c>
      <c r="BL335" s="556">
        <f>WWWW[[#This Row],['# people reached by regular dedicated hygiene promotion]]/WWWW[[#This Row],[Total PoP ]]</f>
        <v>0</v>
      </c>
      <c r="BM33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35" s="557">
        <f>WWWW[[#This Row],['#_of_affected_women_and_girls_receiving_a_sufficient_quantity_of_sanitary_pads]]</f>
        <v>0</v>
      </c>
      <c r="BO335" s="611">
        <f>IF(WWWW[[#This Row],['# People with access to soap]]&gt;WWWW[[#This Row],['# People with access to Sanity Pads]],WWWW[[#This Row],['# People with access to soap]],WWWW[[#This Row],['# People with access to Sanity Pads]])</f>
        <v>0</v>
      </c>
      <c r="BP335" s="565" t="str">
        <f>IF(OR(WWWW[[#This Row],['#of students in school]]="",WWWW[[#This Row],['#of students in school]]=0),"No","Yes")</f>
        <v>No</v>
      </c>
      <c r="BQ335" s="559" t="str">
        <f>VLOOKUP(WWWW[[#This Row],[Village  Name]],SiteDB6[[Site Name]:[Location Type 1]],9,FALSE)</f>
        <v>Village</v>
      </c>
      <c r="BR335" s="559" t="str">
        <f>VLOOKUP(WWWW[[#This Row],[Village  Name]],SiteDB6[[Site Name]:[Type of Accommodation]],10,FALSE)</f>
        <v>Village</v>
      </c>
      <c r="BS335" s="559">
        <f>VLOOKUP(WWWW[[#This Row],[Village  Name]],SiteDB6[[Site Name]:[Ethnic or GCA/NGCA]],11,FALSE)</f>
        <v>0</v>
      </c>
      <c r="BT335" s="559">
        <f>VLOOKUP(WWWW[[#This Row],[Village  Name]],SiteDB6[[Site Name]:[Lat]],12,FALSE)</f>
        <v>20.760820389999999</v>
      </c>
      <c r="BU335" s="559">
        <f>VLOOKUP(WWWW[[#This Row],[Village  Name]],SiteDB6[[Site Name]:[Long]],13,FALSE)</f>
        <v>92.960083010000005</v>
      </c>
      <c r="BV335" s="559">
        <f>VLOOKUP(WWWW[[#This Row],[Village  Name]],SiteDB6[[Site Name]:[Pcode]],3,FALSE)</f>
        <v>196893</v>
      </c>
      <c r="BW335" s="559" t="str">
        <f t="shared" si="12"/>
        <v>Covered</v>
      </c>
      <c r="BX335" s="587"/>
    </row>
    <row r="336" spans="1:76">
      <c r="A336" s="612" t="s">
        <v>2381</v>
      </c>
      <c r="B336" s="612" t="s">
        <v>2307</v>
      </c>
      <c r="C336" s="457" t="s">
        <v>2307</v>
      </c>
      <c r="D336" s="457" t="s">
        <v>40</v>
      </c>
      <c r="E336" s="551" t="s">
        <v>2687</v>
      </c>
      <c r="F336" s="457" t="s">
        <v>297</v>
      </c>
      <c r="G336" s="551" t="str">
        <f>VLOOKUP(WWWW[[#This Row],[Village  Name]],SiteDB6[[Site Name]:[Location Type]],8,FALSE)</f>
        <v>Village</v>
      </c>
      <c r="H336" s="457" t="s">
        <v>436</v>
      </c>
      <c r="I336" s="611">
        <v>17</v>
      </c>
      <c r="J336" s="611">
        <v>74</v>
      </c>
      <c r="K336" s="461">
        <v>43009</v>
      </c>
      <c r="L336" s="55">
        <v>44104</v>
      </c>
      <c r="M336" s="611"/>
      <c r="N336" s="611" t="s">
        <v>2657</v>
      </c>
      <c r="O336" s="611"/>
      <c r="P336" s="611">
        <v>70</v>
      </c>
      <c r="Q336" s="611"/>
      <c r="R336" s="611"/>
      <c r="S336" s="611"/>
      <c r="T336" s="643"/>
      <c r="U336" s="611"/>
      <c r="V336" s="611" t="s">
        <v>132</v>
      </c>
      <c r="W336" s="611"/>
      <c r="X336" s="611"/>
      <c r="Y336" s="611"/>
      <c r="Z336" s="611"/>
      <c r="AA336" s="611"/>
      <c r="AB336" s="643"/>
      <c r="AC336" s="611">
        <v>48</v>
      </c>
      <c r="AD336" s="611">
        <v>352</v>
      </c>
      <c r="AE336" s="611"/>
      <c r="AF336" s="611">
        <v>198</v>
      </c>
      <c r="AG336" s="611">
        <v>616</v>
      </c>
      <c r="AH336" s="611">
        <v>740</v>
      </c>
      <c r="AI336" s="611"/>
      <c r="AJ336" s="611"/>
      <c r="AK336" s="611">
        <v>299</v>
      </c>
      <c r="AL336" s="611">
        <v>738</v>
      </c>
      <c r="AM336" s="643"/>
      <c r="AN336" s="611">
        <v>1</v>
      </c>
      <c r="AO336" s="611">
        <v>0.36</v>
      </c>
      <c r="AP33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36" s="565">
        <f>WWWW[[#This Row],[%Equitable and continuous access to sufficient quantity of safe drinking water]]*WWWW[[#This Row],[Total PoP ]]</f>
        <v>74</v>
      </c>
      <c r="AR33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6" s="565">
        <f>WWWW[[#This Row],[% Access to unimproved water points]]*WWWW[[#This Row],[Total PoP ]]</f>
        <v>0</v>
      </c>
      <c r="AT33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3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AV336" s="565">
        <f>WWWW[[#This Row],[HRP1]]/250</f>
        <v>0.29599999999999999</v>
      </c>
      <c r="AW336" s="555">
        <f>1-WWWW[[#This Row],[% Equitable and continuous access to sufficient quantity of domestic water]]</f>
        <v>0</v>
      </c>
      <c r="AX336" s="565">
        <f>WWWW[[#This Row],[%equitable and continuous access to sufficient quantity of safe drinking and domestic water''s GAP]]*WWWW[[#This Row],[Total PoP ]]</f>
        <v>0</v>
      </c>
      <c r="AY336" s="557">
        <f>IF(WWWW[[#This Row],[Total required water points]]-WWWW[[#This Row],['#Water points coverage]]&lt;0,0,WWWW[[#This Row],[Total required water points]]-WWWW[[#This Row],['#Water points coverage]])</f>
        <v>0.70399999999999996</v>
      </c>
      <c r="AZ336" s="557">
        <f>ROUND(IF(WWWW[[#This Row],[Total PoP ]]&lt;250,1,WWWW[[#This Row],[Total PoP ]]/250),0)</f>
        <v>1</v>
      </c>
      <c r="BA33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36" s="565">
        <f>WWWW[[#This Row],[% people access to functioning Latrine]]*WWWW[[#This Row],[Total PoP ]]</f>
        <v>0</v>
      </c>
      <c r="BC336" s="557">
        <f>WWWW[[#This Row],['#_of_Functioning_latrines_in_school]]*50</f>
        <v>0</v>
      </c>
      <c r="BD336" s="557">
        <f>ROUND((WWWW[[#This Row],[Total PoP ]]/6),0)</f>
        <v>12</v>
      </c>
      <c r="BE336" s="557">
        <f>IF(WWWW[[#This Row],[Total required Latrines]]-(WWWW[[#This Row],['#_of_sanitary_fly-proof_HH_latrines]])&lt;0,0,WWWW[[#This Row],[Total required Latrines]]-(WWWW[[#This Row],['#_of_sanitary_fly-proof_HH_latrines]]))</f>
        <v>12</v>
      </c>
      <c r="BF336" s="558">
        <f>1-WWWW[[#This Row],[% people access to functioning Latrine]]</f>
        <v>1</v>
      </c>
      <c r="BG33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74</v>
      </c>
      <c r="BH336" s="565">
        <f>IF(WWWW[[#This Row],['#_of_functional_handwashing_facilities_at_HH_level]]*6&gt;WWWW[[#This Row],[Total PoP ]],WWWW[[#This Row],[Total PoP ]],WWWW[[#This Row],['#_of_functional_handwashing_facilities_at_HH_level]]*6)</f>
        <v>0</v>
      </c>
      <c r="BI336" s="557">
        <f>IF(WWWW[[#This Row],['# people reached by regular dedicated hygiene promotion]]&gt;WWWW[[#This Row],['# People received regular supply of hygiene items]],WWWW[[#This Row],['# people reached by regular dedicated hygiene promotion]],WWWW[[#This Row],['# People received regular supply of hygiene items]])</f>
        <v>738</v>
      </c>
      <c r="BJ336" s="555">
        <f>IF(WWWW[[#This Row],[HRP3]]/WWWW[[#This Row],[Total PoP ]]&gt;100%,100%,WWWW[[#This Row],[HRP3]]/WWWW[[#This Row],[Total PoP ]])</f>
        <v>1</v>
      </c>
      <c r="BK336" s="558">
        <f>1-WWWW[[#This Row],[Hygiene Coverage%]]</f>
        <v>0</v>
      </c>
      <c r="BL336" s="556">
        <f>WWWW[[#This Row],['# people reached by regular dedicated hygiene promotion]]/WWWW[[#This Row],[Total PoP ]]</f>
        <v>1</v>
      </c>
      <c r="BM33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74</v>
      </c>
      <c r="BN336" s="557">
        <f>WWWW[[#This Row],['#_of_affected_women_and_girls_receiving_a_sufficient_quantity_of_sanitary_pads]]</f>
        <v>738</v>
      </c>
      <c r="BO336" s="611">
        <f>IF(WWWW[[#This Row],['# People with access to soap]]&gt;WWWW[[#This Row],['# People with access to Sanity Pads]],WWWW[[#This Row],['# People with access to soap]],WWWW[[#This Row],['# People with access to Sanity Pads]])</f>
        <v>738</v>
      </c>
      <c r="BP336" s="565" t="str">
        <f>IF(OR(WWWW[[#This Row],['#of students in school]]="",WWWW[[#This Row],['#of students in school]]=0),"No","Yes")</f>
        <v>No</v>
      </c>
      <c r="BQ336" s="559" t="str">
        <f>VLOOKUP(WWWW[[#This Row],[Village  Name]],SiteDB6[[Site Name]:[Location Type 1]],9,FALSE)</f>
        <v>Village</v>
      </c>
      <c r="BR336" s="559" t="str">
        <f>VLOOKUP(WWWW[[#This Row],[Village  Name]],SiteDB6[[Site Name]:[Type of Accommodation]],10,FALSE)</f>
        <v>Village</v>
      </c>
      <c r="BS336" s="559" t="str">
        <f>VLOOKUP(WWWW[[#This Row],[Village  Name]],SiteDB6[[Site Name]:[Ethnic or GCA/NGCA]],11,FALSE)</f>
        <v>Muslim</v>
      </c>
      <c r="BT336" s="559">
        <f>VLOOKUP(WWWW[[#This Row],[Village  Name]],SiteDB6[[Site Name]:[Lat]],12,FALSE)</f>
        <v>20.193460460000001</v>
      </c>
      <c r="BU336" s="559">
        <f>VLOOKUP(WWWW[[#This Row],[Village  Name]],SiteDB6[[Site Name]:[Long]],13,FALSE)</f>
        <v>92.867782590000004</v>
      </c>
      <c r="BV336" s="559">
        <f>VLOOKUP(WWWW[[#This Row],[Village  Name]],SiteDB6[[Site Name]:[Pcode]],3,FALSE)</f>
        <v>196147</v>
      </c>
      <c r="BW336" s="559" t="str">
        <f t="shared" si="12"/>
        <v>Covered</v>
      </c>
      <c r="BX336" s="587"/>
    </row>
    <row r="337" spans="1:76">
      <c r="A337" s="612" t="s">
        <v>2381</v>
      </c>
      <c r="B337" s="612" t="s">
        <v>400</v>
      </c>
      <c r="C337" s="457" t="s">
        <v>400</v>
      </c>
      <c r="D337" s="457" t="s">
        <v>233</v>
      </c>
      <c r="E337" s="551" t="s">
        <v>2687</v>
      </c>
      <c r="F337" s="457" t="s">
        <v>401</v>
      </c>
      <c r="G337" s="551" t="str">
        <f>VLOOKUP(WWWW[[#This Row],[Village  Name]],SiteDB6[[Site Name]:[Location Type]],8,FALSE)</f>
        <v>Village</v>
      </c>
      <c r="H337" s="457" t="s">
        <v>403</v>
      </c>
      <c r="I337" s="611">
        <v>40</v>
      </c>
      <c r="J337" s="611">
        <v>217</v>
      </c>
      <c r="K337" s="461">
        <v>43530</v>
      </c>
      <c r="L337" s="55">
        <v>43896</v>
      </c>
      <c r="M337" s="611">
        <v>91</v>
      </c>
      <c r="N337" s="611"/>
      <c r="O337" s="611"/>
      <c r="P337" s="611"/>
      <c r="Q337" s="611"/>
      <c r="R337" s="611">
        <v>8</v>
      </c>
      <c r="S337" s="611">
        <v>2</v>
      </c>
      <c r="T337" s="758"/>
      <c r="U337" s="611">
        <v>40</v>
      </c>
      <c r="V337" s="611" t="s">
        <v>41</v>
      </c>
      <c r="W337" s="611">
        <v>2</v>
      </c>
      <c r="X337" s="611"/>
      <c r="Y337" s="611"/>
      <c r="Z337" s="611">
        <v>1</v>
      </c>
      <c r="AA337" s="611"/>
      <c r="AB337" s="643"/>
      <c r="AC337" s="611">
        <v>31</v>
      </c>
      <c r="AD337" s="611">
        <v>180</v>
      </c>
      <c r="AE337" s="611">
        <v>102</v>
      </c>
      <c r="AF337" s="611">
        <v>84</v>
      </c>
      <c r="AG337" s="611">
        <v>65</v>
      </c>
      <c r="AH337" s="611">
        <v>55</v>
      </c>
      <c r="AI337" s="611">
        <v>40</v>
      </c>
      <c r="AJ337" s="611">
        <v>1</v>
      </c>
      <c r="AK337" s="611">
        <v>40</v>
      </c>
      <c r="AL337" s="611">
        <v>80</v>
      </c>
      <c r="AM337" s="643"/>
      <c r="AN337" s="611">
        <v>1</v>
      </c>
      <c r="AO337" s="611">
        <v>1</v>
      </c>
      <c r="AP33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37" s="565">
        <f>WWWW[[#This Row],[%Equitable and continuous access to sufficient quantity of safe drinking water]]*WWWW[[#This Row],[Total PoP ]]</f>
        <v>217</v>
      </c>
      <c r="AR33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3.6866359447004608E-2</v>
      </c>
      <c r="AS337" s="565">
        <f>WWWW[[#This Row],[% Access to unimproved water points]]*WWWW[[#This Row],[Total PoP ]]</f>
        <v>8</v>
      </c>
      <c r="AT33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3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217</v>
      </c>
      <c r="AV337" s="565">
        <f>WWWW[[#This Row],[HRP1]]/250</f>
        <v>0.86799999999999999</v>
      </c>
      <c r="AW337" s="555">
        <f>1-WWWW[[#This Row],[% Equitable and continuous access to sufficient quantity of domestic water]]</f>
        <v>0</v>
      </c>
      <c r="AX337" s="565">
        <f>WWWW[[#This Row],[%equitable and continuous access to sufficient quantity of safe drinking and domestic water''s GAP]]*WWWW[[#This Row],[Total PoP ]]</f>
        <v>0</v>
      </c>
      <c r="AY337" s="557">
        <f>IF(WWWW[[#This Row],[Total required water points]]-WWWW[[#This Row],['#Water points coverage]]&lt;0,0,WWWW[[#This Row],[Total required water points]]-WWWW[[#This Row],['#Water points coverage]])</f>
        <v>0.13200000000000001</v>
      </c>
      <c r="AZ337" s="557">
        <f>ROUND(IF(WWWW[[#This Row],[Total PoP ]]&lt;250,1,WWWW[[#This Row],[Total PoP ]]/250),0)</f>
        <v>1</v>
      </c>
      <c r="BA337"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37" s="565">
        <f>WWWW[[#This Row],[% people access to functioning Latrine]]*WWWW[[#This Row],[Total PoP ]]</f>
        <v>217</v>
      </c>
      <c r="BC337" s="557">
        <f>WWWW[[#This Row],['#_of_Functioning_latrines_in_school]]*50</f>
        <v>100</v>
      </c>
      <c r="BD337" s="557">
        <f>ROUND((WWWW[[#This Row],[Total PoP ]]/6),0)</f>
        <v>36</v>
      </c>
      <c r="BE337" s="557">
        <f>IF(WWWW[[#This Row],[Total required Latrines]]-(WWWW[[#This Row],['#_of_sanitary_fly-proof_HH_latrines]])&lt;0,0,WWWW[[#This Row],[Total required Latrines]]-(WWWW[[#This Row],['#_of_sanitary_fly-proof_HH_latrines]]))</f>
        <v>0</v>
      </c>
      <c r="BF337" s="558">
        <f>1-WWWW[[#This Row],[% people access to functioning Latrine]]</f>
        <v>0</v>
      </c>
      <c r="BG33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H337" s="565">
        <f>IF(WWWW[[#This Row],['#_of_functional_handwashing_facilities_at_HH_level]]*6&gt;WWWW[[#This Row],[Total PoP ]],WWWW[[#This Row],[Total PoP ]],WWWW[[#This Row],['#_of_functional_handwashing_facilities_at_HH_level]]*6)</f>
        <v>217</v>
      </c>
      <c r="BI337" s="557">
        <f>IF(WWWW[[#This Row],['# people reached by regular dedicated hygiene promotion]]&gt;WWWW[[#This Row],['# People received regular supply of hygiene items]],WWWW[[#This Row],['# people reached by regular dedicated hygiene promotion]],WWWW[[#This Row],['# People received regular supply of hygiene items]])</f>
        <v>217</v>
      </c>
      <c r="BJ337" s="555">
        <f>IF(WWWW[[#This Row],[HRP3]]/WWWW[[#This Row],[Total PoP ]]&gt;100%,100%,WWWW[[#This Row],[HRP3]]/WWWW[[#This Row],[Total PoP ]])</f>
        <v>1</v>
      </c>
      <c r="BK337" s="558">
        <f>1-WWWW[[#This Row],[Hygiene Coverage%]]</f>
        <v>0</v>
      </c>
      <c r="BL337" s="556">
        <f>WWWW[[#This Row],['# people reached by regular dedicated hygiene promotion]]/WWWW[[#This Row],[Total PoP ]]</f>
        <v>1</v>
      </c>
      <c r="BM33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217</v>
      </c>
      <c r="BN337" s="557">
        <f>WWWW[[#This Row],['#_of_affected_women_and_girls_receiving_a_sufficient_quantity_of_sanitary_pads]]</f>
        <v>80</v>
      </c>
      <c r="BO337" s="611">
        <f>IF(WWWW[[#This Row],['# People with access to soap]]&gt;WWWW[[#This Row],['# People with access to Sanity Pads]],WWWW[[#This Row],['# People with access to soap]],WWWW[[#This Row],['# People with access to Sanity Pads]])</f>
        <v>217</v>
      </c>
      <c r="BP337" s="565" t="str">
        <f>IF(OR(WWWW[[#This Row],['#of students in school]]="",WWWW[[#This Row],['#of students in school]]=0),"No","Yes")</f>
        <v>Yes</v>
      </c>
      <c r="BQ337" s="559" t="str">
        <f>VLOOKUP(WWWW[[#This Row],[Village  Name]],SiteDB6[[Site Name]:[Location Type 1]],9,FALSE)</f>
        <v>Village</v>
      </c>
      <c r="BR337" s="559" t="str">
        <f>VLOOKUP(WWWW[[#This Row],[Village  Name]],SiteDB6[[Site Name]:[Type of Accommodation]],10,FALSE)</f>
        <v>Relocated</v>
      </c>
      <c r="BS337" s="559" t="str">
        <f>VLOOKUP(WWWW[[#This Row],[Village  Name]],SiteDB6[[Site Name]:[Ethnic or GCA/NGCA]],11,FALSE)</f>
        <v>Rakhine</v>
      </c>
      <c r="BT337" s="559">
        <f>VLOOKUP(WWWW[[#This Row],[Village  Name]],SiteDB6[[Site Name]:[Lat]],12,FALSE)</f>
        <v>20.041981</v>
      </c>
      <c r="BU337" s="559">
        <f>VLOOKUP(WWWW[[#This Row],[Village  Name]],SiteDB6[[Site Name]:[Long]],13,FALSE)</f>
        <v>93.373951000000005</v>
      </c>
      <c r="BV337" s="559" t="str">
        <f>VLOOKUP(WWWW[[#This Row],[Village  Name]],SiteDB6[[Site Name]:[Pcode]],3,FALSE)</f>
        <v>MMR012CMP013</v>
      </c>
      <c r="BW337" s="559" t="str">
        <f t="shared" si="12"/>
        <v>Covered</v>
      </c>
      <c r="BX337" s="587"/>
    </row>
    <row r="338" spans="1:76">
      <c r="A338" s="612" t="s">
        <v>2381</v>
      </c>
      <c r="B338" s="612" t="s">
        <v>268</v>
      </c>
      <c r="C338" s="457" t="s">
        <v>268</v>
      </c>
      <c r="D338" s="457" t="s">
        <v>2293</v>
      </c>
      <c r="E338" s="551" t="s">
        <v>2687</v>
      </c>
      <c r="F338" s="457" t="s">
        <v>404</v>
      </c>
      <c r="G338" s="551" t="str">
        <f>VLOOKUP(WWWW[[#This Row],[Village  Name]],SiteDB6[[Site Name]:[Location Type]],8,FALSE)</f>
        <v>Village</v>
      </c>
      <c r="H338" s="457" t="s">
        <v>413</v>
      </c>
      <c r="I338" s="611">
        <v>400</v>
      </c>
      <c r="J338" s="611">
        <v>2050</v>
      </c>
      <c r="K338" s="461" t="s">
        <v>2655</v>
      </c>
      <c r="L338" s="55" t="s">
        <v>2656</v>
      </c>
      <c r="M338" s="611"/>
      <c r="N338" s="611" t="s">
        <v>2657</v>
      </c>
      <c r="O338" s="611"/>
      <c r="P338" s="611"/>
      <c r="Q338" s="611"/>
      <c r="R338" s="611"/>
      <c r="S338" s="611"/>
      <c r="T338" s="643"/>
      <c r="U338" s="611"/>
      <c r="V338" s="611" t="s">
        <v>132</v>
      </c>
      <c r="W338" s="611"/>
      <c r="X338" s="611"/>
      <c r="Y338" s="611"/>
      <c r="Z338" s="611"/>
      <c r="AA338" s="611"/>
      <c r="AB338" s="643"/>
      <c r="AC338" s="611"/>
      <c r="AD338" s="611"/>
      <c r="AE338" s="611"/>
      <c r="AF338" s="611"/>
      <c r="AG338" s="611"/>
      <c r="AH338" s="611"/>
      <c r="AI338" s="611"/>
      <c r="AJ338" s="611"/>
      <c r="AK338" s="611"/>
      <c r="AL338" s="611"/>
      <c r="AM338" s="643"/>
      <c r="AN338" s="611"/>
      <c r="AO338" s="611"/>
      <c r="AP33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38" s="565">
        <f>WWWW[[#This Row],[%Equitable and continuous access to sufficient quantity of safe drinking water]]*WWWW[[#This Row],[Total PoP ]]</f>
        <v>0</v>
      </c>
      <c r="AR33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8" s="565">
        <f>WWWW[[#This Row],[% Access to unimproved water points]]*WWWW[[#This Row],[Total PoP ]]</f>
        <v>0</v>
      </c>
      <c r="AT33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3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38" s="565">
        <f>WWWW[[#This Row],[HRP1]]/250</f>
        <v>0</v>
      </c>
      <c r="AW338" s="555">
        <f>1-WWWW[[#This Row],[% Equitable and continuous access to sufficient quantity of domestic water]]</f>
        <v>1</v>
      </c>
      <c r="AX338" s="565">
        <f>WWWW[[#This Row],[%equitable and continuous access to sufficient quantity of safe drinking and domestic water''s GAP]]*WWWW[[#This Row],[Total PoP ]]</f>
        <v>2050</v>
      </c>
      <c r="AY338" s="557">
        <f>IF(WWWW[[#This Row],[Total required water points]]-WWWW[[#This Row],['#Water points coverage]]&lt;0,0,WWWW[[#This Row],[Total required water points]]-WWWW[[#This Row],['#Water points coverage]])</f>
        <v>8</v>
      </c>
      <c r="AZ338" s="557">
        <f>ROUND(IF(WWWW[[#This Row],[Total PoP ]]&lt;250,1,WWWW[[#This Row],[Total PoP ]]/250),0)</f>
        <v>8</v>
      </c>
      <c r="BA33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38" s="565">
        <f>WWWW[[#This Row],[% people access to functioning Latrine]]*WWWW[[#This Row],[Total PoP ]]</f>
        <v>0</v>
      </c>
      <c r="BC338" s="557">
        <f>WWWW[[#This Row],['#_of_Functioning_latrines_in_school]]*50</f>
        <v>0</v>
      </c>
      <c r="BD338" s="557">
        <f>ROUND((WWWW[[#This Row],[Total PoP ]]/6),0)</f>
        <v>342</v>
      </c>
      <c r="BE338" s="557">
        <f>IF(WWWW[[#This Row],[Total required Latrines]]-(WWWW[[#This Row],['#_of_sanitary_fly-proof_HH_latrines]])&lt;0,0,WWWW[[#This Row],[Total required Latrines]]-(WWWW[[#This Row],['#_of_sanitary_fly-proof_HH_latrines]]))</f>
        <v>342</v>
      </c>
      <c r="BF338" s="558">
        <f>1-WWWW[[#This Row],[% people access to functioning Latrine]]</f>
        <v>1</v>
      </c>
      <c r="BG33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38" s="565">
        <f>IF(WWWW[[#This Row],['#_of_functional_handwashing_facilities_at_HH_level]]*6&gt;WWWW[[#This Row],[Total PoP ]],WWWW[[#This Row],[Total PoP ]],WWWW[[#This Row],['#_of_functional_handwashing_facilities_at_HH_level]]*6)</f>
        <v>0</v>
      </c>
      <c r="BI338" s="557">
        <f>IF(WWWW[[#This Row],['# people reached by regular dedicated hygiene promotion]]&gt;WWWW[[#This Row],['# People received regular supply of hygiene items]],WWWW[[#This Row],['# people reached by regular dedicated hygiene promotion]],WWWW[[#This Row],['# People received regular supply of hygiene items]])</f>
        <v>0</v>
      </c>
      <c r="BJ338" s="555">
        <f>IF(WWWW[[#This Row],[HRP3]]/WWWW[[#This Row],[Total PoP ]]&gt;100%,100%,WWWW[[#This Row],[HRP3]]/WWWW[[#This Row],[Total PoP ]])</f>
        <v>0</v>
      </c>
      <c r="BK338" s="558">
        <f>1-WWWW[[#This Row],[Hygiene Coverage%]]</f>
        <v>1</v>
      </c>
      <c r="BL338" s="556">
        <f>WWWW[[#This Row],['# people reached by regular dedicated hygiene promotion]]/WWWW[[#This Row],[Total PoP ]]</f>
        <v>0</v>
      </c>
      <c r="BM33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38" s="557">
        <f>WWWW[[#This Row],['#_of_affected_women_and_girls_receiving_a_sufficient_quantity_of_sanitary_pads]]</f>
        <v>0</v>
      </c>
      <c r="BO338" s="611">
        <f>IF(WWWW[[#This Row],['# People with access to soap]]&gt;WWWW[[#This Row],['# People with access to Sanity Pads]],WWWW[[#This Row],['# People with access to soap]],WWWW[[#This Row],['# People with access to Sanity Pads]])</f>
        <v>0</v>
      </c>
      <c r="BP338" s="565" t="str">
        <f>IF(OR(WWWW[[#This Row],['#of students in school]]="",WWWW[[#This Row],['#of students in school]]=0),"No","Yes")</f>
        <v>No</v>
      </c>
      <c r="BQ338" s="559" t="str">
        <f>VLOOKUP(WWWW[[#This Row],[Village  Name]],SiteDB6[[Site Name]:[Location Type 1]],9,FALSE)</f>
        <v>Village</v>
      </c>
      <c r="BR338" s="559" t="str">
        <f>VLOOKUP(WWWW[[#This Row],[Village  Name]],SiteDB6[[Site Name]:[Type of Accommodation]],10,FALSE)</f>
        <v>Village</v>
      </c>
      <c r="BS338" s="559" t="str">
        <f>VLOOKUP(WWWW[[#This Row],[Village  Name]],SiteDB6[[Site Name]:[Ethnic or GCA/NGCA]],11,FALSE)</f>
        <v>Muslim</v>
      </c>
      <c r="BT338" s="559">
        <f>VLOOKUP(WWWW[[#This Row],[Village  Name]],SiteDB6[[Site Name]:[Lat]],12,FALSE)</f>
        <v>20.099340439999999</v>
      </c>
      <c r="BU338" s="559">
        <f>VLOOKUP(WWWW[[#This Row],[Village  Name]],SiteDB6[[Site Name]:[Long]],13,FALSE)</f>
        <v>92.989143369999994</v>
      </c>
      <c r="BV338" s="559">
        <f>VLOOKUP(WWWW[[#This Row],[Village  Name]],SiteDB6[[Site Name]:[Pcode]],3,FALSE)</f>
        <v>197558</v>
      </c>
      <c r="BW338" s="559" t="str">
        <f t="shared" si="12"/>
        <v>Covered</v>
      </c>
      <c r="BX338" s="587"/>
    </row>
    <row r="339" spans="1:76">
      <c r="A339" s="612" t="s">
        <v>2381</v>
      </c>
      <c r="B339" s="612" t="s">
        <v>289</v>
      </c>
      <c r="C339" s="457" t="s">
        <v>289</v>
      </c>
      <c r="D339" s="457" t="s">
        <v>329</v>
      </c>
      <c r="E339" s="551" t="s">
        <v>2687</v>
      </c>
      <c r="F339" s="457" t="s">
        <v>404</v>
      </c>
      <c r="G339" s="551" t="str">
        <f>VLOOKUP(WWWW[[#This Row],[Village  Name]],SiteDB6[[Site Name]:[Location Type]],8,FALSE)</f>
        <v>Village</v>
      </c>
      <c r="H339" s="457" t="s">
        <v>2566</v>
      </c>
      <c r="I339" s="611">
        <v>142</v>
      </c>
      <c r="J339" s="611">
        <v>582</v>
      </c>
      <c r="K339" s="461">
        <v>43359</v>
      </c>
      <c r="L339" s="55">
        <v>43830</v>
      </c>
      <c r="M339" s="611">
        <v>503</v>
      </c>
      <c r="N339" s="611"/>
      <c r="O339" s="611"/>
      <c r="P339" s="611"/>
      <c r="Q339" s="611"/>
      <c r="R339" s="611"/>
      <c r="S339" s="611"/>
      <c r="T339" s="643"/>
      <c r="U339" s="611"/>
      <c r="V339" s="611" t="s">
        <v>132</v>
      </c>
      <c r="W339" s="611"/>
      <c r="X339" s="611"/>
      <c r="Y339" s="611"/>
      <c r="Z339" s="611"/>
      <c r="AA339" s="611"/>
      <c r="AB339" s="643"/>
      <c r="AC339" s="611"/>
      <c r="AD339" s="611"/>
      <c r="AE339" s="611"/>
      <c r="AF339" s="611"/>
      <c r="AG339" s="611"/>
      <c r="AH339" s="611"/>
      <c r="AI339" s="611"/>
      <c r="AJ339" s="611"/>
      <c r="AK339" s="611"/>
      <c r="AL339" s="611"/>
      <c r="AM339" s="643"/>
      <c r="AN339" s="611"/>
      <c r="AO339" s="611"/>
      <c r="AP33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39" s="565">
        <f>WWWW[[#This Row],[%Equitable and continuous access to sufficient quantity of safe drinking water]]*WWWW[[#This Row],[Total PoP ]]</f>
        <v>0</v>
      </c>
      <c r="AR33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39" s="565">
        <f>WWWW[[#This Row],[% Access to unimproved water points]]*WWWW[[#This Row],[Total PoP ]]</f>
        <v>0</v>
      </c>
      <c r="AT33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3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39" s="565">
        <f>WWWW[[#This Row],[HRP1]]/250</f>
        <v>0</v>
      </c>
      <c r="AW339" s="555">
        <f>1-WWWW[[#This Row],[% Equitable and continuous access to sufficient quantity of domestic water]]</f>
        <v>1</v>
      </c>
      <c r="AX339" s="565">
        <f>WWWW[[#This Row],[%equitable and continuous access to sufficient quantity of safe drinking and domestic water''s GAP]]*WWWW[[#This Row],[Total PoP ]]</f>
        <v>582</v>
      </c>
      <c r="AY339" s="557">
        <f>IF(WWWW[[#This Row],[Total required water points]]-WWWW[[#This Row],['#Water points coverage]]&lt;0,0,WWWW[[#This Row],[Total required water points]]-WWWW[[#This Row],['#Water points coverage]])</f>
        <v>2</v>
      </c>
      <c r="AZ339" s="557">
        <f>ROUND(IF(WWWW[[#This Row],[Total PoP ]]&lt;250,1,WWWW[[#This Row],[Total PoP ]]/250),0)</f>
        <v>2</v>
      </c>
      <c r="BA33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39" s="565">
        <f>WWWW[[#This Row],[% people access to functioning Latrine]]*WWWW[[#This Row],[Total PoP ]]</f>
        <v>0</v>
      </c>
      <c r="BC339" s="557">
        <f>WWWW[[#This Row],['#_of_Functioning_latrines_in_school]]*50</f>
        <v>0</v>
      </c>
      <c r="BD339" s="557">
        <f>ROUND((WWWW[[#This Row],[Total PoP ]]/6),0)</f>
        <v>97</v>
      </c>
      <c r="BE339" s="557">
        <f>IF(WWWW[[#This Row],[Total required Latrines]]-(WWWW[[#This Row],['#_of_sanitary_fly-proof_HH_latrines]])&lt;0,0,WWWW[[#This Row],[Total required Latrines]]-(WWWW[[#This Row],['#_of_sanitary_fly-proof_HH_latrines]]))</f>
        <v>97</v>
      </c>
      <c r="BF339" s="558">
        <f>1-WWWW[[#This Row],[% people access to functioning Latrine]]</f>
        <v>1</v>
      </c>
      <c r="BG33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39" s="565">
        <f>IF(WWWW[[#This Row],['#_of_functional_handwashing_facilities_at_HH_level]]*6&gt;WWWW[[#This Row],[Total PoP ]],WWWW[[#This Row],[Total PoP ]],WWWW[[#This Row],['#_of_functional_handwashing_facilities_at_HH_level]]*6)</f>
        <v>0</v>
      </c>
      <c r="BI339" s="557">
        <f>IF(WWWW[[#This Row],['# people reached by regular dedicated hygiene promotion]]&gt;WWWW[[#This Row],['# People received regular supply of hygiene items]],WWWW[[#This Row],['# people reached by regular dedicated hygiene promotion]],WWWW[[#This Row],['# People received regular supply of hygiene items]])</f>
        <v>0</v>
      </c>
      <c r="BJ339" s="555">
        <f>IF(WWWW[[#This Row],[HRP3]]/WWWW[[#This Row],[Total PoP ]]&gt;100%,100%,WWWW[[#This Row],[HRP3]]/WWWW[[#This Row],[Total PoP ]])</f>
        <v>0</v>
      </c>
      <c r="BK339" s="558">
        <f>1-WWWW[[#This Row],[Hygiene Coverage%]]</f>
        <v>1</v>
      </c>
      <c r="BL339" s="556">
        <f>WWWW[[#This Row],['# people reached by regular dedicated hygiene promotion]]/WWWW[[#This Row],[Total PoP ]]</f>
        <v>0</v>
      </c>
      <c r="BM33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39" s="557">
        <f>WWWW[[#This Row],['#_of_affected_women_and_girls_receiving_a_sufficient_quantity_of_sanitary_pads]]</f>
        <v>0</v>
      </c>
      <c r="BO339" s="611">
        <f>IF(WWWW[[#This Row],['# People with access to soap]]&gt;WWWW[[#This Row],['# People with access to Sanity Pads]],WWWW[[#This Row],['# People with access to soap]],WWWW[[#This Row],['# People with access to Sanity Pads]])</f>
        <v>0</v>
      </c>
      <c r="BP339" s="565" t="str">
        <f>IF(OR(WWWW[[#This Row],['#of students in school]]="",WWWW[[#This Row],['#of students in school]]=0),"No","Yes")</f>
        <v>Yes</v>
      </c>
      <c r="BQ339" s="559" t="str">
        <f>VLOOKUP(WWWW[[#This Row],[Village  Name]],SiteDB6[[Site Name]:[Location Type 1]],9,FALSE)</f>
        <v>Village</v>
      </c>
      <c r="BR339" s="559" t="str">
        <f>VLOOKUP(WWWW[[#This Row],[Village  Name]],SiteDB6[[Site Name]:[Type of Accommodation]],10,FALSE)</f>
        <v>Village</v>
      </c>
      <c r="BS339" s="559">
        <f>VLOOKUP(WWWW[[#This Row],[Village  Name]],SiteDB6[[Site Name]:[Ethnic or GCA/NGCA]],11,FALSE)</f>
        <v>0</v>
      </c>
      <c r="BT339" s="559">
        <f>VLOOKUP(WWWW[[#This Row],[Village  Name]],SiteDB6[[Site Name]:[Lat]],12,FALSE)</f>
        <v>20.068620681762699</v>
      </c>
      <c r="BU339" s="559">
        <f>VLOOKUP(WWWW[[#This Row],[Village  Name]],SiteDB6[[Site Name]:[Long]],13,FALSE)</f>
        <v>92.934440612792997</v>
      </c>
      <c r="BV339" s="559">
        <f>VLOOKUP(WWWW[[#This Row],[Village  Name]],SiteDB6[[Site Name]:[Pcode]],3,FALSE)</f>
        <v>197574</v>
      </c>
      <c r="BW339" s="559" t="str">
        <f t="shared" si="12"/>
        <v>Covered</v>
      </c>
      <c r="BX339" s="587"/>
    </row>
    <row r="340" spans="1:76">
      <c r="A340" s="612" t="s">
        <v>2381</v>
      </c>
      <c r="B340" s="612" t="s">
        <v>320</v>
      </c>
      <c r="C340" s="457" t="s">
        <v>320</v>
      </c>
      <c r="D340" s="457" t="s">
        <v>336</v>
      </c>
      <c r="E340" s="551" t="s">
        <v>2687</v>
      </c>
      <c r="F340" s="457" t="s">
        <v>304</v>
      </c>
      <c r="G340" s="551" t="str">
        <f>VLOOKUP(WWWW[[#This Row],[Village  Name]],SiteDB6[[Site Name]:[Location Type]],8,FALSE)</f>
        <v>Village</v>
      </c>
      <c r="H340" s="457" t="s">
        <v>638</v>
      </c>
      <c r="I340" s="611">
        <v>93</v>
      </c>
      <c r="J340" s="611">
        <v>415</v>
      </c>
      <c r="K340" s="461">
        <v>43678</v>
      </c>
      <c r="L340" s="55">
        <v>44043</v>
      </c>
      <c r="M340" s="611">
        <v>54</v>
      </c>
      <c r="N340" s="611">
        <v>31</v>
      </c>
      <c r="O340" s="611">
        <v>2</v>
      </c>
      <c r="P340" s="611"/>
      <c r="Q340" s="611">
        <v>1</v>
      </c>
      <c r="R340" s="611"/>
      <c r="S340" s="611"/>
      <c r="T340" s="643"/>
      <c r="U340" s="611">
        <v>45</v>
      </c>
      <c r="V340" s="611" t="s">
        <v>128</v>
      </c>
      <c r="W340" s="611">
        <v>1</v>
      </c>
      <c r="X340" s="611">
        <v>3</v>
      </c>
      <c r="Y340" s="611"/>
      <c r="Z340" s="611"/>
      <c r="AA340" s="611"/>
      <c r="AB340" s="643"/>
      <c r="AC340" s="611">
        <v>4</v>
      </c>
      <c r="AD340" s="611">
        <v>16</v>
      </c>
      <c r="AE340" s="611"/>
      <c r="AF340" s="611"/>
      <c r="AG340" s="611"/>
      <c r="AH340" s="611"/>
      <c r="AI340" s="611"/>
      <c r="AJ340" s="611"/>
      <c r="AK340" s="611"/>
      <c r="AL340" s="611"/>
      <c r="AM340" s="643"/>
      <c r="AN340" s="611"/>
      <c r="AO340" s="611"/>
      <c r="AP34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40" s="565">
        <f>WWWW[[#This Row],[%Equitable and continuous access to sufficient quantity of safe drinking water]]*WWWW[[#This Row],[Total PoP ]]</f>
        <v>415</v>
      </c>
      <c r="AR34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40" s="565">
        <f>WWWW[[#This Row],[% Access to unimproved water points]]*WWWW[[#This Row],[Total PoP ]]</f>
        <v>415</v>
      </c>
      <c r="AT34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4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415</v>
      </c>
      <c r="AV340" s="565">
        <f>WWWW[[#This Row],[HRP1]]/250</f>
        <v>1.66</v>
      </c>
      <c r="AW340" s="555">
        <f>1-WWWW[[#This Row],[% Equitable and continuous access to sufficient quantity of domestic water]]</f>
        <v>0</v>
      </c>
      <c r="AX340" s="565">
        <f>WWWW[[#This Row],[%equitable and continuous access to sufficient quantity of safe drinking and domestic water''s GAP]]*WWWW[[#This Row],[Total PoP ]]</f>
        <v>0</v>
      </c>
      <c r="AY340" s="557">
        <f>IF(WWWW[[#This Row],[Total required water points]]-WWWW[[#This Row],['#Water points coverage]]&lt;0,0,WWWW[[#This Row],[Total required water points]]-WWWW[[#This Row],['#Water points coverage]])</f>
        <v>0.34000000000000008</v>
      </c>
      <c r="AZ340" s="557">
        <f>ROUND(IF(WWWW[[#This Row],[Total PoP ]]&lt;250,1,WWWW[[#This Row],[Total PoP ]]/250),0)</f>
        <v>2</v>
      </c>
      <c r="BA34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0.77108433734939763</v>
      </c>
      <c r="BB340" s="565">
        <f>WWWW[[#This Row],[% people access to functioning Latrine]]*WWWW[[#This Row],[Total PoP ]]</f>
        <v>320</v>
      </c>
      <c r="BC340" s="557">
        <f>WWWW[[#This Row],['#_of_Functioning_latrines_in_school]]*50</f>
        <v>50</v>
      </c>
      <c r="BD340" s="557">
        <f>ROUND((WWWW[[#This Row],[Total PoP ]]/6),0)</f>
        <v>69</v>
      </c>
      <c r="BE340" s="557">
        <f>IF(WWWW[[#This Row],[Total required Latrines]]-(WWWW[[#This Row],['#_of_sanitary_fly-proof_HH_latrines]])&lt;0,0,WWWW[[#This Row],[Total required Latrines]]-(WWWW[[#This Row],['#_of_sanitary_fly-proof_HH_latrines]]))</f>
        <v>24</v>
      </c>
      <c r="BF340" s="558">
        <f>1-WWWW[[#This Row],[% people access to functioning Latrine]]</f>
        <v>0.22891566265060237</v>
      </c>
      <c r="BG34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40" s="565">
        <f>IF(WWWW[[#This Row],['#_of_functional_handwashing_facilities_at_HH_level]]*6&gt;WWWW[[#This Row],[Total PoP ]],WWWW[[#This Row],[Total PoP ]],WWWW[[#This Row],['#_of_functional_handwashing_facilities_at_HH_level]]*6)</f>
        <v>0</v>
      </c>
      <c r="BI340" s="557">
        <f>IF(WWWW[[#This Row],['# people reached by regular dedicated hygiene promotion]]&gt;WWWW[[#This Row],['# People received regular supply of hygiene items]],WWWW[[#This Row],['# people reached by regular dedicated hygiene promotion]],WWWW[[#This Row],['# People received regular supply of hygiene items]])</f>
        <v>20</v>
      </c>
      <c r="BJ340" s="555">
        <f>IF(WWWW[[#This Row],[HRP3]]/WWWW[[#This Row],[Total PoP ]]&gt;100%,100%,WWWW[[#This Row],[HRP3]]/WWWW[[#This Row],[Total PoP ]])</f>
        <v>4.8192771084337352E-2</v>
      </c>
      <c r="BK340" s="558">
        <f>1-WWWW[[#This Row],[Hygiene Coverage%]]</f>
        <v>0.95180722891566261</v>
      </c>
      <c r="BL340" s="556">
        <f>WWWW[[#This Row],['# people reached by regular dedicated hygiene promotion]]/WWWW[[#This Row],[Total PoP ]]</f>
        <v>4.8192771084337352E-2</v>
      </c>
      <c r="BM34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0" s="557">
        <f>WWWW[[#This Row],['#_of_affected_women_and_girls_receiving_a_sufficient_quantity_of_sanitary_pads]]</f>
        <v>0</v>
      </c>
      <c r="BO340" s="611">
        <f>IF(WWWW[[#This Row],['# People with access to soap]]&gt;WWWW[[#This Row],['# People with access to Sanity Pads]],WWWW[[#This Row],['# People with access to soap]],WWWW[[#This Row],['# People with access to Sanity Pads]])</f>
        <v>0</v>
      </c>
      <c r="BP340" s="565" t="str">
        <f>IF(OR(WWWW[[#This Row],['#of students in school]]="",WWWW[[#This Row],['#of students in school]]=0),"No","Yes")</f>
        <v>Yes</v>
      </c>
      <c r="BQ340" s="559" t="str">
        <f>VLOOKUP(WWWW[[#This Row],[Village  Name]],SiteDB6[[Site Name]:[Location Type 1]],9,FALSE)</f>
        <v>Village</v>
      </c>
      <c r="BR340" s="559" t="str">
        <f>VLOOKUP(WWWW[[#This Row],[Village  Name]],SiteDB6[[Site Name]:[Type of Accommodation]],10,FALSE)</f>
        <v>Village</v>
      </c>
      <c r="BS340" s="559" t="str">
        <f>VLOOKUP(WWWW[[#This Row],[Village  Name]],SiteDB6[[Site Name]:[Ethnic or GCA/NGCA]],11,FALSE)</f>
        <v>Mro</v>
      </c>
      <c r="BT340" s="559">
        <f>VLOOKUP(WWWW[[#This Row],[Village  Name]],SiteDB6[[Site Name]:[Lat]],12,FALSE)</f>
        <v>20.855012890000001</v>
      </c>
      <c r="BU340" s="559">
        <f>VLOOKUP(WWWW[[#This Row],[Village  Name]],SiteDB6[[Site Name]:[Long]],13,FALSE)</f>
        <v>92.91</v>
      </c>
      <c r="BV340" s="559">
        <f>VLOOKUP(WWWW[[#This Row],[Village  Name]],SiteDB6[[Site Name]:[Pcode]],3,FALSE)</f>
        <v>196824</v>
      </c>
      <c r="BW340" s="559" t="str">
        <f t="shared" si="12"/>
        <v>Covered</v>
      </c>
      <c r="BX340" s="587"/>
    </row>
    <row r="341" spans="1:76">
      <c r="A341" s="612" t="s">
        <v>2381</v>
      </c>
      <c r="B341" s="612" t="s">
        <v>320</v>
      </c>
      <c r="C341" s="457" t="s">
        <v>320</v>
      </c>
      <c r="D341" s="457" t="s">
        <v>291</v>
      </c>
      <c r="E341" s="551" t="s">
        <v>2687</v>
      </c>
      <c r="F341" s="457" t="s">
        <v>304</v>
      </c>
      <c r="G341" s="551" t="str">
        <f>VLOOKUP(WWWW[[#This Row],[Village  Name]],SiteDB6[[Site Name]:[Location Type]],8,FALSE)</f>
        <v>Village</v>
      </c>
      <c r="H341" s="457" t="s">
        <v>2246</v>
      </c>
      <c r="I341" s="611">
        <v>128</v>
      </c>
      <c r="J341" s="611">
        <v>757</v>
      </c>
      <c r="K341" s="461">
        <v>43374</v>
      </c>
      <c r="L341" s="55">
        <v>43738</v>
      </c>
      <c r="M341" s="611">
        <v>113</v>
      </c>
      <c r="N341" s="611">
        <v>31</v>
      </c>
      <c r="O341" s="611"/>
      <c r="P341" s="611"/>
      <c r="Q341" s="611">
        <v>3</v>
      </c>
      <c r="R341" s="611"/>
      <c r="S341" s="611"/>
      <c r="T341" s="643"/>
      <c r="U341" s="611">
        <v>7</v>
      </c>
      <c r="V341" s="611" t="s">
        <v>128</v>
      </c>
      <c r="W341" s="611">
        <v>2</v>
      </c>
      <c r="X341" s="611">
        <v>20</v>
      </c>
      <c r="Y341" s="611"/>
      <c r="Z341" s="611"/>
      <c r="AA341" s="611"/>
      <c r="AB341" s="643"/>
      <c r="AC341" s="611"/>
      <c r="AD341" s="611"/>
      <c r="AE341" s="611"/>
      <c r="AF341" s="611"/>
      <c r="AG341" s="611"/>
      <c r="AH341" s="611"/>
      <c r="AI341" s="611"/>
      <c r="AJ341" s="611"/>
      <c r="AK341" s="611"/>
      <c r="AL341" s="611"/>
      <c r="AM341" s="643"/>
      <c r="AN341" s="611"/>
      <c r="AO341" s="611"/>
      <c r="AP34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1" s="565">
        <f>WWWW[[#This Row],[%Equitable and continuous access to sufficient quantity of safe drinking water]]*WWWW[[#This Row],[Total PoP ]]</f>
        <v>0</v>
      </c>
      <c r="AR34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41" s="565">
        <f>WWWW[[#This Row],[% Access to unimproved water points]]*WWWW[[#This Row],[Total PoP ]]</f>
        <v>757</v>
      </c>
      <c r="AT34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4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757</v>
      </c>
      <c r="AV341" s="565">
        <f>WWWW[[#This Row],[HRP1]]/250</f>
        <v>3.028</v>
      </c>
      <c r="AW341" s="555">
        <f>1-WWWW[[#This Row],[% Equitable and continuous access to sufficient quantity of domestic water]]</f>
        <v>0</v>
      </c>
      <c r="AX341" s="565">
        <f>WWWW[[#This Row],[%equitable and continuous access to sufficient quantity of safe drinking and domestic water''s GAP]]*WWWW[[#This Row],[Total PoP ]]</f>
        <v>0</v>
      </c>
      <c r="AY341" s="557">
        <f>IF(WWWW[[#This Row],[Total required water points]]-WWWW[[#This Row],['#Water points coverage]]&lt;0,0,WWWW[[#This Row],[Total required water points]]-WWWW[[#This Row],['#Water points coverage]])</f>
        <v>0</v>
      </c>
      <c r="AZ341" s="557">
        <f>ROUND(IF(WWWW[[#This Row],[Total PoP ]]&lt;250,1,WWWW[[#This Row],[Total PoP ]]/250),0)</f>
        <v>3</v>
      </c>
      <c r="BA341"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0.18758256274768825</v>
      </c>
      <c r="BB341" s="565">
        <f>WWWW[[#This Row],[% people access to functioning Latrine]]*WWWW[[#This Row],[Total PoP ]]</f>
        <v>142</v>
      </c>
      <c r="BC341" s="557">
        <f>WWWW[[#This Row],['#_of_Functioning_latrines_in_school]]*50</f>
        <v>100</v>
      </c>
      <c r="BD341" s="557">
        <f>ROUND((WWWW[[#This Row],[Total PoP ]]/6),0)</f>
        <v>126</v>
      </c>
      <c r="BE341" s="557">
        <f>IF(WWWW[[#This Row],[Total required Latrines]]-(WWWW[[#This Row],['#_of_sanitary_fly-proof_HH_latrines]])&lt;0,0,WWWW[[#This Row],[Total required Latrines]]-(WWWW[[#This Row],['#_of_sanitary_fly-proof_HH_latrines]]))</f>
        <v>119</v>
      </c>
      <c r="BF341" s="558">
        <f>1-WWWW[[#This Row],[% people access to functioning Latrine]]</f>
        <v>0.81241743725231175</v>
      </c>
      <c r="BG34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41" s="565">
        <f>IF(WWWW[[#This Row],['#_of_functional_handwashing_facilities_at_HH_level]]*6&gt;WWWW[[#This Row],[Total PoP ]],WWWW[[#This Row],[Total PoP ]],WWWW[[#This Row],['#_of_functional_handwashing_facilities_at_HH_level]]*6)</f>
        <v>0</v>
      </c>
      <c r="BI341" s="557">
        <f>IF(WWWW[[#This Row],['# people reached by regular dedicated hygiene promotion]]&gt;WWWW[[#This Row],['# People received regular supply of hygiene items]],WWWW[[#This Row],['# people reached by regular dedicated hygiene promotion]],WWWW[[#This Row],['# People received regular supply of hygiene items]])</f>
        <v>0</v>
      </c>
      <c r="BJ341" s="555">
        <f>IF(WWWW[[#This Row],[HRP3]]/WWWW[[#This Row],[Total PoP ]]&gt;100%,100%,WWWW[[#This Row],[HRP3]]/WWWW[[#This Row],[Total PoP ]])</f>
        <v>0</v>
      </c>
      <c r="BK341" s="558">
        <f>1-WWWW[[#This Row],[Hygiene Coverage%]]</f>
        <v>1</v>
      </c>
      <c r="BL341" s="556">
        <f>WWWW[[#This Row],['# people reached by regular dedicated hygiene promotion]]/WWWW[[#This Row],[Total PoP ]]</f>
        <v>0</v>
      </c>
      <c r="BM34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1" s="557">
        <f>WWWW[[#This Row],['#_of_affected_women_and_girls_receiving_a_sufficient_quantity_of_sanitary_pads]]</f>
        <v>0</v>
      </c>
      <c r="BO341" s="611">
        <f>IF(WWWW[[#This Row],['# People with access to soap]]&gt;WWWW[[#This Row],['# People with access to Sanity Pads]],WWWW[[#This Row],['# People with access to soap]],WWWW[[#This Row],['# People with access to Sanity Pads]])</f>
        <v>0</v>
      </c>
      <c r="BP341" s="565" t="str">
        <f>IF(OR(WWWW[[#This Row],['#of students in school]]="",WWWW[[#This Row],['#of students in school]]=0),"No","Yes")</f>
        <v>Yes</v>
      </c>
      <c r="BQ341" s="559" t="str">
        <f>VLOOKUP(WWWW[[#This Row],[Village  Name]],SiteDB6[[Site Name]:[Location Type 1]],9,FALSE)</f>
        <v>Village</v>
      </c>
      <c r="BR341" s="559" t="str">
        <f>VLOOKUP(WWWW[[#This Row],[Village  Name]],SiteDB6[[Site Name]:[Type of Accommodation]],10,FALSE)</f>
        <v>Village</v>
      </c>
      <c r="BS341" s="559">
        <f>VLOOKUP(WWWW[[#This Row],[Village  Name]],SiteDB6[[Site Name]:[Ethnic or GCA/NGCA]],11,FALSE)</f>
        <v>0</v>
      </c>
      <c r="BT341" s="559">
        <f>VLOOKUP(WWWW[[#This Row],[Village  Name]],SiteDB6[[Site Name]:[Lat]],12,FALSE)</f>
        <v>20.727590559999999</v>
      </c>
      <c r="BU341" s="559">
        <f>VLOOKUP(WWWW[[#This Row],[Village  Name]],SiteDB6[[Site Name]:[Long]],13,FALSE)</f>
        <v>92.969352720000003</v>
      </c>
      <c r="BV341" s="559">
        <f>VLOOKUP(WWWW[[#This Row],[Village  Name]],SiteDB6[[Site Name]:[Pcode]],3,FALSE)</f>
        <v>196816</v>
      </c>
      <c r="BW341" s="559" t="str">
        <f t="shared" si="12"/>
        <v>Covered</v>
      </c>
      <c r="BX341" s="587"/>
    </row>
    <row r="342" spans="1:76">
      <c r="A342" s="612" t="s">
        <v>2381</v>
      </c>
      <c r="B342" s="612" t="s">
        <v>320</v>
      </c>
      <c r="C342" s="457" t="s">
        <v>320</v>
      </c>
      <c r="D342" s="457" t="s">
        <v>291</v>
      </c>
      <c r="E342" s="551" t="s">
        <v>2687</v>
      </c>
      <c r="F342" s="457" t="s">
        <v>304</v>
      </c>
      <c r="G342" s="551" t="str">
        <f>VLOOKUP(WWWW[[#This Row],[Village  Name]],SiteDB6[[Site Name]:[Location Type]],8,FALSE)</f>
        <v>Village</v>
      </c>
      <c r="H342" s="457" t="s">
        <v>2245</v>
      </c>
      <c r="I342" s="611">
        <v>120</v>
      </c>
      <c r="J342" s="611">
        <v>714</v>
      </c>
      <c r="K342" s="461">
        <v>43374</v>
      </c>
      <c r="L342" s="55">
        <v>43738</v>
      </c>
      <c r="M342" s="611">
        <v>150</v>
      </c>
      <c r="N342" s="611">
        <v>31</v>
      </c>
      <c r="O342" s="611"/>
      <c r="P342" s="611"/>
      <c r="Q342" s="611">
        <v>1</v>
      </c>
      <c r="R342" s="611"/>
      <c r="S342" s="611"/>
      <c r="T342" s="643"/>
      <c r="U342" s="611">
        <v>11</v>
      </c>
      <c r="V342" s="611" t="s">
        <v>128</v>
      </c>
      <c r="W342" s="611">
        <v>2</v>
      </c>
      <c r="X342" s="611">
        <v>15</v>
      </c>
      <c r="Y342" s="611"/>
      <c r="Z342" s="611"/>
      <c r="AA342" s="611"/>
      <c r="AB342" s="643"/>
      <c r="AC342" s="611"/>
      <c r="AD342" s="611"/>
      <c r="AE342" s="611"/>
      <c r="AF342" s="611"/>
      <c r="AG342" s="611"/>
      <c r="AH342" s="611"/>
      <c r="AI342" s="611"/>
      <c r="AJ342" s="611"/>
      <c r="AK342" s="611"/>
      <c r="AL342" s="611"/>
      <c r="AM342" s="643"/>
      <c r="AN342" s="611"/>
      <c r="AO342" s="611"/>
      <c r="AP34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2" s="565">
        <f>WWWW[[#This Row],[%Equitable and continuous access to sufficient quantity of safe drinking water]]*WWWW[[#This Row],[Total PoP ]]</f>
        <v>0</v>
      </c>
      <c r="AR34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42" s="565">
        <f>WWWW[[#This Row],[% Access to unimproved water points]]*WWWW[[#This Row],[Total PoP ]]</f>
        <v>714</v>
      </c>
      <c r="AT34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4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714</v>
      </c>
      <c r="AV342" s="565">
        <f>WWWW[[#This Row],[HRP1]]/250</f>
        <v>2.8559999999999999</v>
      </c>
      <c r="AW342" s="555">
        <f>1-WWWW[[#This Row],[% Equitable and continuous access to sufficient quantity of domestic water]]</f>
        <v>0</v>
      </c>
      <c r="AX342" s="565">
        <f>WWWW[[#This Row],[%equitable and continuous access to sufficient quantity of safe drinking and domestic water''s GAP]]*WWWW[[#This Row],[Total PoP ]]</f>
        <v>0</v>
      </c>
      <c r="AY342" s="557">
        <f>IF(WWWW[[#This Row],[Total required water points]]-WWWW[[#This Row],['#Water points coverage]]&lt;0,0,WWWW[[#This Row],[Total required water points]]-WWWW[[#This Row],['#Water points coverage]])</f>
        <v>0.14400000000000013</v>
      </c>
      <c r="AZ342" s="557">
        <f>ROUND(IF(WWWW[[#This Row],[Total PoP ]]&lt;250,1,WWWW[[#This Row],[Total PoP ]]/250),0)</f>
        <v>3</v>
      </c>
      <c r="BA342"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0.23249299719887956</v>
      </c>
      <c r="BB342" s="565">
        <f>WWWW[[#This Row],[% people access to functioning Latrine]]*WWWW[[#This Row],[Total PoP ]]</f>
        <v>166</v>
      </c>
      <c r="BC342" s="557">
        <f>WWWW[[#This Row],['#_of_Functioning_latrines_in_school]]*50</f>
        <v>100</v>
      </c>
      <c r="BD342" s="557">
        <f>ROUND((WWWW[[#This Row],[Total PoP ]]/6),0)</f>
        <v>119</v>
      </c>
      <c r="BE342" s="557">
        <f>IF(WWWW[[#This Row],[Total required Latrines]]-(WWWW[[#This Row],['#_of_sanitary_fly-proof_HH_latrines]])&lt;0,0,WWWW[[#This Row],[Total required Latrines]]-(WWWW[[#This Row],['#_of_sanitary_fly-proof_HH_latrines]]))</f>
        <v>108</v>
      </c>
      <c r="BF342" s="558">
        <f>1-WWWW[[#This Row],[% people access to functioning Latrine]]</f>
        <v>0.76750700280112039</v>
      </c>
      <c r="BG34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42" s="565">
        <f>IF(WWWW[[#This Row],['#_of_functional_handwashing_facilities_at_HH_level]]*6&gt;WWWW[[#This Row],[Total PoP ]],WWWW[[#This Row],[Total PoP ]],WWWW[[#This Row],['#_of_functional_handwashing_facilities_at_HH_level]]*6)</f>
        <v>0</v>
      </c>
      <c r="BI342" s="557">
        <f>IF(WWWW[[#This Row],['# people reached by regular dedicated hygiene promotion]]&gt;WWWW[[#This Row],['# People received regular supply of hygiene items]],WWWW[[#This Row],['# people reached by regular dedicated hygiene promotion]],WWWW[[#This Row],['# People received regular supply of hygiene items]])</f>
        <v>0</v>
      </c>
      <c r="BJ342" s="555">
        <f>IF(WWWW[[#This Row],[HRP3]]/WWWW[[#This Row],[Total PoP ]]&gt;100%,100%,WWWW[[#This Row],[HRP3]]/WWWW[[#This Row],[Total PoP ]])</f>
        <v>0</v>
      </c>
      <c r="BK342" s="558">
        <f>1-WWWW[[#This Row],[Hygiene Coverage%]]</f>
        <v>1</v>
      </c>
      <c r="BL342" s="556">
        <f>WWWW[[#This Row],['# people reached by regular dedicated hygiene promotion]]/WWWW[[#This Row],[Total PoP ]]</f>
        <v>0</v>
      </c>
      <c r="BM34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2" s="557">
        <f>WWWW[[#This Row],['#_of_affected_women_and_girls_receiving_a_sufficient_quantity_of_sanitary_pads]]</f>
        <v>0</v>
      </c>
      <c r="BO342" s="611">
        <f>IF(WWWW[[#This Row],['# People with access to soap]]&gt;WWWW[[#This Row],['# People with access to Sanity Pads]],WWWW[[#This Row],['# People with access to soap]],WWWW[[#This Row],['# People with access to Sanity Pads]])</f>
        <v>0</v>
      </c>
      <c r="BP342" s="565" t="str">
        <f>IF(OR(WWWW[[#This Row],['#of students in school]]="",WWWW[[#This Row],['#of students in school]]=0),"No","Yes")</f>
        <v>Yes</v>
      </c>
      <c r="BQ342" s="559" t="str">
        <f>VLOOKUP(WWWW[[#This Row],[Village  Name]],SiteDB6[[Site Name]:[Location Type 1]],9,FALSE)</f>
        <v>Village</v>
      </c>
      <c r="BR342" s="559" t="str">
        <f>VLOOKUP(WWWW[[#This Row],[Village  Name]],SiteDB6[[Site Name]:[Type of Accommodation]],10,FALSE)</f>
        <v>Village</v>
      </c>
      <c r="BS342" s="559">
        <f>VLOOKUP(WWWW[[#This Row],[Village  Name]],SiteDB6[[Site Name]:[Ethnic or GCA/NGCA]],11,FALSE)</f>
        <v>0</v>
      </c>
      <c r="BT342" s="559">
        <f>VLOOKUP(WWWW[[#This Row],[Village  Name]],SiteDB6[[Site Name]:[Lat]],12,FALSE)</f>
        <v>20.896429059999999</v>
      </c>
      <c r="BU342" s="559">
        <f>VLOOKUP(WWWW[[#This Row],[Village  Name]],SiteDB6[[Site Name]:[Long]],13,FALSE)</f>
        <v>92.940193179999994</v>
      </c>
      <c r="BV342" s="559">
        <f>VLOOKUP(WWWW[[#This Row],[Village  Name]],SiteDB6[[Site Name]:[Pcode]],3,FALSE)</f>
        <v>196804</v>
      </c>
      <c r="BW342" s="559" t="str">
        <f t="shared" si="12"/>
        <v>Covered</v>
      </c>
      <c r="BX342" s="587"/>
    </row>
    <row r="343" spans="1:76">
      <c r="A343" s="612" t="s">
        <v>2381</v>
      </c>
      <c r="B343" s="612" t="s">
        <v>320</v>
      </c>
      <c r="C343" s="457" t="s">
        <v>320</v>
      </c>
      <c r="D343" s="457" t="s">
        <v>291</v>
      </c>
      <c r="E343" s="551" t="s">
        <v>2687</v>
      </c>
      <c r="F343" s="457" t="s">
        <v>304</v>
      </c>
      <c r="G343" s="551" t="str">
        <f>VLOOKUP(WWWW[[#This Row],[Village  Name]],SiteDB6[[Site Name]:[Location Type]],8,FALSE)</f>
        <v>Village</v>
      </c>
      <c r="H343" s="457" t="s">
        <v>2238</v>
      </c>
      <c r="I343" s="611">
        <v>116</v>
      </c>
      <c r="J343" s="611">
        <v>603</v>
      </c>
      <c r="K343" s="461">
        <v>43374</v>
      </c>
      <c r="L343" s="55">
        <v>43738</v>
      </c>
      <c r="M343" s="611">
        <v>125</v>
      </c>
      <c r="N343" s="611">
        <v>31</v>
      </c>
      <c r="O343" s="611"/>
      <c r="P343" s="611"/>
      <c r="Q343" s="611">
        <v>1</v>
      </c>
      <c r="R343" s="611"/>
      <c r="S343" s="611"/>
      <c r="T343" s="643"/>
      <c r="U343" s="611">
        <v>94</v>
      </c>
      <c r="V343" s="611" t="s">
        <v>128</v>
      </c>
      <c r="W343" s="611">
        <v>2</v>
      </c>
      <c r="X343" s="611">
        <v>6</v>
      </c>
      <c r="Y343" s="611"/>
      <c r="Z343" s="611"/>
      <c r="AA343" s="611"/>
      <c r="AB343" s="643"/>
      <c r="AC343" s="611"/>
      <c r="AD343" s="611"/>
      <c r="AE343" s="611"/>
      <c r="AF343" s="611"/>
      <c r="AG343" s="611"/>
      <c r="AH343" s="611"/>
      <c r="AI343" s="611"/>
      <c r="AJ343" s="611"/>
      <c r="AK343" s="611"/>
      <c r="AL343" s="611"/>
      <c r="AM343" s="643"/>
      <c r="AN343" s="611"/>
      <c r="AO343" s="611"/>
      <c r="AP34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3" s="565">
        <f>WWWW[[#This Row],[%Equitable and continuous access to sufficient quantity of safe drinking water]]*WWWW[[#This Row],[Total PoP ]]</f>
        <v>0</v>
      </c>
      <c r="AR34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43" s="565">
        <f>WWWW[[#This Row],[% Access to unimproved water points]]*WWWW[[#This Row],[Total PoP ]]</f>
        <v>603</v>
      </c>
      <c r="AT34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4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603</v>
      </c>
      <c r="AV343" s="565">
        <f>WWWW[[#This Row],[HRP1]]/250</f>
        <v>2.4119999999999999</v>
      </c>
      <c r="AW343" s="555">
        <f>1-WWWW[[#This Row],[% Equitable and continuous access to sufficient quantity of domestic water]]</f>
        <v>0</v>
      </c>
      <c r="AX343" s="565">
        <f>WWWW[[#This Row],[%equitable and continuous access to sufficient quantity of safe drinking and domestic water''s GAP]]*WWWW[[#This Row],[Total PoP ]]</f>
        <v>0</v>
      </c>
      <c r="AY343" s="557">
        <f>IF(WWWW[[#This Row],[Total required water points]]-WWWW[[#This Row],['#Water points coverage]]&lt;0,0,WWWW[[#This Row],[Total required water points]]-WWWW[[#This Row],['#Water points coverage]])</f>
        <v>0</v>
      </c>
      <c r="AZ343" s="557">
        <f>ROUND(IF(WWWW[[#This Row],[Total PoP ]]&lt;250,1,WWWW[[#This Row],[Total PoP ]]/250),0)</f>
        <v>2</v>
      </c>
      <c r="BA343"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43" s="565">
        <f>WWWW[[#This Row],[% people access to functioning Latrine]]*WWWW[[#This Row],[Total PoP ]]</f>
        <v>603</v>
      </c>
      <c r="BC343" s="557">
        <f>WWWW[[#This Row],['#_of_Functioning_latrines_in_school]]*50</f>
        <v>100</v>
      </c>
      <c r="BD343" s="557">
        <f>ROUND((WWWW[[#This Row],[Total PoP ]]/6),0)</f>
        <v>101</v>
      </c>
      <c r="BE343" s="557">
        <f>IF(WWWW[[#This Row],[Total required Latrines]]-(WWWW[[#This Row],['#_of_sanitary_fly-proof_HH_latrines]])&lt;0,0,WWWW[[#This Row],[Total required Latrines]]-(WWWW[[#This Row],['#_of_sanitary_fly-proof_HH_latrines]]))</f>
        <v>7</v>
      </c>
      <c r="BF343" s="558">
        <f>1-WWWW[[#This Row],[% people access to functioning Latrine]]</f>
        <v>0</v>
      </c>
      <c r="BG34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43" s="565">
        <f>IF(WWWW[[#This Row],['#_of_functional_handwashing_facilities_at_HH_level]]*6&gt;WWWW[[#This Row],[Total PoP ]],WWWW[[#This Row],[Total PoP ]],WWWW[[#This Row],['#_of_functional_handwashing_facilities_at_HH_level]]*6)</f>
        <v>0</v>
      </c>
      <c r="BI343" s="557">
        <f>IF(WWWW[[#This Row],['# people reached by regular dedicated hygiene promotion]]&gt;WWWW[[#This Row],['# People received regular supply of hygiene items]],WWWW[[#This Row],['# people reached by regular dedicated hygiene promotion]],WWWW[[#This Row],['# People received regular supply of hygiene items]])</f>
        <v>0</v>
      </c>
      <c r="BJ343" s="555">
        <f>IF(WWWW[[#This Row],[HRP3]]/WWWW[[#This Row],[Total PoP ]]&gt;100%,100%,WWWW[[#This Row],[HRP3]]/WWWW[[#This Row],[Total PoP ]])</f>
        <v>0</v>
      </c>
      <c r="BK343" s="558">
        <f>1-WWWW[[#This Row],[Hygiene Coverage%]]</f>
        <v>1</v>
      </c>
      <c r="BL343" s="556">
        <f>WWWW[[#This Row],['# people reached by regular dedicated hygiene promotion]]/WWWW[[#This Row],[Total PoP ]]</f>
        <v>0</v>
      </c>
      <c r="BM34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3" s="557">
        <f>WWWW[[#This Row],['#_of_affected_women_and_girls_receiving_a_sufficient_quantity_of_sanitary_pads]]</f>
        <v>0</v>
      </c>
      <c r="BO343" s="611">
        <f>IF(WWWW[[#This Row],['# People with access to soap]]&gt;WWWW[[#This Row],['# People with access to Sanity Pads]],WWWW[[#This Row],['# People with access to soap]],WWWW[[#This Row],['# People with access to Sanity Pads]])</f>
        <v>0</v>
      </c>
      <c r="BP343" s="565" t="str">
        <f>IF(OR(WWWW[[#This Row],['#of students in school]]="",WWWW[[#This Row],['#of students in school]]=0),"No","Yes")</f>
        <v>Yes</v>
      </c>
      <c r="BQ343" s="559" t="str">
        <f>VLOOKUP(WWWW[[#This Row],[Village  Name]],SiteDB6[[Site Name]:[Location Type 1]],9,FALSE)</f>
        <v>Village</v>
      </c>
      <c r="BR343" s="559" t="str">
        <f>VLOOKUP(WWWW[[#This Row],[Village  Name]],SiteDB6[[Site Name]:[Type of Accommodation]],10,FALSE)</f>
        <v>Village</v>
      </c>
      <c r="BS343" s="559">
        <f>VLOOKUP(WWWW[[#This Row],[Village  Name]],SiteDB6[[Site Name]:[Ethnic or GCA/NGCA]],11,FALSE)</f>
        <v>0</v>
      </c>
      <c r="BT343" s="559">
        <f>VLOOKUP(WWWW[[#This Row],[Village  Name]],SiteDB6[[Site Name]:[Lat]],12,FALSE)</f>
        <v>20.889249800000002</v>
      </c>
      <c r="BU343" s="559">
        <f>VLOOKUP(WWWW[[#This Row],[Village  Name]],SiteDB6[[Site Name]:[Long]],13,FALSE)</f>
        <v>92.939201350000005</v>
      </c>
      <c r="BV343" s="559">
        <f>VLOOKUP(WWWW[[#This Row],[Village  Name]],SiteDB6[[Site Name]:[Pcode]],3,FALSE)</f>
        <v>0</v>
      </c>
      <c r="BW343" s="559" t="str">
        <f t="shared" si="12"/>
        <v>Covered</v>
      </c>
      <c r="BX343" s="587"/>
    </row>
    <row r="344" spans="1:76">
      <c r="A344" s="612" t="s">
        <v>2381</v>
      </c>
      <c r="B344" s="612" t="s">
        <v>320</v>
      </c>
      <c r="C344" s="457" t="s">
        <v>320</v>
      </c>
      <c r="D344" s="457" t="s">
        <v>291</v>
      </c>
      <c r="E344" s="551" t="s">
        <v>2687</v>
      </c>
      <c r="F344" s="457" t="s">
        <v>304</v>
      </c>
      <c r="G344" s="551" t="str">
        <f>VLOOKUP(WWWW[[#This Row],[Village  Name]],SiteDB6[[Site Name]:[Location Type]],8,FALSE)</f>
        <v>Village</v>
      </c>
      <c r="H344" s="457" t="s">
        <v>575</v>
      </c>
      <c r="I344" s="611">
        <v>173</v>
      </c>
      <c r="J344" s="611">
        <v>1094</v>
      </c>
      <c r="K344" s="461">
        <v>43374</v>
      </c>
      <c r="L344" s="55">
        <v>43738</v>
      </c>
      <c r="M344" s="611">
        <v>250</v>
      </c>
      <c r="N344" s="611">
        <v>31</v>
      </c>
      <c r="O344" s="611"/>
      <c r="P344" s="611"/>
      <c r="Q344" s="611">
        <v>1</v>
      </c>
      <c r="R344" s="611"/>
      <c r="S344" s="611"/>
      <c r="T344" s="643"/>
      <c r="U344" s="611">
        <v>56</v>
      </c>
      <c r="V344" s="611" t="s">
        <v>41</v>
      </c>
      <c r="W344" s="611">
        <v>1</v>
      </c>
      <c r="X344" s="611">
        <v>10</v>
      </c>
      <c r="Y344" s="611"/>
      <c r="Z344" s="611"/>
      <c r="AA344" s="611"/>
      <c r="AB344" s="643"/>
      <c r="AC344" s="611"/>
      <c r="AD344" s="611"/>
      <c r="AE344" s="611"/>
      <c r="AF344" s="611"/>
      <c r="AG344" s="611"/>
      <c r="AH344" s="611"/>
      <c r="AI344" s="611"/>
      <c r="AJ344" s="611"/>
      <c r="AK344" s="611"/>
      <c r="AL344" s="611"/>
      <c r="AM344" s="643"/>
      <c r="AN344" s="611"/>
      <c r="AO344" s="611"/>
      <c r="AP34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4" s="565">
        <f>WWWW[[#This Row],[%Equitable and continuous access to sufficient quantity of safe drinking water]]*WWWW[[#This Row],[Total PoP ]]</f>
        <v>0</v>
      </c>
      <c r="AR34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44" s="565">
        <f>WWWW[[#This Row],[% Access to unimproved water points]]*WWWW[[#This Row],[Total PoP ]]</f>
        <v>1094</v>
      </c>
      <c r="AT34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4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1094</v>
      </c>
      <c r="AV344" s="565">
        <f>WWWW[[#This Row],[HRP1]]/250</f>
        <v>4.3760000000000003</v>
      </c>
      <c r="AW344" s="555">
        <f>1-WWWW[[#This Row],[% Equitable and continuous access to sufficient quantity of domestic water]]</f>
        <v>0</v>
      </c>
      <c r="AX344" s="565">
        <f>WWWW[[#This Row],[%equitable and continuous access to sufficient quantity of safe drinking and domestic water''s GAP]]*WWWW[[#This Row],[Total PoP ]]</f>
        <v>0</v>
      </c>
      <c r="AY344" s="557">
        <f>IF(WWWW[[#This Row],[Total required water points]]-WWWW[[#This Row],['#Water points coverage]]&lt;0,0,WWWW[[#This Row],[Total required water points]]-WWWW[[#This Row],['#Water points coverage]])</f>
        <v>0</v>
      </c>
      <c r="AZ344" s="557">
        <f>ROUND(IF(WWWW[[#This Row],[Total PoP ]]&lt;250,1,WWWW[[#This Row],[Total PoP ]]/250),0)</f>
        <v>4</v>
      </c>
      <c r="BA344"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0.35283363802559414</v>
      </c>
      <c r="BB344" s="565">
        <f>WWWW[[#This Row],[% people access to functioning Latrine]]*WWWW[[#This Row],[Total PoP ]]</f>
        <v>386</v>
      </c>
      <c r="BC344" s="557">
        <f>WWWW[[#This Row],['#_of_Functioning_latrines_in_school]]*50</f>
        <v>50</v>
      </c>
      <c r="BD344" s="557">
        <f>ROUND((WWWW[[#This Row],[Total PoP ]]/6),0)</f>
        <v>182</v>
      </c>
      <c r="BE344" s="557">
        <f>IF(WWWW[[#This Row],[Total required Latrines]]-(WWWW[[#This Row],['#_of_sanitary_fly-proof_HH_latrines]])&lt;0,0,WWWW[[#This Row],[Total required Latrines]]-(WWWW[[#This Row],['#_of_sanitary_fly-proof_HH_latrines]]))</f>
        <v>126</v>
      </c>
      <c r="BF344" s="558">
        <f>1-WWWW[[#This Row],[% people access to functioning Latrine]]</f>
        <v>0.64716636197440591</v>
      </c>
      <c r="BG34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44" s="565">
        <f>IF(WWWW[[#This Row],['#_of_functional_handwashing_facilities_at_HH_level]]*6&gt;WWWW[[#This Row],[Total PoP ]],WWWW[[#This Row],[Total PoP ]],WWWW[[#This Row],['#_of_functional_handwashing_facilities_at_HH_level]]*6)</f>
        <v>0</v>
      </c>
      <c r="BI344" s="557">
        <f>IF(WWWW[[#This Row],['# people reached by regular dedicated hygiene promotion]]&gt;WWWW[[#This Row],['# People received regular supply of hygiene items]],WWWW[[#This Row],['# people reached by regular dedicated hygiene promotion]],WWWW[[#This Row],['# People received regular supply of hygiene items]])</f>
        <v>0</v>
      </c>
      <c r="BJ344" s="555">
        <f>IF(WWWW[[#This Row],[HRP3]]/WWWW[[#This Row],[Total PoP ]]&gt;100%,100%,WWWW[[#This Row],[HRP3]]/WWWW[[#This Row],[Total PoP ]])</f>
        <v>0</v>
      </c>
      <c r="BK344" s="558">
        <f>1-WWWW[[#This Row],[Hygiene Coverage%]]</f>
        <v>1</v>
      </c>
      <c r="BL344" s="556">
        <f>WWWW[[#This Row],['# people reached by regular dedicated hygiene promotion]]/WWWW[[#This Row],[Total PoP ]]</f>
        <v>0</v>
      </c>
      <c r="BM34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4" s="557">
        <f>WWWW[[#This Row],['#_of_affected_women_and_girls_receiving_a_sufficient_quantity_of_sanitary_pads]]</f>
        <v>0</v>
      </c>
      <c r="BO344" s="611">
        <f>IF(WWWW[[#This Row],['# People with access to soap]]&gt;WWWW[[#This Row],['# People with access to Sanity Pads]],WWWW[[#This Row],['# People with access to soap]],WWWW[[#This Row],['# People with access to Sanity Pads]])</f>
        <v>0</v>
      </c>
      <c r="BP344" s="565" t="str">
        <f>IF(OR(WWWW[[#This Row],['#of students in school]]="",WWWW[[#This Row],['#of students in school]]=0),"No","Yes")</f>
        <v>Yes</v>
      </c>
      <c r="BQ344" s="559" t="str">
        <f>VLOOKUP(WWWW[[#This Row],[Village  Name]],SiteDB6[[Site Name]:[Location Type 1]],9,FALSE)</f>
        <v>Village</v>
      </c>
      <c r="BR344" s="559" t="str">
        <f>VLOOKUP(WWWW[[#This Row],[Village  Name]],SiteDB6[[Site Name]:[Type of Accommodation]],10,FALSE)</f>
        <v>Returned</v>
      </c>
      <c r="BS344" s="559" t="str">
        <f>VLOOKUP(WWWW[[#This Row],[Village  Name]],SiteDB6[[Site Name]:[Ethnic or GCA/NGCA]],11,FALSE)</f>
        <v>Muslim</v>
      </c>
      <c r="BT344" s="559">
        <f>VLOOKUP(WWWW[[#This Row],[Village  Name]],SiteDB6[[Site Name]:[Lat]],12,FALSE)</f>
        <v>20.727589999999999</v>
      </c>
      <c r="BU344" s="559">
        <f>VLOOKUP(WWWW[[#This Row],[Village  Name]],SiteDB6[[Site Name]:[Long]],13,FALSE)</f>
        <v>92.969350000000006</v>
      </c>
      <c r="BV344" s="559" t="str">
        <f>VLOOKUP(WWWW[[#This Row],[Village  Name]],SiteDB6[[Site Name]:[Pcode]],3,FALSE)</f>
        <v>MMR012CMP028</v>
      </c>
      <c r="BW344" s="559" t="str">
        <f t="shared" si="12"/>
        <v>Covered</v>
      </c>
      <c r="BX344" s="587"/>
    </row>
    <row r="345" spans="1:76">
      <c r="A345" s="612" t="s">
        <v>2381</v>
      </c>
      <c r="B345" s="612" t="s">
        <v>320</v>
      </c>
      <c r="C345" s="457" t="s">
        <v>320</v>
      </c>
      <c r="D345" s="457" t="s">
        <v>291</v>
      </c>
      <c r="E345" s="551" t="s">
        <v>2687</v>
      </c>
      <c r="F345" s="457" t="s">
        <v>304</v>
      </c>
      <c r="G345" s="551" t="str">
        <f>VLOOKUP(WWWW[[#This Row],[Village  Name]],SiteDB6[[Site Name]:[Location Type]],8,FALSE)</f>
        <v>Village</v>
      </c>
      <c r="H345" s="457" t="s">
        <v>2249</v>
      </c>
      <c r="I345" s="611">
        <v>82</v>
      </c>
      <c r="J345" s="611">
        <v>396</v>
      </c>
      <c r="K345" s="461">
        <v>43374</v>
      </c>
      <c r="L345" s="55">
        <v>43738</v>
      </c>
      <c r="M345" s="611">
        <v>60</v>
      </c>
      <c r="N345" s="611">
        <v>31</v>
      </c>
      <c r="O345" s="611"/>
      <c r="P345" s="611"/>
      <c r="Q345" s="611"/>
      <c r="R345" s="611">
        <v>1</v>
      </c>
      <c r="S345" s="611"/>
      <c r="T345" s="643"/>
      <c r="U345" s="611">
        <v>4</v>
      </c>
      <c r="V345" s="611" t="s">
        <v>128</v>
      </c>
      <c r="W345" s="611">
        <v>2</v>
      </c>
      <c r="X345" s="611">
        <v>4</v>
      </c>
      <c r="Y345" s="611"/>
      <c r="Z345" s="611"/>
      <c r="AA345" s="611"/>
      <c r="AB345" s="643"/>
      <c r="AC345" s="611"/>
      <c r="AD345" s="611">
        <v>25</v>
      </c>
      <c r="AE345" s="611"/>
      <c r="AF345" s="611"/>
      <c r="AG345" s="611"/>
      <c r="AH345" s="611"/>
      <c r="AI345" s="611"/>
      <c r="AJ345" s="611"/>
      <c r="AK345" s="611"/>
      <c r="AL345" s="611"/>
      <c r="AM345" s="643"/>
      <c r="AN345" s="611"/>
      <c r="AO345" s="611"/>
      <c r="AP34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5" s="565">
        <f>WWWW[[#This Row],[%Equitable and continuous access to sufficient quantity of safe drinking water]]*WWWW[[#This Row],[Total PoP ]]</f>
        <v>0</v>
      </c>
      <c r="AR34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2.5252525252525255E-3</v>
      </c>
      <c r="AS345" s="565">
        <f>WWWW[[#This Row],[% Access to unimproved water points]]*WWWW[[#This Row],[Total PoP ]]</f>
        <v>1</v>
      </c>
      <c r="AT34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2.5252525252525255E-3</v>
      </c>
      <c r="AU34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v>
      </c>
      <c r="AV345" s="565">
        <f>WWWW[[#This Row],[HRP1]]/250</f>
        <v>4.0000000000000001E-3</v>
      </c>
      <c r="AW345" s="555">
        <f>1-WWWW[[#This Row],[% Equitable and continuous access to sufficient quantity of domestic water]]</f>
        <v>0.99747474747474751</v>
      </c>
      <c r="AX345" s="565">
        <f>WWWW[[#This Row],[%equitable and continuous access to sufficient quantity of safe drinking and domestic water''s GAP]]*WWWW[[#This Row],[Total PoP ]]</f>
        <v>395</v>
      </c>
      <c r="AY345" s="557">
        <f>IF(WWWW[[#This Row],[Total required water points]]-WWWW[[#This Row],['#Water points coverage]]&lt;0,0,WWWW[[#This Row],[Total required water points]]-WWWW[[#This Row],['#Water points coverage]])</f>
        <v>1.996</v>
      </c>
      <c r="AZ345" s="557">
        <f>ROUND(IF(WWWW[[#This Row],[Total PoP ]]&lt;250,1,WWWW[[#This Row],[Total PoP ]]/250),0)</f>
        <v>2</v>
      </c>
      <c r="BA345"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0.31313131313131315</v>
      </c>
      <c r="BB345" s="565">
        <f>WWWW[[#This Row],[% people access to functioning Latrine]]*WWWW[[#This Row],[Total PoP ]]</f>
        <v>124</v>
      </c>
      <c r="BC345" s="557">
        <f>WWWW[[#This Row],['#_of_Functioning_latrines_in_school]]*50</f>
        <v>100</v>
      </c>
      <c r="BD345" s="557">
        <f>ROUND((WWWW[[#This Row],[Total PoP ]]/6),0)</f>
        <v>66</v>
      </c>
      <c r="BE345" s="557">
        <f>IF(WWWW[[#This Row],[Total required Latrines]]-(WWWW[[#This Row],['#_of_sanitary_fly-proof_HH_latrines]])&lt;0,0,WWWW[[#This Row],[Total required Latrines]]-(WWWW[[#This Row],['#_of_sanitary_fly-proof_HH_latrines]]))</f>
        <v>62</v>
      </c>
      <c r="BF345" s="558">
        <f>1-WWWW[[#This Row],[% people access to functioning Latrine]]</f>
        <v>0.68686868686868685</v>
      </c>
      <c r="BG34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H345" s="565">
        <f>IF(WWWW[[#This Row],['#_of_functional_handwashing_facilities_at_HH_level]]*6&gt;WWWW[[#This Row],[Total PoP ]],WWWW[[#This Row],[Total PoP ]],WWWW[[#This Row],['#_of_functional_handwashing_facilities_at_HH_level]]*6)</f>
        <v>0</v>
      </c>
      <c r="BI345" s="557">
        <f>IF(WWWW[[#This Row],['# people reached by regular dedicated hygiene promotion]]&gt;WWWW[[#This Row],['# People received regular supply of hygiene items]],WWWW[[#This Row],['# people reached by regular dedicated hygiene promotion]],WWWW[[#This Row],['# People received regular supply of hygiene items]])</f>
        <v>25</v>
      </c>
      <c r="BJ345" s="555">
        <f>IF(WWWW[[#This Row],[HRP3]]/WWWW[[#This Row],[Total PoP ]]&gt;100%,100%,WWWW[[#This Row],[HRP3]]/WWWW[[#This Row],[Total PoP ]])</f>
        <v>6.3131313131313135E-2</v>
      </c>
      <c r="BK345" s="558">
        <f>1-WWWW[[#This Row],[Hygiene Coverage%]]</f>
        <v>0.93686868686868685</v>
      </c>
      <c r="BL345" s="556">
        <f>WWWW[[#This Row],['# people reached by regular dedicated hygiene promotion]]/WWWW[[#This Row],[Total PoP ]]</f>
        <v>6.3131313131313135E-2</v>
      </c>
      <c r="BM34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5" s="557">
        <f>WWWW[[#This Row],['#_of_affected_women_and_girls_receiving_a_sufficient_quantity_of_sanitary_pads]]</f>
        <v>0</v>
      </c>
      <c r="BO345" s="611">
        <f>IF(WWWW[[#This Row],['# People with access to soap]]&gt;WWWW[[#This Row],['# People with access to Sanity Pads]],WWWW[[#This Row],['# People with access to soap]],WWWW[[#This Row],['# People with access to Sanity Pads]])</f>
        <v>0</v>
      </c>
      <c r="BP345" s="565" t="str">
        <f>IF(OR(WWWW[[#This Row],['#of students in school]]="",WWWW[[#This Row],['#of students in school]]=0),"No","Yes")</f>
        <v>Yes</v>
      </c>
      <c r="BQ345" s="559" t="str">
        <f>VLOOKUP(WWWW[[#This Row],[Village  Name]],SiteDB6[[Site Name]:[Location Type 1]],9,FALSE)</f>
        <v>Village</v>
      </c>
      <c r="BR345" s="559" t="str">
        <f>VLOOKUP(WWWW[[#This Row],[Village  Name]],SiteDB6[[Site Name]:[Type of Accommodation]],10,FALSE)</f>
        <v>Village</v>
      </c>
      <c r="BS345" s="559">
        <f>VLOOKUP(WWWW[[#This Row],[Village  Name]],SiteDB6[[Site Name]:[Ethnic or GCA/NGCA]],11,FALSE)</f>
        <v>0</v>
      </c>
      <c r="BT345" s="559">
        <f>VLOOKUP(WWWW[[#This Row],[Village  Name]],SiteDB6[[Site Name]:[Lat]],12,FALSE)</f>
        <v>20.932960510000001</v>
      </c>
      <c r="BU345" s="559">
        <f>VLOOKUP(WWWW[[#This Row],[Village  Name]],SiteDB6[[Site Name]:[Long]],13,FALSE)</f>
        <v>92.930267330000007</v>
      </c>
      <c r="BV345" s="559">
        <f>VLOOKUP(WWWW[[#This Row],[Village  Name]],SiteDB6[[Site Name]:[Pcode]],3,FALSE)</f>
        <v>196755</v>
      </c>
      <c r="BW345" s="559" t="str">
        <f t="shared" si="12"/>
        <v>Covered</v>
      </c>
      <c r="BX345" s="587"/>
    </row>
    <row r="346" spans="1:76">
      <c r="A346" s="612" t="s">
        <v>2381</v>
      </c>
      <c r="B346" s="612" t="s">
        <v>320</v>
      </c>
      <c r="C346" s="457" t="s">
        <v>320</v>
      </c>
      <c r="D346" s="457" t="s">
        <v>291</v>
      </c>
      <c r="E346" s="551" t="s">
        <v>2687</v>
      </c>
      <c r="F346" s="457" t="s">
        <v>304</v>
      </c>
      <c r="G346" s="551" t="str">
        <f>VLOOKUP(WWWW[[#This Row],[Village  Name]],SiteDB6[[Site Name]:[Location Type]],8,FALSE)</f>
        <v>Village</v>
      </c>
      <c r="H346" s="457" t="s">
        <v>2248</v>
      </c>
      <c r="I346" s="611">
        <v>71</v>
      </c>
      <c r="J346" s="611">
        <v>287</v>
      </c>
      <c r="K346" s="461">
        <v>43374</v>
      </c>
      <c r="L346" s="55">
        <v>43738</v>
      </c>
      <c r="M346" s="611">
        <v>53</v>
      </c>
      <c r="N346" s="611">
        <v>31</v>
      </c>
      <c r="O346" s="611"/>
      <c r="P346" s="611"/>
      <c r="Q346" s="611">
        <v>1</v>
      </c>
      <c r="R346" s="611"/>
      <c r="S346" s="611"/>
      <c r="T346" s="643"/>
      <c r="U346" s="611">
        <v>54</v>
      </c>
      <c r="V346" s="611" t="s">
        <v>128</v>
      </c>
      <c r="W346" s="611">
        <v>1</v>
      </c>
      <c r="X346" s="611">
        <v>6</v>
      </c>
      <c r="Y346" s="611"/>
      <c r="Z346" s="611"/>
      <c r="AA346" s="611"/>
      <c r="AB346" s="643"/>
      <c r="AC346" s="611"/>
      <c r="AD346" s="611">
        <v>27</v>
      </c>
      <c r="AE346" s="611"/>
      <c r="AF346" s="611"/>
      <c r="AG346" s="611"/>
      <c r="AH346" s="611"/>
      <c r="AI346" s="611"/>
      <c r="AJ346" s="611"/>
      <c r="AK346" s="611"/>
      <c r="AL346" s="611"/>
      <c r="AM346" s="643"/>
      <c r="AN346" s="611"/>
      <c r="AO346" s="611"/>
      <c r="AP34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6" s="565">
        <f>WWWW[[#This Row],[%Equitable and continuous access to sufficient quantity of safe drinking water]]*WWWW[[#This Row],[Total PoP ]]</f>
        <v>0</v>
      </c>
      <c r="AR34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46" s="565">
        <f>WWWW[[#This Row],[% Access to unimproved water points]]*WWWW[[#This Row],[Total PoP ]]</f>
        <v>287</v>
      </c>
      <c r="AT34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4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287</v>
      </c>
      <c r="AV346" s="565">
        <f>WWWW[[#This Row],[HRP1]]/250</f>
        <v>1.1479999999999999</v>
      </c>
      <c r="AW346" s="555">
        <f>1-WWWW[[#This Row],[% Equitable and continuous access to sufficient quantity of domestic water]]</f>
        <v>0</v>
      </c>
      <c r="AX346" s="565">
        <f>WWWW[[#This Row],[%equitable and continuous access to sufficient quantity of safe drinking and domestic water''s GAP]]*WWWW[[#This Row],[Total PoP ]]</f>
        <v>0</v>
      </c>
      <c r="AY346" s="557">
        <f>IF(WWWW[[#This Row],[Total required water points]]-WWWW[[#This Row],['#Water points coverage]]&lt;0,0,WWWW[[#This Row],[Total required water points]]-WWWW[[#This Row],['#Water points coverage]])</f>
        <v>0</v>
      </c>
      <c r="AZ346" s="557">
        <f>ROUND(IF(WWWW[[#This Row],[Total PoP ]]&lt;250,1,WWWW[[#This Row],[Total PoP ]]/250),0)</f>
        <v>1</v>
      </c>
      <c r="BA346"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46" s="565">
        <f>WWWW[[#This Row],[% people access to functioning Latrine]]*WWWW[[#This Row],[Total PoP ]]</f>
        <v>287</v>
      </c>
      <c r="BC346" s="557">
        <f>WWWW[[#This Row],['#_of_Functioning_latrines_in_school]]*50</f>
        <v>50</v>
      </c>
      <c r="BD346" s="557">
        <f>ROUND((WWWW[[#This Row],[Total PoP ]]/6),0)</f>
        <v>48</v>
      </c>
      <c r="BE346" s="557">
        <f>IF(WWWW[[#This Row],[Total required Latrines]]-(WWWW[[#This Row],['#_of_sanitary_fly-proof_HH_latrines]])&lt;0,0,WWWW[[#This Row],[Total required Latrines]]-(WWWW[[#This Row],['#_of_sanitary_fly-proof_HH_latrines]]))</f>
        <v>0</v>
      </c>
      <c r="BF346" s="558">
        <f>1-WWWW[[#This Row],[% people access to functioning Latrine]]</f>
        <v>0</v>
      </c>
      <c r="BG34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v>
      </c>
      <c r="BH346" s="565">
        <f>IF(WWWW[[#This Row],['#_of_functional_handwashing_facilities_at_HH_level]]*6&gt;WWWW[[#This Row],[Total PoP ]],WWWW[[#This Row],[Total PoP ]],WWWW[[#This Row],['#_of_functional_handwashing_facilities_at_HH_level]]*6)</f>
        <v>0</v>
      </c>
      <c r="BI346" s="557">
        <f>IF(WWWW[[#This Row],['# people reached by regular dedicated hygiene promotion]]&gt;WWWW[[#This Row],['# People received regular supply of hygiene items]],WWWW[[#This Row],['# people reached by regular dedicated hygiene promotion]],WWWW[[#This Row],['# People received regular supply of hygiene items]])</f>
        <v>27</v>
      </c>
      <c r="BJ346" s="555">
        <f>IF(WWWW[[#This Row],[HRP3]]/WWWW[[#This Row],[Total PoP ]]&gt;100%,100%,WWWW[[#This Row],[HRP3]]/WWWW[[#This Row],[Total PoP ]])</f>
        <v>9.4076655052264813E-2</v>
      </c>
      <c r="BK346" s="558">
        <f>1-WWWW[[#This Row],[Hygiene Coverage%]]</f>
        <v>0.90592334494773519</v>
      </c>
      <c r="BL346" s="556">
        <f>WWWW[[#This Row],['# people reached by regular dedicated hygiene promotion]]/WWWW[[#This Row],[Total PoP ]]</f>
        <v>9.4076655052264813E-2</v>
      </c>
      <c r="BM34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6" s="557">
        <f>WWWW[[#This Row],['#_of_affected_women_and_girls_receiving_a_sufficient_quantity_of_sanitary_pads]]</f>
        <v>0</v>
      </c>
      <c r="BO346" s="611">
        <f>IF(WWWW[[#This Row],['# People with access to soap]]&gt;WWWW[[#This Row],['# People with access to Sanity Pads]],WWWW[[#This Row],['# People with access to soap]],WWWW[[#This Row],['# People with access to Sanity Pads]])</f>
        <v>0</v>
      </c>
      <c r="BP346" s="565" t="str">
        <f>IF(OR(WWWW[[#This Row],['#of students in school]]="",WWWW[[#This Row],['#of students in school]]=0),"No","Yes")</f>
        <v>Yes</v>
      </c>
      <c r="BQ346" s="559" t="str">
        <f>VLOOKUP(WWWW[[#This Row],[Village  Name]],SiteDB6[[Site Name]:[Location Type 1]],9,FALSE)</f>
        <v>Village</v>
      </c>
      <c r="BR346" s="559" t="str">
        <f>VLOOKUP(WWWW[[#This Row],[Village  Name]],SiteDB6[[Site Name]:[Type of Accommodation]],10,FALSE)</f>
        <v>Village</v>
      </c>
      <c r="BS346" s="559">
        <f>VLOOKUP(WWWW[[#This Row],[Village  Name]],SiteDB6[[Site Name]:[Ethnic or GCA/NGCA]],11,FALSE)</f>
        <v>0</v>
      </c>
      <c r="BT346" s="559">
        <f>VLOOKUP(WWWW[[#This Row],[Village  Name]],SiteDB6[[Site Name]:[Lat]],12,FALSE)</f>
        <v>0</v>
      </c>
      <c r="BU346" s="559">
        <f>VLOOKUP(WWWW[[#This Row],[Village  Name]],SiteDB6[[Site Name]:[Long]],13,FALSE)</f>
        <v>0</v>
      </c>
      <c r="BV346" s="559">
        <f>VLOOKUP(WWWW[[#This Row],[Village  Name]],SiteDB6[[Site Name]:[Pcode]],3,FALSE)</f>
        <v>220647</v>
      </c>
      <c r="BW346" s="559" t="str">
        <f t="shared" si="12"/>
        <v>Covered</v>
      </c>
      <c r="BX346" s="587"/>
    </row>
    <row r="347" spans="1:76">
      <c r="A347" s="612" t="s">
        <v>2381</v>
      </c>
      <c r="B347" s="612" t="s">
        <v>320</v>
      </c>
      <c r="C347" s="457" t="s">
        <v>320</v>
      </c>
      <c r="D347" s="457" t="s">
        <v>291</v>
      </c>
      <c r="E347" s="551" t="s">
        <v>2687</v>
      </c>
      <c r="F347" s="457" t="s">
        <v>304</v>
      </c>
      <c r="G347" s="551" t="str">
        <f>VLOOKUP(WWWW[[#This Row],[Village  Name]],SiteDB6[[Site Name]:[Location Type]],8,FALSE)</f>
        <v>Village</v>
      </c>
      <c r="H347" s="457" t="s">
        <v>2251</v>
      </c>
      <c r="I347" s="611">
        <v>286</v>
      </c>
      <c r="J347" s="611">
        <v>1436</v>
      </c>
      <c r="K347" s="461">
        <v>43374</v>
      </c>
      <c r="L347" s="55">
        <v>43738</v>
      </c>
      <c r="M347" s="611">
        <v>260</v>
      </c>
      <c r="N347" s="611">
        <v>31</v>
      </c>
      <c r="O347" s="611"/>
      <c r="P347" s="611"/>
      <c r="Q347" s="611">
        <v>2</v>
      </c>
      <c r="R347" s="611"/>
      <c r="S347" s="611"/>
      <c r="T347" s="643"/>
      <c r="U347" s="611">
        <v>59</v>
      </c>
      <c r="V347" s="611" t="s">
        <v>128</v>
      </c>
      <c r="W347" s="611">
        <v>2</v>
      </c>
      <c r="X347" s="611">
        <v>10</v>
      </c>
      <c r="Y347" s="611"/>
      <c r="Z347" s="611"/>
      <c r="AA347" s="611"/>
      <c r="AB347" s="643"/>
      <c r="AC347" s="611"/>
      <c r="AD347" s="611">
        <v>25</v>
      </c>
      <c r="AE347" s="611"/>
      <c r="AF347" s="611"/>
      <c r="AG347" s="611"/>
      <c r="AH347" s="611"/>
      <c r="AI347" s="611"/>
      <c r="AJ347" s="611"/>
      <c r="AK347" s="611"/>
      <c r="AL347" s="611"/>
      <c r="AM347" s="643"/>
      <c r="AN347" s="611"/>
      <c r="AO347" s="611"/>
      <c r="AP34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7" s="565">
        <f>WWWW[[#This Row],[%Equitable and continuous access to sufficient quantity of safe drinking water]]*WWWW[[#This Row],[Total PoP ]]</f>
        <v>0</v>
      </c>
      <c r="AR34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47" s="565">
        <f>WWWW[[#This Row],[% Access to unimproved water points]]*WWWW[[#This Row],[Total PoP ]]</f>
        <v>1436</v>
      </c>
      <c r="AT34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4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1436</v>
      </c>
      <c r="AV347" s="565">
        <f>WWWW[[#This Row],[HRP1]]/250</f>
        <v>5.7439999999999998</v>
      </c>
      <c r="AW347" s="555">
        <f>1-WWWW[[#This Row],[% Equitable and continuous access to sufficient quantity of domestic water]]</f>
        <v>0</v>
      </c>
      <c r="AX347" s="565">
        <f>WWWW[[#This Row],[%equitable and continuous access to sufficient quantity of safe drinking and domestic water''s GAP]]*WWWW[[#This Row],[Total PoP ]]</f>
        <v>0</v>
      </c>
      <c r="AY347" s="557">
        <f>IF(WWWW[[#This Row],[Total required water points]]-WWWW[[#This Row],['#Water points coverage]]&lt;0,0,WWWW[[#This Row],[Total required water points]]-WWWW[[#This Row],['#Water points coverage]])</f>
        <v>0.25600000000000023</v>
      </c>
      <c r="AZ347" s="557">
        <f>ROUND(IF(WWWW[[#This Row],[Total PoP ]]&lt;250,1,WWWW[[#This Row],[Total PoP ]]/250),0)</f>
        <v>6</v>
      </c>
      <c r="BA347"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0.31615598885793872</v>
      </c>
      <c r="BB347" s="565">
        <f>WWWW[[#This Row],[% people access to functioning Latrine]]*WWWW[[#This Row],[Total PoP ]]</f>
        <v>454</v>
      </c>
      <c r="BC347" s="557">
        <f>WWWW[[#This Row],['#_of_Functioning_latrines_in_school]]*50</f>
        <v>100</v>
      </c>
      <c r="BD347" s="557">
        <f>ROUND((WWWW[[#This Row],[Total PoP ]]/6),0)</f>
        <v>239</v>
      </c>
      <c r="BE347" s="557">
        <f>IF(WWWW[[#This Row],[Total required Latrines]]-(WWWW[[#This Row],['#_of_sanitary_fly-proof_HH_latrines]])&lt;0,0,WWWW[[#This Row],[Total required Latrines]]-(WWWW[[#This Row],['#_of_sanitary_fly-proof_HH_latrines]]))</f>
        <v>180</v>
      </c>
      <c r="BF347" s="558">
        <f>1-WWWW[[#This Row],[% people access to functioning Latrine]]</f>
        <v>0.68384401114206128</v>
      </c>
      <c r="BG34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H347" s="565">
        <f>IF(WWWW[[#This Row],['#_of_functional_handwashing_facilities_at_HH_level]]*6&gt;WWWW[[#This Row],[Total PoP ]],WWWW[[#This Row],[Total PoP ]],WWWW[[#This Row],['#_of_functional_handwashing_facilities_at_HH_level]]*6)</f>
        <v>0</v>
      </c>
      <c r="BI347" s="557">
        <f>IF(WWWW[[#This Row],['# people reached by regular dedicated hygiene promotion]]&gt;WWWW[[#This Row],['# People received regular supply of hygiene items]],WWWW[[#This Row],['# people reached by regular dedicated hygiene promotion]],WWWW[[#This Row],['# People received regular supply of hygiene items]])</f>
        <v>25</v>
      </c>
      <c r="BJ347" s="555">
        <f>IF(WWWW[[#This Row],[HRP3]]/WWWW[[#This Row],[Total PoP ]]&gt;100%,100%,WWWW[[#This Row],[HRP3]]/WWWW[[#This Row],[Total PoP ]])</f>
        <v>1.7409470752089137E-2</v>
      </c>
      <c r="BK347" s="558">
        <f>1-WWWW[[#This Row],[Hygiene Coverage%]]</f>
        <v>0.9825905292479109</v>
      </c>
      <c r="BL347" s="556">
        <f>WWWW[[#This Row],['# people reached by regular dedicated hygiene promotion]]/WWWW[[#This Row],[Total PoP ]]</f>
        <v>1.7409470752089137E-2</v>
      </c>
      <c r="BM34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7" s="557">
        <f>WWWW[[#This Row],['#_of_affected_women_and_girls_receiving_a_sufficient_quantity_of_sanitary_pads]]</f>
        <v>0</v>
      </c>
      <c r="BO347" s="611">
        <f>IF(WWWW[[#This Row],['# People with access to soap]]&gt;WWWW[[#This Row],['# People with access to Sanity Pads]],WWWW[[#This Row],['# People with access to soap]],WWWW[[#This Row],['# People with access to Sanity Pads]])</f>
        <v>0</v>
      </c>
      <c r="BP347" s="565" t="str">
        <f>IF(OR(WWWW[[#This Row],['#of students in school]]="",WWWW[[#This Row],['#of students in school]]=0),"No","Yes")</f>
        <v>Yes</v>
      </c>
      <c r="BQ347" s="559" t="str">
        <f>VLOOKUP(WWWW[[#This Row],[Village  Name]],SiteDB6[[Site Name]:[Location Type 1]],9,FALSE)</f>
        <v>Village</v>
      </c>
      <c r="BR347" s="559" t="str">
        <f>VLOOKUP(WWWW[[#This Row],[Village  Name]],SiteDB6[[Site Name]:[Type of Accommodation]],10,FALSE)</f>
        <v>Village</v>
      </c>
      <c r="BS347" s="559">
        <f>VLOOKUP(WWWW[[#This Row],[Village  Name]],SiteDB6[[Site Name]:[Ethnic or GCA/NGCA]],11,FALSE)</f>
        <v>0</v>
      </c>
      <c r="BT347" s="559">
        <f>VLOOKUP(WWWW[[#This Row],[Village  Name]],SiteDB6[[Site Name]:[Lat]],12,FALSE)</f>
        <v>20.785549159999999</v>
      </c>
      <c r="BU347" s="559">
        <f>VLOOKUP(WWWW[[#This Row],[Village  Name]],SiteDB6[[Site Name]:[Long]],13,FALSE)</f>
        <v>92.971076969999999</v>
      </c>
      <c r="BV347" s="559">
        <f>VLOOKUP(WWWW[[#This Row],[Village  Name]],SiteDB6[[Site Name]:[Pcode]],3,FALSE)</f>
        <v>196889</v>
      </c>
      <c r="BW347" s="559" t="str">
        <f t="shared" si="12"/>
        <v>Covered</v>
      </c>
      <c r="BX347" s="587"/>
    </row>
    <row r="348" spans="1:76" hidden="1">
      <c r="A348" s="612" t="s">
        <v>2381</v>
      </c>
      <c r="B348" s="612" t="s">
        <v>301</v>
      </c>
      <c r="C348" s="612" t="s">
        <v>301</v>
      </c>
      <c r="D348" s="457"/>
      <c r="E348" s="551" t="s">
        <v>2687</v>
      </c>
      <c r="F348" s="457" t="s">
        <v>304</v>
      </c>
      <c r="G348" s="551" t="str">
        <f>VLOOKUP(WWWW[[#This Row],[Village  Name]],SiteDB6[[Site Name]:[Location Type]],8,FALSE)</f>
        <v>Village</v>
      </c>
      <c r="H348" s="457" t="s">
        <v>568</v>
      </c>
      <c r="I348" s="611">
        <v>92</v>
      </c>
      <c r="J348" s="611">
        <v>559</v>
      </c>
      <c r="K348" s="461"/>
      <c r="L348" s="55"/>
      <c r="M348" s="611"/>
      <c r="N348" s="611"/>
      <c r="O348" s="611"/>
      <c r="P348" s="611"/>
      <c r="Q348" s="611"/>
      <c r="R348" s="611"/>
      <c r="S348" s="611"/>
      <c r="T348" s="643"/>
      <c r="U348" s="611"/>
      <c r="V348" s="611" t="s">
        <v>132</v>
      </c>
      <c r="W348" s="611"/>
      <c r="X348" s="611"/>
      <c r="Y348" s="611"/>
      <c r="Z348" s="611"/>
      <c r="AA348" s="611"/>
      <c r="AB348" s="643"/>
      <c r="AC348" s="611"/>
      <c r="AD348" s="611"/>
      <c r="AE348" s="611"/>
      <c r="AF348" s="611"/>
      <c r="AG348" s="611"/>
      <c r="AH348" s="611"/>
      <c r="AI348" s="611"/>
      <c r="AJ348" s="611"/>
      <c r="AK348" s="611"/>
      <c r="AL348" s="611"/>
      <c r="AM348" s="643"/>
      <c r="AN348" s="611"/>
      <c r="AO348" s="611"/>
      <c r="AP34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8" s="565">
        <f>WWWW[[#This Row],[%Equitable and continuous access to sufficient quantity of safe drinking water]]*WWWW[[#This Row],[Total PoP ]]</f>
        <v>0</v>
      </c>
      <c r="AR34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48" s="565">
        <f>WWWW[[#This Row],[% Access to unimproved water points]]*WWWW[[#This Row],[Total PoP ]]</f>
        <v>0</v>
      </c>
      <c r="AT34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4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48" s="565">
        <f>WWWW[[#This Row],[HRP1]]/250</f>
        <v>0</v>
      </c>
      <c r="AW348" s="555">
        <f>1-WWWW[[#This Row],[% Equitable and continuous access to sufficient quantity of domestic water]]</f>
        <v>1</v>
      </c>
      <c r="AX348" s="565">
        <f>WWWW[[#This Row],[%equitable and continuous access to sufficient quantity of safe drinking and domestic water''s GAP]]*WWWW[[#This Row],[Total PoP ]]</f>
        <v>559</v>
      </c>
      <c r="AY348" s="557">
        <f>IF(WWWW[[#This Row],[Total required water points]]-WWWW[[#This Row],['#Water points coverage]]&lt;0,0,WWWW[[#This Row],[Total required water points]]-WWWW[[#This Row],['#Water points coverage]])</f>
        <v>2</v>
      </c>
      <c r="AZ348" s="557">
        <f>ROUND(IF(WWWW[[#This Row],[Total PoP ]]&lt;250,1,WWWW[[#This Row],[Total PoP ]]/250),0)</f>
        <v>2</v>
      </c>
      <c r="BA34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48" s="565">
        <f>WWWW[[#This Row],[% people access to functioning Latrine]]*WWWW[[#This Row],[Total PoP ]]</f>
        <v>0</v>
      </c>
      <c r="BC348" s="557">
        <f>WWWW[[#This Row],['#_of_Functioning_latrines_in_school]]*50</f>
        <v>0</v>
      </c>
      <c r="BD348" s="557">
        <f>ROUND((WWWW[[#This Row],[Total PoP ]]/6),0)</f>
        <v>93</v>
      </c>
      <c r="BE348" s="557">
        <f>IF(WWWW[[#This Row],[Total required Latrines]]-(WWWW[[#This Row],['#_of_sanitary_fly-proof_HH_latrines]])&lt;0,0,WWWW[[#This Row],[Total required Latrines]]-(WWWW[[#This Row],['#_of_sanitary_fly-proof_HH_latrines]]))</f>
        <v>93</v>
      </c>
      <c r="BF348" s="558">
        <f>1-WWWW[[#This Row],[% people access to functioning Latrine]]</f>
        <v>1</v>
      </c>
      <c r="BG34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48" s="565">
        <f>IF(WWWW[[#This Row],['#_of_functional_handwashing_facilities_at_HH_level]]*6&gt;WWWW[[#This Row],[Total PoP ]],WWWW[[#This Row],[Total PoP ]],WWWW[[#This Row],['#_of_functional_handwashing_facilities_at_HH_level]]*6)</f>
        <v>0</v>
      </c>
      <c r="BI348" s="557">
        <f>IF(WWWW[[#This Row],['# people reached by regular dedicated hygiene promotion]]&gt;WWWW[[#This Row],['# People received regular supply of hygiene items]],WWWW[[#This Row],['# people reached by regular dedicated hygiene promotion]],WWWW[[#This Row],['# People received regular supply of hygiene items]])</f>
        <v>0</v>
      </c>
      <c r="BJ348" s="555">
        <f>IF(WWWW[[#This Row],[HRP3]]/WWWW[[#This Row],[Total PoP ]]&gt;100%,100%,WWWW[[#This Row],[HRP3]]/WWWW[[#This Row],[Total PoP ]])</f>
        <v>0</v>
      </c>
      <c r="BK348" s="558">
        <f>1-WWWW[[#This Row],[Hygiene Coverage%]]</f>
        <v>1</v>
      </c>
      <c r="BL348" s="556">
        <f>WWWW[[#This Row],['# people reached by regular dedicated hygiene promotion]]/WWWW[[#This Row],[Total PoP ]]</f>
        <v>0</v>
      </c>
      <c r="BM34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8" s="557">
        <f>WWWW[[#This Row],['#_of_affected_women_and_girls_receiving_a_sufficient_quantity_of_sanitary_pads]]</f>
        <v>0</v>
      </c>
      <c r="BO348" s="611">
        <f>IF(WWWW[[#This Row],['# People with access to soap]]&gt;WWWW[[#This Row],['# People with access to Sanity Pads]],WWWW[[#This Row],['# People with access to soap]],WWWW[[#This Row],['# People with access to Sanity Pads]])</f>
        <v>0</v>
      </c>
      <c r="BP348" s="565" t="str">
        <f>IF(OR(WWWW[[#This Row],['#of students in school]]="",WWWW[[#This Row],['#of students in school]]=0),"No","Yes")</f>
        <v>No</v>
      </c>
      <c r="BQ348" s="559" t="str">
        <f>VLOOKUP(WWWW[[#This Row],[Village  Name]],SiteDB6[[Site Name]:[Location Type 1]],9,FALSE)</f>
        <v>Village</v>
      </c>
      <c r="BR348" s="559" t="str">
        <f>VLOOKUP(WWWW[[#This Row],[Village  Name]],SiteDB6[[Site Name]:[Type of Accommodation]],10,FALSE)</f>
        <v>Returned</v>
      </c>
      <c r="BS348" s="559" t="str">
        <f>VLOOKUP(WWWW[[#This Row],[Village  Name]],SiteDB6[[Site Name]:[Ethnic or GCA/NGCA]],11,FALSE)</f>
        <v>Rakhine</v>
      </c>
      <c r="BT348" s="559">
        <f>VLOOKUP(WWWW[[#This Row],[Village  Name]],SiteDB6[[Site Name]:[Lat]],12,FALSE)</f>
        <v>20.720213000000001</v>
      </c>
      <c r="BU348" s="559">
        <f>VLOOKUP(WWWW[[#This Row],[Village  Name]],SiteDB6[[Site Name]:[Long]],13,FALSE)</f>
        <v>92.961841000000007</v>
      </c>
      <c r="BV348" s="559" t="str">
        <f>VLOOKUP(WWWW[[#This Row],[Village  Name]],SiteDB6[[Site Name]:[Pcode]],3,FALSE)</f>
        <v>MMR012CMP024</v>
      </c>
      <c r="BW348" s="559" t="str">
        <f t="shared" si="12"/>
        <v>Notcovered</v>
      </c>
      <c r="BX348" s="587"/>
    </row>
    <row r="349" spans="1:76" hidden="1">
      <c r="A349" s="612" t="s">
        <v>2381</v>
      </c>
      <c r="B349" s="612" t="s">
        <v>301</v>
      </c>
      <c r="C349" s="612" t="s">
        <v>301</v>
      </c>
      <c r="D349" s="457"/>
      <c r="E349" s="551" t="s">
        <v>2687</v>
      </c>
      <c r="F349" s="457" t="s">
        <v>304</v>
      </c>
      <c r="G349" s="551" t="str">
        <f>VLOOKUP(WWWW[[#This Row],[Village  Name]],SiteDB6[[Site Name]:[Location Type]],8,FALSE)</f>
        <v>Village</v>
      </c>
      <c r="H349" s="457" t="s">
        <v>558</v>
      </c>
      <c r="I349" s="611">
        <v>116</v>
      </c>
      <c r="J349" s="611">
        <v>802</v>
      </c>
      <c r="K349" s="461"/>
      <c r="L349" s="55"/>
      <c r="M349" s="611"/>
      <c r="N349" s="611"/>
      <c r="O349" s="611"/>
      <c r="P349" s="611"/>
      <c r="Q349" s="611"/>
      <c r="R349" s="611"/>
      <c r="S349" s="611"/>
      <c r="T349" s="643"/>
      <c r="U349" s="611"/>
      <c r="V349" s="611" t="s">
        <v>132</v>
      </c>
      <c r="W349" s="611"/>
      <c r="X349" s="611"/>
      <c r="Y349" s="611"/>
      <c r="Z349" s="611"/>
      <c r="AA349" s="611"/>
      <c r="AB349" s="643"/>
      <c r="AC349" s="611"/>
      <c r="AD349" s="611"/>
      <c r="AE349" s="611"/>
      <c r="AF349" s="611"/>
      <c r="AG349" s="611"/>
      <c r="AH349" s="611"/>
      <c r="AI349" s="611"/>
      <c r="AJ349" s="611"/>
      <c r="AK349" s="611"/>
      <c r="AL349" s="611"/>
      <c r="AM349" s="643"/>
      <c r="AN349" s="611"/>
      <c r="AO349" s="611"/>
      <c r="AP34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49" s="565">
        <f>WWWW[[#This Row],[%Equitable and continuous access to sufficient quantity of safe drinking water]]*WWWW[[#This Row],[Total PoP ]]</f>
        <v>0</v>
      </c>
      <c r="AR34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49" s="565">
        <f>WWWW[[#This Row],[% Access to unimproved water points]]*WWWW[[#This Row],[Total PoP ]]</f>
        <v>0</v>
      </c>
      <c r="AT34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4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49" s="565">
        <f>WWWW[[#This Row],[HRP1]]/250</f>
        <v>0</v>
      </c>
      <c r="AW349" s="555">
        <f>1-WWWW[[#This Row],[% Equitable and continuous access to sufficient quantity of domestic water]]</f>
        <v>1</v>
      </c>
      <c r="AX349" s="565">
        <f>WWWW[[#This Row],[%equitable and continuous access to sufficient quantity of safe drinking and domestic water''s GAP]]*WWWW[[#This Row],[Total PoP ]]</f>
        <v>802</v>
      </c>
      <c r="AY349" s="557">
        <f>IF(WWWW[[#This Row],[Total required water points]]-WWWW[[#This Row],['#Water points coverage]]&lt;0,0,WWWW[[#This Row],[Total required water points]]-WWWW[[#This Row],['#Water points coverage]])</f>
        <v>3</v>
      </c>
      <c r="AZ349" s="557">
        <f>ROUND(IF(WWWW[[#This Row],[Total PoP ]]&lt;250,1,WWWW[[#This Row],[Total PoP ]]/250),0)</f>
        <v>3</v>
      </c>
      <c r="BA34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49" s="565">
        <f>WWWW[[#This Row],[% people access to functioning Latrine]]*WWWW[[#This Row],[Total PoP ]]</f>
        <v>0</v>
      </c>
      <c r="BC349" s="557">
        <f>WWWW[[#This Row],['#_of_Functioning_latrines_in_school]]*50</f>
        <v>0</v>
      </c>
      <c r="BD349" s="557">
        <f>ROUND((WWWW[[#This Row],[Total PoP ]]/6),0)</f>
        <v>134</v>
      </c>
      <c r="BE349" s="557">
        <f>IF(WWWW[[#This Row],[Total required Latrines]]-(WWWW[[#This Row],['#_of_sanitary_fly-proof_HH_latrines]])&lt;0,0,WWWW[[#This Row],[Total required Latrines]]-(WWWW[[#This Row],['#_of_sanitary_fly-proof_HH_latrines]]))</f>
        <v>134</v>
      </c>
      <c r="BF349" s="558">
        <f>1-WWWW[[#This Row],[% people access to functioning Latrine]]</f>
        <v>1</v>
      </c>
      <c r="BG34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49" s="565">
        <f>IF(WWWW[[#This Row],['#_of_functional_handwashing_facilities_at_HH_level]]*6&gt;WWWW[[#This Row],[Total PoP ]],WWWW[[#This Row],[Total PoP ]],WWWW[[#This Row],['#_of_functional_handwashing_facilities_at_HH_level]]*6)</f>
        <v>0</v>
      </c>
      <c r="BI349" s="557">
        <f>IF(WWWW[[#This Row],['# people reached by regular dedicated hygiene promotion]]&gt;WWWW[[#This Row],['# People received regular supply of hygiene items]],WWWW[[#This Row],['# people reached by regular dedicated hygiene promotion]],WWWW[[#This Row],['# People received regular supply of hygiene items]])</f>
        <v>0</v>
      </c>
      <c r="BJ349" s="555">
        <f>IF(WWWW[[#This Row],[HRP3]]/WWWW[[#This Row],[Total PoP ]]&gt;100%,100%,WWWW[[#This Row],[HRP3]]/WWWW[[#This Row],[Total PoP ]])</f>
        <v>0</v>
      </c>
      <c r="BK349" s="558">
        <f>1-WWWW[[#This Row],[Hygiene Coverage%]]</f>
        <v>1</v>
      </c>
      <c r="BL349" s="556">
        <f>WWWW[[#This Row],['# people reached by regular dedicated hygiene promotion]]/WWWW[[#This Row],[Total PoP ]]</f>
        <v>0</v>
      </c>
      <c r="BM34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49" s="557">
        <f>WWWW[[#This Row],['#_of_affected_women_and_girls_receiving_a_sufficient_quantity_of_sanitary_pads]]</f>
        <v>0</v>
      </c>
      <c r="BO349" s="611">
        <f>IF(WWWW[[#This Row],['# People with access to soap]]&gt;WWWW[[#This Row],['# People with access to Sanity Pads]],WWWW[[#This Row],['# People with access to soap]],WWWW[[#This Row],['# People with access to Sanity Pads]])</f>
        <v>0</v>
      </c>
      <c r="BP349" s="565" t="str">
        <f>IF(OR(WWWW[[#This Row],['#of students in school]]="",WWWW[[#This Row],['#of students in school]]=0),"No","Yes")</f>
        <v>No</v>
      </c>
      <c r="BQ349" s="559" t="str">
        <f>VLOOKUP(WWWW[[#This Row],[Village  Name]],SiteDB6[[Site Name]:[Location Type 1]],9,FALSE)</f>
        <v>Village</v>
      </c>
      <c r="BR349" s="559" t="str">
        <f>VLOOKUP(WWWW[[#This Row],[Village  Name]],SiteDB6[[Site Name]:[Type of Accommodation]],10,FALSE)</f>
        <v>Returned</v>
      </c>
      <c r="BS349" s="559" t="str">
        <f>VLOOKUP(WWWW[[#This Row],[Village  Name]],SiteDB6[[Site Name]:[Ethnic or GCA/NGCA]],11,FALSE)</f>
        <v>Muslim</v>
      </c>
      <c r="BT349" s="559">
        <f>VLOOKUP(WWWW[[#This Row],[Village  Name]],SiteDB6[[Site Name]:[Lat]],12,FALSE)</f>
        <v>20.713259999999998</v>
      </c>
      <c r="BU349" s="559">
        <f>VLOOKUP(WWWW[[#This Row],[Village  Name]],SiteDB6[[Site Name]:[Long]],13,FALSE)</f>
        <v>93.014089999999996</v>
      </c>
      <c r="BV349" s="559" t="str">
        <f>VLOOKUP(WWWW[[#This Row],[Village  Name]],SiteDB6[[Site Name]:[Pcode]],3,FALSE)</f>
        <v>MMR012CMP027</v>
      </c>
      <c r="BW349" s="559" t="str">
        <f t="shared" si="12"/>
        <v>Notcovered</v>
      </c>
      <c r="BX349" s="587"/>
    </row>
    <row r="350" spans="1:76" hidden="1">
      <c r="A350" s="612" t="s">
        <v>2381</v>
      </c>
      <c r="B350" s="612" t="s">
        <v>301</v>
      </c>
      <c r="C350" s="612" t="s">
        <v>301</v>
      </c>
      <c r="D350" s="457"/>
      <c r="E350" s="551" t="s">
        <v>2687</v>
      </c>
      <c r="F350" s="457" t="s">
        <v>304</v>
      </c>
      <c r="G350" s="551" t="str">
        <f>VLOOKUP(WWWW[[#This Row],[Village  Name]],SiteDB6[[Site Name]:[Location Type]],8,FALSE)</f>
        <v>Village</v>
      </c>
      <c r="H350" s="457" t="s">
        <v>647</v>
      </c>
      <c r="I350" s="611">
        <v>97</v>
      </c>
      <c r="J350" s="611">
        <v>557</v>
      </c>
      <c r="K350" s="461"/>
      <c r="L350" s="55"/>
      <c r="M350" s="611"/>
      <c r="N350" s="611"/>
      <c r="O350" s="611"/>
      <c r="P350" s="611"/>
      <c r="Q350" s="611"/>
      <c r="R350" s="611"/>
      <c r="S350" s="611"/>
      <c r="T350" s="643"/>
      <c r="U350" s="611"/>
      <c r="V350" s="611" t="s">
        <v>132</v>
      </c>
      <c r="W350" s="611"/>
      <c r="X350" s="611"/>
      <c r="Y350" s="611"/>
      <c r="Z350" s="611"/>
      <c r="AA350" s="611"/>
      <c r="AB350" s="643"/>
      <c r="AC350" s="611"/>
      <c r="AD350" s="611"/>
      <c r="AE350" s="611"/>
      <c r="AF350" s="611"/>
      <c r="AG350" s="611"/>
      <c r="AH350" s="611"/>
      <c r="AI350" s="611"/>
      <c r="AJ350" s="611"/>
      <c r="AK350" s="611"/>
      <c r="AL350" s="611"/>
      <c r="AM350" s="643"/>
      <c r="AN350" s="611"/>
      <c r="AO350" s="611"/>
      <c r="AP35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0" s="565">
        <f>WWWW[[#This Row],[%Equitable and continuous access to sufficient quantity of safe drinking water]]*WWWW[[#This Row],[Total PoP ]]</f>
        <v>0</v>
      </c>
      <c r="AR35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0" s="565">
        <f>WWWW[[#This Row],[% Access to unimproved water points]]*WWWW[[#This Row],[Total PoP ]]</f>
        <v>0</v>
      </c>
      <c r="AT35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0" s="565">
        <f>WWWW[[#This Row],[HRP1]]/250</f>
        <v>0</v>
      </c>
      <c r="AW350" s="555">
        <f>1-WWWW[[#This Row],[% Equitable and continuous access to sufficient quantity of domestic water]]</f>
        <v>1</v>
      </c>
      <c r="AX350" s="565">
        <f>WWWW[[#This Row],[%equitable and continuous access to sufficient quantity of safe drinking and domestic water''s GAP]]*WWWW[[#This Row],[Total PoP ]]</f>
        <v>557</v>
      </c>
      <c r="AY350" s="557">
        <f>IF(WWWW[[#This Row],[Total required water points]]-WWWW[[#This Row],['#Water points coverage]]&lt;0,0,WWWW[[#This Row],[Total required water points]]-WWWW[[#This Row],['#Water points coverage]])</f>
        <v>2</v>
      </c>
      <c r="AZ350" s="557">
        <f>ROUND(IF(WWWW[[#This Row],[Total PoP ]]&lt;250,1,WWWW[[#This Row],[Total PoP ]]/250),0)</f>
        <v>2</v>
      </c>
      <c r="BA35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0" s="565">
        <f>WWWW[[#This Row],[% people access to functioning Latrine]]*WWWW[[#This Row],[Total PoP ]]</f>
        <v>0</v>
      </c>
      <c r="BC350" s="557">
        <f>WWWW[[#This Row],['#_of_Functioning_latrines_in_school]]*50</f>
        <v>0</v>
      </c>
      <c r="BD350" s="557">
        <f>ROUND((WWWW[[#This Row],[Total PoP ]]/6),0)</f>
        <v>93</v>
      </c>
      <c r="BE350" s="557">
        <f>IF(WWWW[[#This Row],[Total required Latrines]]-(WWWW[[#This Row],['#_of_sanitary_fly-proof_HH_latrines]])&lt;0,0,WWWW[[#This Row],[Total required Latrines]]-(WWWW[[#This Row],['#_of_sanitary_fly-proof_HH_latrines]]))</f>
        <v>93</v>
      </c>
      <c r="BF350" s="558">
        <f>1-WWWW[[#This Row],[% people access to functioning Latrine]]</f>
        <v>1</v>
      </c>
      <c r="BG35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0" s="565">
        <f>IF(WWWW[[#This Row],['#_of_functional_handwashing_facilities_at_HH_level]]*6&gt;WWWW[[#This Row],[Total PoP ]],WWWW[[#This Row],[Total PoP ]],WWWW[[#This Row],['#_of_functional_handwashing_facilities_at_HH_level]]*6)</f>
        <v>0</v>
      </c>
      <c r="BI350" s="557">
        <f>IF(WWWW[[#This Row],['# people reached by regular dedicated hygiene promotion]]&gt;WWWW[[#This Row],['# People received regular supply of hygiene items]],WWWW[[#This Row],['# people reached by regular dedicated hygiene promotion]],WWWW[[#This Row],['# People received regular supply of hygiene items]])</f>
        <v>0</v>
      </c>
      <c r="BJ350" s="555">
        <f>IF(WWWW[[#This Row],[HRP3]]/WWWW[[#This Row],[Total PoP ]]&gt;100%,100%,WWWW[[#This Row],[HRP3]]/WWWW[[#This Row],[Total PoP ]])</f>
        <v>0</v>
      </c>
      <c r="BK350" s="558">
        <f>1-WWWW[[#This Row],[Hygiene Coverage%]]</f>
        <v>1</v>
      </c>
      <c r="BL350" s="556">
        <f>WWWW[[#This Row],['# people reached by regular dedicated hygiene promotion]]/WWWW[[#This Row],[Total PoP ]]</f>
        <v>0</v>
      </c>
      <c r="BM35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0" s="557">
        <f>WWWW[[#This Row],['#_of_affected_women_and_girls_receiving_a_sufficient_quantity_of_sanitary_pads]]</f>
        <v>0</v>
      </c>
      <c r="BO350" s="611">
        <f>IF(WWWW[[#This Row],['# People with access to soap]]&gt;WWWW[[#This Row],['# People with access to Sanity Pads]],WWWW[[#This Row],['# People with access to soap]],WWWW[[#This Row],['# People with access to Sanity Pads]])</f>
        <v>0</v>
      </c>
      <c r="BP350" s="565" t="str">
        <f>IF(OR(WWWW[[#This Row],['#of students in school]]="",WWWW[[#This Row],['#of students in school]]=0),"No","Yes")</f>
        <v>No</v>
      </c>
      <c r="BQ350" s="559" t="str">
        <f>VLOOKUP(WWWW[[#This Row],[Village  Name]],SiteDB6[[Site Name]:[Location Type 1]],9,FALSE)</f>
        <v>Village</v>
      </c>
      <c r="BR350" s="559" t="str">
        <f>VLOOKUP(WWWW[[#This Row],[Village  Name]],SiteDB6[[Site Name]:[Type of Accommodation]],10,FALSE)</f>
        <v>Relocated</v>
      </c>
      <c r="BS350" s="559" t="str">
        <f>VLOOKUP(WWWW[[#This Row],[Village  Name]],SiteDB6[[Site Name]:[Ethnic or GCA/NGCA]],11,FALSE)</f>
        <v>Muslim</v>
      </c>
      <c r="BT350" s="559">
        <f>VLOOKUP(WWWW[[#This Row],[Village  Name]],SiteDB6[[Site Name]:[Lat]],12,FALSE)</f>
        <v>20.886997999999998</v>
      </c>
      <c r="BU350" s="559">
        <f>VLOOKUP(WWWW[[#This Row],[Village  Name]],SiteDB6[[Site Name]:[Long]],13,FALSE)</f>
        <v>93.006497999999993</v>
      </c>
      <c r="BV350" s="559" t="str">
        <f>VLOOKUP(WWWW[[#This Row],[Village  Name]],SiteDB6[[Site Name]:[Pcode]],3,FALSE)</f>
        <v>MMR012CMP030</v>
      </c>
      <c r="BW350" s="559" t="str">
        <f t="shared" si="12"/>
        <v>Notcovered</v>
      </c>
      <c r="BX350" s="587"/>
    </row>
    <row r="351" spans="1:76" hidden="1">
      <c r="A351" s="612" t="s">
        <v>2381</v>
      </c>
      <c r="B351" s="612" t="s">
        <v>301</v>
      </c>
      <c r="C351" s="612" t="s">
        <v>301</v>
      </c>
      <c r="D351" s="457"/>
      <c r="E351" s="551" t="s">
        <v>2687</v>
      </c>
      <c r="F351" s="457" t="s">
        <v>304</v>
      </c>
      <c r="G351" s="551" t="str">
        <f>VLOOKUP(WWWW[[#This Row],[Village  Name]],SiteDB6[[Site Name]:[Location Type]],8,FALSE)</f>
        <v>Village</v>
      </c>
      <c r="H351" s="457" t="s">
        <v>612</v>
      </c>
      <c r="I351" s="611">
        <v>18</v>
      </c>
      <c r="J351" s="611">
        <v>157</v>
      </c>
      <c r="K351" s="461"/>
      <c r="L351" s="55"/>
      <c r="M351" s="611"/>
      <c r="N351" s="611"/>
      <c r="O351" s="611"/>
      <c r="P351" s="611"/>
      <c r="Q351" s="611"/>
      <c r="R351" s="611"/>
      <c r="S351" s="611"/>
      <c r="T351" s="643"/>
      <c r="U351" s="611"/>
      <c r="V351" s="611" t="s">
        <v>132</v>
      </c>
      <c r="W351" s="611"/>
      <c r="X351" s="611"/>
      <c r="Y351" s="611"/>
      <c r="Z351" s="611"/>
      <c r="AA351" s="611"/>
      <c r="AB351" s="643"/>
      <c r="AC351" s="611"/>
      <c r="AD351" s="611"/>
      <c r="AE351" s="611"/>
      <c r="AF351" s="611"/>
      <c r="AG351" s="611"/>
      <c r="AH351" s="611"/>
      <c r="AI351" s="611"/>
      <c r="AJ351" s="611"/>
      <c r="AK351" s="611"/>
      <c r="AL351" s="611"/>
      <c r="AM351" s="643"/>
      <c r="AN351" s="611"/>
      <c r="AO351" s="611"/>
      <c r="AP35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1" s="565">
        <f>WWWW[[#This Row],[%Equitable and continuous access to sufficient quantity of safe drinking water]]*WWWW[[#This Row],[Total PoP ]]</f>
        <v>0</v>
      </c>
      <c r="AR35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1" s="565">
        <f>WWWW[[#This Row],[% Access to unimproved water points]]*WWWW[[#This Row],[Total PoP ]]</f>
        <v>0</v>
      </c>
      <c r="AT35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1" s="565">
        <f>WWWW[[#This Row],[HRP1]]/250</f>
        <v>0</v>
      </c>
      <c r="AW351" s="555">
        <f>1-WWWW[[#This Row],[% Equitable and continuous access to sufficient quantity of domestic water]]</f>
        <v>1</v>
      </c>
      <c r="AX351" s="565">
        <f>WWWW[[#This Row],[%equitable and continuous access to sufficient quantity of safe drinking and domestic water''s GAP]]*WWWW[[#This Row],[Total PoP ]]</f>
        <v>157</v>
      </c>
      <c r="AY351" s="557">
        <f>IF(WWWW[[#This Row],[Total required water points]]-WWWW[[#This Row],['#Water points coverage]]&lt;0,0,WWWW[[#This Row],[Total required water points]]-WWWW[[#This Row],['#Water points coverage]])</f>
        <v>1</v>
      </c>
      <c r="AZ351" s="557">
        <f>ROUND(IF(WWWW[[#This Row],[Total PoP ]]&lt;250,1,WWWW[[#This Row],[Total PoP ]]/250),0)</f>
        <v>1</v>
      </c>
      <c r="BA35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1" s="565">
        <f>WWWW[[#This Row],[% people access to functioning Latrine]]*WWWW[[#This Row],[Total PoP ]]</f>
        <v>0</v>
      </c>
      <c r="BC351" s="557">
        <f>WWWW[[#This Row],['#_of_Functioning_latrines_in_school]]*50</f>
        <v>0</v>
      </c>
      <c r="BD351" s="557">
        <f>ROUND((WWWW[[#This Row],[Total PoP ]]/6),0)</f>
        <v>26</v>
      </c>
      <c r="BE351" s="557">
        <f>IF(WWWW[[#This Row],[Total required Latrines]]-(WWWW[[#This Row],['#_of_sanitary_fly-proof_HH_latrines]])&lt;0,0,WWWW[[#This Row],[Total required Latrines]]-(WWWW[[#This Row],['#_of_sanitary_fly-proof_HH_latrines]]))</f>
        <v>26</v>
      </c>
      <c r="BF351" s="558">
        <f>1-WWWW[[#This Row],[% people access to functioning Latrine]]</f>
        <v>1</v>
      </c>
      <c r="BG35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1" s="565">
        <f>IF(WWWW[[#This Row],['#_of_functional_handwashing_facilities_at_HH_level]]*6&gt;WWWW[[#This Row],[Total PoP ]],WWWW[[#This Row],[Total PoP ]],WWWW[[#This Row],['#_of_functional_handwashing_facilities_at_HH_level]]*6)</f>
        <v>0</v>
      </c>
      <c r="BI351" s="557">
        <f>IF(WWWW[[#This Row],['# people reached by regular dedicated hygiene promotion]]&gt;WWWW[[#This Row],['# People received regular supply of hygiene items]],WWWW[[#This Row],['# people reached by regular dedicated hygiene promotion]],WWWW[[#This Row],['# People received regular supply of hygiene items]])</f>
        <v>0</v>
      </c>
      <c r="BJ351" s="555">
        <f>IF(WWWW[[#This Row],[HRP3]]/WWWW[[#This Row],[Total PoP ]]&gt;100%,100%,WWWW[[#This Row],[HRP3]]/WWWW[[#This Row],[Total PoP ]])</f>
        <v>0</v>
      </c>
      <c r="BK351" s="558">
        <f>1-WWWW[[#This Row],[Hygiene Coverage%]]</f>
        <v>1</v>
      </c>
      <c r="BL351" s="556">
        <f>WWWW[[#This Row],['# people reached by regular dedicated hygiene promotion]]/WWWW[[#This Row],[Total PoP ]]</f>
        <v>0</v>
      </c>
      <c r="BM35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1" s="557">
        <f>WWWW[[#This Row],['#_of_affected_women_and_girls_receiving_a_sufficient_quantity_of_sanitary_pads]]</f>
        <v>0</v>
      </c>
      <c r="BO351" s="611">
        <f>IF(WWWW[[#This Row],['# People with access to soap]]&gt;WWWW[[#This Row],['# People with access to Sanity Pads]],WWWW[[#This Row],['# People with access to soap]],WWWW[[#This Row],['# People with access to Sanity Pads]])</f>
        <v>0</v>
      </c>
      <c r="BP351" s="565" t="str">
        <f>IF(OR(WWWW[[#This Row],['#of students in school]]="",WWWW[[#This Row],['#of students in school]]=0),"No","Yes")</f>
        <v>No</v>
      </c>
      <c r="BQ351" s="559" t="str">
        <f>VLOOKUP(WWWW[[#This Row],[Village  Name]],SiteDB6[[Site Name]:[Location Type 1]],9,FALSE)</f>
        <v>Village</v>
      </c>
      <c r="BR351" s="559" t="str">
        <f>VLOOKUP(WWWW[[#This Row],[Village  Name]],SiteDB6[[Site Name]:[Type of Accommodation]],10,FALSE)</f>
        <v>Returned</v>
      </c>
      <c r="BS351" s="559" t="str">
        <f>VLOOKUP(WWWW[[#This Row],[Village  Name]],SiteDB6[[Site Name]:[Ethnic or GCA/NGCA]],11,FALSE)</f>
        <v>Muslim</v>
      </c>
      <c r="BT351" s="559">
        <f>VLOOKUP(WWWW[[#This Row],[Village  Name]],SiteDB6[[Site Name]:[Lat]],12,FALSE)</f>
        <v>20.805734000000001</v>
      </c>
      <c r="BU351" s="559">
        <f>VLOOKUP(WWWW[[#This Row],[Village  Name]],SiteDB6[[Site Name]:[Long]],13,FALSE)</f>
        <v>92.982675999999998</v>
      </c>
      <c r="BV351" s="559" t="str">
        <f>VLOOKUP(WWWW[[#This Row],[Village  Name]],SiteDB6[[Site Name]:[Pcode]],3,FALSE)</f>
        <v>MMR012CMP020</v>
      </c>
      <c r="BW351" s="559" t="str">
        <f t="shared" si="12"/>
        <v>Notcovered</v>
      </c>
      <c r="BX351" s="587"/>
    </row>
    <row r="352" spans="1:76" hidden="1">
      <c r="A352" s="612" t="s">
        <v>2381</v>
      </c>
      <c r="B352" s="612" t="s">
        <v>301</v>
      </c>
      <c r="C352" s="612" t="s">
        <v>301</v>
      </c>
      <c r="D352" s="457"/>
      <c r="E352" s="551" t="s">
        <v>2687</v>
      </c>
      <c r="F352" s="457" t="s">
        <v>304</v>
      </c>
      <c r="G352" s="551" t="str">
        <f>VLOOKUP(WWWW[[#This Row],[Village  Name]],SiteDB6[[Site Name]:[Location Type]],8,FALSE)</f>
        <v>Village</v>
      </c>
      <c r="H352" s="457" t="s">
        <v>595</v>
      </c>
      <c r="I352" s="611">
        <v>144</v>
      </c>
      <c r="J352" s="611">
        <v>1006</v>
      </c>
      <c r="K352" s="461"/>
      <c r="L352" s="55"/>
      <c r="M352" s="611"/>
      <c r="N352" s="611"/>
      <c r="O352" s="611"/>
      <c r="P352" s="611"/>
      <c r="Q352" s="611"/>
      <c r="R352" s="611"/>
      <c r="S352" s="611"/>
      <c r="T352" s="643"/>
      <c r="U352" s="611"/>
      <c r="V352" s="611" t="s">
        <v>132</v>
      </c>
      <c r="W352" s="611"/>
      <c r="X352" s="611"/>
      <c r="Y352" s="611"/>
      <c r="Z352" s="611"/>
      <c r="AA352" s="611"/>
      <c r="AB352" s="643"/>
      <c r="AC352" s="611"/>
      <c r="AD352" s="611"/>
      <c r="AE352" s="611"/>
      <c r="AF352" s="611"/>
      <c r="AG352" s="611"/>
      <c r="AH352" s="611"/>
      <c r="AI352" s="611"/>
      <c r="AJ352" s="611"/>
      <c r="AK352" s="611"/>
      <c r="AL352" s="611"/>
      <c r="AM352" s="643"/>
      <c r="AN352" s="611"/>
      <c r="AO352" s="611"/>
      <c r="AP35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2" s="565">
        <f>WWWW[[#This Row],[%Equitable and continuous access to sufficient quantity of safe drinking water]]*WWWW[[#This Row],[Total PoP ]]</f>
        <v>0</v>
      </c>
      <c r="AR35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2" s="565">
        <f>WWWW[[#This Row],[% Access to unimproved water points]]*WWWW[[#This Row],[Total PoP ]]</f>
        <v>0</v>
      </c>
      <c r="AT35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2" s="565">
        <f>WWWW[[#This Row],[HRP1]]/250</f>
        <v>0</v>
      </c>
      <c r="AW352" s="555">
        <f>1-WWWW[[#This Row],[% Equitable and continuous access to sufficient quantity of domestic water]]</f>
        <v>1</v>
      </c>
      <c r="AX352" s="565">
        <f>WWWW[[#This Row],[%equitable and continuous access to sufficient quantity of safe drinking and domestic water''s GAP]]*WWWW[[#This Row],[Total PoP ]]</f>
        <v>1006</v>
      </c>
      <c r="AY352" s="557">
        <f>IF(WWWW[[#This Row],[Total required water points]]-WWWW[[#This Row],['#Water points coverage]]&lt;0,0,WWWW[[#This Row],[Total required water points]]-WWWW[[#This Row],['#Water points coverage]])</f>
        <v>4</v>
      </c>
      <c r="AZ352" s="557">
        <f>ROUND(IF(WWWW[[#This Row],[Total PoP ]]&lt;250,1,WWWW[[#This Row],[Total PoP ]]/250),0)</f>
        <v>4</v>
      </c>
      <c r="BA35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2" s="565">
        <f>WWWW[[#This Row],[% people access to functioning Latrine]]*WWWW[[#This Row],[Total PoP ]]</f>
        <v>0</v>
      </c>
      <c r="BC352" s="557">
        <f>WWWW[[#This Row],['#_of_Functioning_latrines_in_school]]*50</f>
        <v>0</v>
      </c>
      <c r="BD352" s="557">
        <f>ROUND((WWWW[[#This Row],[Total PoP ]]/6),0)</f>
        <v>168</v>
      </c>
      <c r="BE352" s="557">
        <f>IF(WWWW[[#This Row],[Total required Latrines]]-(WWWW[[#This Row],['#_of_sanitary_fly-proof_HH_latrines]])&lt;0,0,WWWW[[#This Row],[Total required Latrines]]-(WWWW[[#This Row],['#_of_sanitary_fly-proof_HH_latrines]]))</f>
        <v>168</v>
      </c>
      <c r="BF352" s="558">
        <f>1-WWWW[[#This Row],[% people access to functioning Latrine]]</f>
        <v>1</v>
      </c>
      <c r="BG35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2" s="565">
        <f>IF(WWWW[[#This Row],['#_of_functional_handwashing_facilities_at_HH_level]]*6&gt;WWWW[[#This Row],[Total PoP ]],WWWW[[#This Row],[Total PoP ]],WWWW[[#This Row],['#_of_functional_handwashing_facilities_at_HH_level]]*6)</f>
        <v>0</v>
      </c>
      <c r="BI352" s="557">
        <f>IF(WWWW[[#This Row],['# people reached by regular dedicated hygiene promotion]]&gt;WWWW[[#This Row],['# People received regular supply of hygiene items]],WWWW[[#This Row],['# people reached by regular dedicated hygiene promotion]],WWWW[[#This Row],['# People received regular supply of hygiene items]])</f>
        <v>0</v>
      </c>
      <c r="BJ352" s="555">
        <f>IF(WWWW[[#This Row],[HRP3]]/WWWW[[#This Row],[Total PoP ]]&gt;100%,100%,WWWW[[#This Row],[HRP3]]/WWWW[[#This Row],[Total PoP ]])</f>
        <v>0</v>
      </c>
      <c r="BK352" s="558">
        <f>1-WWWW[[#This Row],[Hygiene Coverage%]]</f>
        <v>1</v>
      </c>
      <c r="BL352" s="556">
        <f>WWWW[[#This Row],['# people reached by regular dedicated hygiene promotion]]/WWWW[[#This Row],[Total PoP ]]</f>
        <v>0</v>
      </c>
      <c r="BM35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2" s="557">
        <f>WWWW[[#This Row],['#_of_affected_women_and_girls_receiving_a_sufficient_quantity_of_sanitary_pads]]</f>
        <v>0</v>
      </c>
      <c r="BO352" s="611">
        <f>IF(WWWW[[#This Row],['# People with access to soap]]&gt;WWWW[[#This Row],['# People with access to Sanity Pads]],WWWW[[#This Row],['# People with access to soap]],WWWW[[#This Row],['# People with access to Sanity Pads]])</f>
        <v>0</v>
      </c>
      <c r="BP352" s="565" t="str">
        <f>IF(OR(WWWW[[#This Row],['#of students in school]]="",WWWW[[#This Row],['#of students in school]]=0),"No","Yes")</f>
        <v>No</v>
      </c>
      <c r="BQ352" s="559" t="str">
        <f>VLOOKUP(WWWW[[#This Row],[Village  Name]],SiteDB6[[Site Name]:[Location Type 1]],9,FALSE)</f>
        <v>Village</v>
      </c>
      <c r="BR352" s="559" t="str">
        <f>VLOOKUP(WWWW[[#This Row],[Village  Name]],SiteDB6[[Site Name]:[Type of Accommodation]],10,FALSE)</f>
        <v>Returned</v>
      </c>
      <c r="BS352" s="559" t="str">
        <f>VLOOKUP(WWWW[[#This Row],[Village  Name]],SiteDB6[[Site Name]:[Ethnic or GCA/NGCA]],11,FALSE)</f>
        <v>Muslim</v>
      </c>
      <c r="BT352" s="559">
        <f>VLOOKUP(WWWW[[#This Row],[Village  Name]],SiteDB6[[Site Name]:[Lat]],12,FALSE)</f>
        <v>20.78332</v>
      </c>
      <c r="BU352" s="559">
        <f>VLOOKUP(WWWW[[#This Row],[Village  Name]],SiteDB6[[Site Name]:[Long]],13,FALSE)</f>
        <v>92.987399999999994</v>
      </c>
      <c r="BV352" s="559" t="str">
        <f>VLOOKUP(WWWW[[#This Row],[Village  Name]],SiteDB6[[Site Name]:[Pcode]],3,FALSE)</f>
        <v>MMR012CMP029</v>
      </c>
      <c r="BW352" s="559" t="str">
        <f t="shared" si="12"/>
        <v>Notcovered</v>
      </c>
      <c r="BX352" s="587"/>
    </row>
    <row r="353" spans="1:76">
      <c r="A353" s="612" t="s">
        <v>2381</v>
      </c>
      <c r="B353" s="612" t="s">
        <v>310</v>
      </c>
      <c r="C353" s="612" t="s">
        <v>310</v>
      </c>
      <c r="D353" s="457" t="s">
        <v>2681</v>
      </c>
      <c r="E353" s="551" t="s">
        <v>2686</v>
      </c>
      <c r="F353" s="457" t="s">
        <v>307</v>
      </c>
      <c r="G353" s="551" t="str">
        <f>VLOOKUP(WWWW[[#This Row],[Village  Name]],SiteDB6[[Site Name]:[Location Type]],8,FALSE)</f>
        <v>Village</v>
      </c>
      <c r="H353" s="457" t="s">
        <v>2016</v>
      </c>
      <c r="I353" s="611">
        <v>210</v>
      </c>
      <c r="J353" s="611">
        <v>694</v>
      </c>
      <c r="K353" s="461">
        <v>44134</v>
      </c>
      <c r="L353" s="55"/>
      <c r="M353" s="611"/>
      <c r="N353" s="611"/>
      <c r="O353" s="611"/>
      <c r="P353" s="611"/>
      <c r="Q353" s="611"/>
      <c r="R353" s="611"/>
      <c r="S353" s="611"/>
      <c r="T353" s="643"/>
      <c r="U353" s="611"/>
      <c r="V353" s="611" t="s">
        <v>132</v>
      </c>
      <c r="W353" s="611"/>
      <c r="X353" s="611"/>
      <c r="Y353" s="611"/>
      <c r="Z353" s="611"/>
      <c r="AA353" s="611"/>
      <c r="AB353" s="643"/>
      <c r="AC353" s="611"/>
      <c r="AD353" s="611"/>
      <c r="AE353" s="611"/>
      <c r="AF353" s="611"/>
      <c r="AG353" s="611"/>
      <c r="AH353" s="611"/>
      <c r="AI353" s="611"/>
      <c r="AJ353" s="611"/>
      <c r="AK353" s="611"/>
      <c r="AL353" s="611"/>
      <c r="AM353" s="643"/>
      <c r="AN353" s="611"/>
      <c r="AO353" s="611"/>
      <c r="AP35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3" s="565">
        <f>WWWW[[#This Row],[%Equitable and continuous access to sufficient quantity of safe drinking water]]*WWWW[[#This Row],[Total PoP ]]</f>
        <v>0</v>
      </c>
      <c r="AR35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3" s="565">
        <f>WWWW[[#This Row],[% Access to unimproved water points]]*WWWW[[#This Row],[Total PoP ]]</f>
        <v>0</v>
      </c>
      <c r="AT35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3" s="565">
        <f>WWWW[[#This Row],[HRP1]]/250</f>
        <v>0</v>
      </c>
      <c r="AW353" s="555">
        <f>1-WWWW[[#This Row],[% Equitable and continuous access to sufficient quantity of domestic water]]</f>
        <v>1</v>
      </c>
      <c r="AX353" s="565">
        <f>WWWW[[#This Row],[%equitable and continuous access to sufficient quantity of safe drinking and domestic water''s GAP]]*WWWW[[#This Row],[Total PoP ]]</f>
        <v>694</v>
      </c>
      <c r="AY353" s="557">
        <f>IF(WWWW[[#This Row],[Total required water points]]-WWWW[[#This Row],['#Water points coverage]]&lt;0,0,WWWW[[#This Row],[Total required water points]]-WWWW[[#This Row],['#Water points coverage]])</f>
        <v>3</v>
      </c>
      <c r="AZ353" s="557">
        <f>ROUND(IF(WWWW[[#This Row],[Total PoP ]]&lt;250,1,WWWW[[#This Row],[Total PoP ]]/250),0)</f>
        <v>3</v>
      </c>
      <c r="BA35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3" s="565">
        <f>WWWW[[#This Row],[% people access to functioning Latrine]]*WWWW[[#This Row],[Total PoP ]]</f>
        <v>0</v>
      </c>
      <c r="BC353" s="557">
        <f>WWWW[[#This Row],['#_of_Functioning_latrines_in_school]]*50</f>
        <v>0</v>
      </c>
      <c r="BD353" s="557">
        <f>ROUND((WWWW[[#This Row],[Total PoP ]]/6),0)</f>
        <v>116</v>
      </c>
      <c r="BE353" s="557">
        <f>IF(WWWW[[#This Row],[Total required Latrines]]-(WWWW[[#This Row],['#_of_sanitary_fly-proof_HH_latrines]])&lt;0,0,WWWW[[#This Row],[Total required Latrines]]-(WWWW[[#This Row],['#_of_sanitary_fly-proof_HH_latrines]]))</f>
        <v>116</v>
      </c>
      <c r="BF353" s="558">
        <f>1-WWWW[[#This Row],[% people access to functioning Latrine]]</f>
        <v>1</v>
      </c>
      <c r="BG35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3" s="565">
        <f>IF(WWWW[[#This Row],['#_of_functional_handwashing_facilities_at_HH_level]]*6&gt;WWWW[[#This Row],[Total PoP ]],WWWW[[#This Row],[Total PoP ]],WWWW[[#This Row],['#_of_functional_handwashing_facilities_at_HH_level]]*6)</f>
        <v>0</v>
      </c>
      <c r="BI353" s="557">
        <f>IF(WWWW[[#This Row],['# people reached by regular dedicated hygiene promotion]]&gt;WWWW[[#This Row],['# People received regular supply of hygiene items]],WWWW[[#This Row],['# people reached by regular dedicated hygiene promotion]],WWWW[[#This Row],['# People received regular supply of hygiene items]])</f>
        <v>0</v>
      </c>
      <c r="BJ353" s="555">
        <f>IF(WWWW[[#This Row],[HRP3]]/WWWW[[#This Row],[Total PoP ]]&gt;100%,100%,WWWW[[#This Row],[HRP3]]/WWWW[[#This Row],[Total PoP ]])</f>
        <v>0</v>
      </c>
      <c r="BK353" s="558">
        <f>1-WWWW[[#This Row],[Hygiene Coverage%]]</f>
        <v>1</v>
      </c>
      <c r="BL353" s="556">
        <f>WWWW[[#This Row],['# people reached by regular dedicated hygiene promotion]]/WWWW[[#This Row],[Total PoP ]]</f>
        <v>0</v>
      </c>
      <c r="BM35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3" s="557">
        <f>WWWW[[#This Row],['#_of_affected_women_and_girls_receiving_a_sufficient_quantity_of_sanitary_pads]]</f>
        <v>0</v>
      </c>
      <c r="BO353" s="611">
        <f>IF(WWWW[[#This Row],['# People with access to soap]]&gt;WWWW[[#This Row],['# People with access to Sanity Pads]],WWWW[[#This Row],['# People with access to soap]],WWWW[[#This Row],['# People with access to Sanity Pads]])</f>
        <v>0</v>
      </c>
      <c r="BP353" s="565" t="str">
        <f>IF(OR(WWWW[[#This Row],['#of students in school]]="",WWWW[[#This Row],['#of students in school]]=0),"No","Yes")</f>
        <v>No</v>
      </c>
      <c r="BQ353" s="559" t="str">
        <f>VLOOKUP(WWWW[[#This Row],[Village  Name]],SiteDB6[[Site Name]:[Location Type 1]],9,FALSE)</f>
        <v>Village</v>
      </c>
      <c r="BR353" s="559" t="str">
        <f>VLOOKUP(WWWW[[#This Row],[Village  Name]],SiteDB6[[Site Name]:[Type of Accommodation]],10,FALSE)</f>
        <v>Village</v>
      </c>
      <c r="BS353" s="559" t="str">
        <f>VLOOKUP(WWWW[[#This Row],[Village  Name]],SiteDB6[[Site Name]:[Ethnic or GCA/NGCA]],11,FALSE)</f>
        <v>Muslim</v>
      </c>
      <c r="BT353" s="559">
        <f>VLOOKUP(WWWW[[#This Row],[Village  Name]],SiteDB6[[Site Name]:[Lat]],12,FALSE)</f>
        <v>21.012830730000001</v>
      </c>
      <c r="BU353" s="559">
        <f>VLOOKUP(WWWW[[#This Row],[Village  Name]],SiteDB6[[Site Name]:[Long]],13,FALSE)</f>
        <v>92.338958739999995</v>
      </c>
      <c r="BV353" s="559">
        <f>VLOOKUP(WWWW[[#This Row],[Village  Name]],SiteDB6[[Site Name]:[Pcode]],3,FALSE)</f>
        <v>197878</v>
      </c>
      <c r="BW353" s="559" t="str">
        <f t="shared" si="12"/>
        <v>Covered</v>
      </c>
      <c r="BX353" s="587"/>
    </row>
    <row r="354" spans="1:76">
      <c r="A354" s="612" t="s">
        <v>2381</v>
      </c>
      <c r="B354" s="612" t="s">
        <v>310</v>
      </c>
      <c r="C354" s="612" t="s">
        <v>310</v>
      </c>
      <c r="D354" s="457" t="s">
        <v>2681</v>
      </c>
      <c r="E354" s="551" t="s">
        <v>2686</v>
      </c>
      <c r="F354" s="457" t="s">
        <v>307</v>
      </c>
      <c r="G354" s="551" t="str">
        <f>VLOOKUP(WWWW[[#This Row],[Village  Name]],SiteDB6[[Site Name]:[Location Type]],8,FALSE)</f>
        <v>Village</v>
      </c>
      <c r="H354" s="457" t="s">
        <v>2017</v>
      </c>
      <c r="I354" s="611">
        <v>87</v>
      </c>
      <c r="J354" s="611">
        <v>412</v>
      </c>
      <c r="K354" s="461">
        <v>44134</v>
      </c>
      <c r="L354" s="55"/>
      <c r="M354" s="611"/>
      <c r="N354" s="611"/>
      <c r="O354" s="611"/>
      <c r="P354" s="611"/>
      <c r="Q354" s="611"/>
      <c r="R354" s="611"/>
      <c r="S354" s="611"/>
      <c r="T354" s="643"/>
      <c r="U354" s="611"/>
      <c r="V354" s="611" t="s">
        <v>132</v>
      </c>
      <c r="W354" s="611"/>
      <c r="X354" s="611"/>
      <c r="Y354" s="611"/>
      <c r="Z354" s="611"/>
      <c r="AA354" s="611"/>
      <c r="AB354" s="643"/>
      <c r="AC354" s="611"/>
      <c r="AD354" s="611"/>
      <c r="AE354" s="611"/>
      <c r="AF354" s="611"/>
      <c r="AG354" s="611"/>
      <c r="AH354" s="611"/>
      <c r="AI354" s="611"/>
      <c r="AJ354" s="611"/>
      <c r="AK354" s="611"/>
      <c r="AL354" s="611"/>
      <c r="AM354" s="643"/>
      <c r="AN354" s="611"/>
      <c r="AO354" s="611"/>
      <c r="AP35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4" s="565">
        <f>WWWW[[#This Row],[%Equitable and continuous access to sufficient quantity of safe drinking water]]*WWWW[[#This Row],[Total PoP ]]</f>
        <v>0</v>
      </c>
      <c r="AR35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4" s="565">
        <f>WWWW[[#This Row],[% Access to unimproved water points]]*WWWW[[#This Row],[Total PoP ]]</f>
        <v>0</v>
      </c>
      <c r="AT35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4" s="565">
        <f>WWWW[[#This Row],[HRP1]]/250</f>
        <v>0</v>
      </c>
      <c r="AW354" s="555">
        <f>1-WWWW[[#This Row],[% Equitable and continuous access to sufficient quantity of domestic water]]</f>
        <v>1</v>
      </c>
      <c r="AX354" s="565">
        <f>WWWW[[#This Row],[%equitable and continuous access to sufficient quantity of safe drinking and domestic water''s GAP]]*WWWW[[#This Row],[Total PoP ]]</f>
        <v>412</v>
      </c>
      <c r="AY354" s="557">
        <f>IF(WWWW[[#This Row],[Total required water points]]-WWWW[[#This Row],['#Water points coverage]]&lt;0,0,WWWW[[#This Row],[Total required water points]]-WWWW[[#This Row],['#Water points coverage]])</f>
        <v>2</v>
      </c>
      <c r="AZ354" s="557">
        <f>ROUND(IF(WWWW[[#This Row],[Total PoP ]]&lt;250,1,WWWW[[#This Row],[Total PoP ]]/250),0)</f>
        <v>2</v>
      </c>
      <c r="BA35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4" s="565">
        <f>WWWW[[#This Row],[% people access to functioning Latrine]]*WWWW[[#This Row],[Total PoP ]]</f>
        <v>0</v>
      </c>
      <c r="BC354" s="557">
        <f>WWWW[[#This Row],['#_of_Functioning_latrines_in_school]]*50</f>
        <v>0</v>
      </c>
      <c r="BD354" s="557">
        <f>ROUND((WWWW[[#This Row],[Total PoP ]]/6),0)</f>
        <v>69</v>
      </c>
      <c r="BE354" s="557">
        <f>IF(WWWW[[#This Row],[Total required Latrines]]-(WWWW[[#This Row],['#_of_sanitary_fly-proof_HH_latrines]])&lt;0,0,WWWW[[#This Row],[Total required Latrines]]-(WWWW[[#This Row],['#_of_sanitary_fly-proof_HH_latrines]]))</f>
        <v>69</v>
      </c>
      <c r="BF354" s="558">
        <f>1-WWWW[[#This Row],[% people access to functioning Latrine]]</f>
        <v>1</v>
      </c>
      <c r="BG35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4" s="565">
        <f>IF(WWWW[[#This Row],['#_of_functional_handwashing_facilities_at_HH_level]]*6&gt;WWWW[[#This Row],[Total PoP ]],WWWW[[#This Row],[Total PoP ]],WWWW[[#This Row],['#_of_functional_handwashing_facilities_at_HH_level]]*6)</f>
        <v>0</v>
      </c>
      <c r="BI354" s="557">
        <f>IF(WWWW[[#This Row],['# people reached by regular dedicated hygiene promotion]]&gt;WWWW[[#This Row],['# People received regular supply of hygiene items]],WWWW[[#This Row],['# people reached by regular dedicated hygiene promotion]],WWWW[[#This Row],['# People received regular supply of hygiene items]])</f>
        <v>0</v>
      </c>
      <c r="BJ354" s="555">
        <f>IF(WWWW[[#This Row],[HRP3]]/WWWW[[#This Row],[Total PoP ]]&gt;100%,100%,WWWW[[#This Row],[HRP3]]/WWWW[[#This Row],[Total PoP ]])</f>
        <v>0</v>
      </c>
      <c r="BK354" s="558">
        <f>1-WWWW[[#This Row],[Hygiene Coverage%]]</f>
        <v>1</v>
      </c>
      <c r="BL354" s="556">
        <f>WWWW[[#This Row],['# people reached by regular dedicated hygiene promotion]]/WWWW[[#This Row],[Total PoP ]]</f>
        <v>0</v>
      </c>
      <c r="BM35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4" s="557">
        <f>WWWW[[#This Row],['#_of_affected_women_and_girls_receiving_a_sufficient_quantity_of_sanitary_pads]]</f>
        <v>0</v>
      </c>
      <c r="BO354" s="611">
        <f>IF(WWWW[[#This Row],['# People with access to soap]]&gt;WWWW[[#This Row],['# People with access to Sanity Pads]],WWWW[[#This Row],['# People with access to soap]],WWWW[[#This Row],['# People with access to Sanity Pads]])</f>
        <v>0</v>
      </c>
      <c r="BP354" s="565" t="str">
        <f>IF(OR(WWWW[[#This Row],['#of students in school]]="",WWWW[[#This Row],['#of students in school]]=0),"No","Yes")</f>
        <v>No</v>
      </c>
      <c r="BQ354" s="559" t="str">
        <f>VLOOKUP(WWWW[[#This Row],[Village  Name]],SiteDB6[[Site Name]:[Location Type 1]],9,FALSE)</f>
        <v>Village</v>
      </c>
      <c r="BR354" s="559" t="str">
        <f>VLOOKUP(WWWW[[#This Row],[Village  Name]],SiteDB6[[Site Name]:[Type of Accommodation]],10,FALSE)</f>
        <v>Village</v>
      </c>
      <c r="BS354" s="559" t="str">
        <f>VLOOKUP(WWWW[[#This Row],[Village  Name]],SiteDB6[[Site Name]:[Ethnic or GCA/NGCA]],11,FALSE)</f>
        <v>Rakhine</v>
      </c>
      <c r="BT354" s="559">
        <f>VLOOKUP(WWWW[[#This Row],[Village  Name]],SiteDB6[[Site Name]:[Lat]],12,FALSE)</f>
        <v>21.218200679999999</v>
      </c>
      <c r="BU354" s="559">
        <f>VLOOKUP(WWWW[[#This Row],[Village  Name]],SiteDB6[[Site Name]:[Long]],13,FALSE)</f>
        <v>92.323173519999997</v>
      </c>
      <c r="BV354" s="559">
        <f>VLOOKUP(WWWW[[#This Row],[Village  Name]],SiteDB6[[Site Name]:[Pcode]],3,FALSE)</f>
        <v>197830</v>
      </c>
      <c r="BW354" s="559" t="str">
        <f t="shared" si="12"/>
        <v>Covered</v>
      </c>
      <c r="BX354" s="587"/>
    </row>
    <row r="355" spans="1:76">
      <c r="A355" s="612" t="s">
        <v>2381</v>
      </c>
      <c r="B355" s="612" t="s">
        <v>310</v>
      </c>
      <c r="C355" s="612" t="s">
        <v>310</v>
      </c>
      <c r="D355" s="457" t="s">
        <v>2681</v>
      </c>
      <c r="E355" s="551" t="s">
        <v>2686</v>
      </c>
      <c r="F355" s="457" t="s">
        <v>307</v>
      </c>
      <c r="G355" s="551" t="str">
        <f>VLOOKUP(WWWW[[#This Row],[Village  Name]],SiteDB6[[Site Name]:[Location Type]],8,FALSE)</f>
        <v>Village</v>
      </c>
      <c r="H355" s="457" t="s">
        <v>2730</v>
      </c>
      <c r="I355" s="611">
        <v>34</v>
      </c>
      <c r="J355" s="611">
        <v>163</v>
      </c>
      <c r="K355" s="461">
        <v>44134</v>
      </c>
      <c r="L355" s="55"/>
      <c r="M355" s="611"/>
      <c r="N355" s="611"/>
      <c r="O355" s="611"/>
      <c r="P355" s="611"/>
      <c r="Q355" s="611"/>
      <c r="R355" s="611"/>
      <c r="S355" s="611"/>
      <c r="T355" s="643"/>
      <c r="U355" s="611"/>
      <c r="V355" s="611" t="s">
        <v>132</v>
      </c>
      <c r="W355" s="611"/>
      <c r="X355" s="611"/>
      <c r="Y355" s="611"/>
      <c r="Z355" s="611"/>
      <c r="AA355" s="611"/>
      <c r="AB355" s="643"/>
      <c r="AC355" s="611"/>
      <c r="AD355" s="611"/>
      <c r="AE355" s="611"/>
      <c r="AF355" s="611"/>
      <c r="AG355" s="611"/>
      <c r="AH355" s="611"/>
      <c r="AI355" s="611"/>
      <c r="AJ355" s="611"/>
      <c r="AK355" s="611"/>
      <c r="AL355" s="611"/>
      <c r="AM355" s="643"/>
      <c r="AN355" s="611"/>
      <c r="AO355" s="611"/>
      <c r="AP35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5" s="565">
        <f>WWWW[[#This Row],[%Equitable and continuous access to sufficient quantity of safe drinking water]]*WWWW[[#This Row],[Total PoP ]]</f>
        <v>0</v>
      </c>
      <c r="AR35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5" s="565">
        <f>WWWW[[#This Row],[% Access to unimproved water points]]*WWWW[[#This Row],[Total PoP ]]</f>
        <v>0</v>
      </c>
      <c r="AT35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5" s="565">
        <f>WWWW[[#This Row],[HRP1]]/250</f>
        <v>0</v>
      </c>
      <c r="AW355" s="555">
        <f>1-WWWW[[#This Row],[% Equitable and continuous access to sufficient quantity of domestic water]]</f>
        <v>1</v>
      </c>
      <c r="AX355" s="565">
        <f>WWWW[[#This Row],[%equitable and continuous access to sufficient quantity of safe drinking and domestic water''s GAP]]*WWWW[[#This Row],[Total PoP ]]</f>
        <v>163</v>
      </c>
      <c r="AY355" s="557">
        <f>IF(WWWW[[#This Row],[Total required water points]]-WWWW[[#This Row],['#Water points coverage]]&lt;0,0,WWWW[[#This Row],[Total required water points]]-WWWW[[#This Row],['#Water points coverage]])</f>
        <v>1</v>
      </c>
      <c r="AZ355" s="557">
        <f>ROUND(IF(WWWW[[#This Row],[Total PoP ]]&lt;250,1,WWWW[[#This Row],[Total PoP ]]/250),0)</f>
        <v>1</v>
      </c>
      <c r="BA35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5" s="565">
        <f>WWWW[[#This Row],[% people access to functioning Latrine]]*WWWW[[#This Row],[Total PoP ]]</f>
        <v>0</v>
      </c>
      <c r="BC355" s="557">
        <f>WWWW[[#This Row],['#_of_Functioning_latrines_in_school]]*50</f>
        <v>0</v>
      </c>
      <c r="BD355" s="557">
        <f>ROUND((WWWW[[#This Row],[Total PoP ]]/6),0)</f>
        <v>27</v>
      </c>
      <c r="BE355" s="557">
        <f>IF(WWWW[[#This Row],[Total required Latrines]]-(WWWW[[#This Row],['#_of_sanitary_fly-proof_HH_latrines]])&lt;0,0,WWWW[[#This Row],[Total required Latrines]]-(WWWW[[#This Row],['#_of_sanitary_fly-proof_HH_latrines]]))</f>
        <v>27</v>
      </c>
      <c r="BF355" s="558">
        <f>1-WWWW[[#This Row],[% people access to functioning Latrine]]</f>
        <v>1</v>
      </c>
      <c r="BG35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5" s="565">
        <f>IF(WWWW[[#This Row],['#_of_functional_handwashing_facilities_at_HH_level]]*6&gt;WWWW[[#This Row],[Total PoP ]],WWWW[[#This Row],[Total PoP ]],WWWW[[#This Row],['#_of_functional_handwashing_facilities_at_HH_level]]*6)</f>
        <v>0</v>
      </c>
      <c r="BI355" s="557">
        <f>IF(WWWW[[#This Row],['# people reached by regular dedicated hygiene promotion]]&gt;WWWW[[#This Row],['# People received regular supply of hygiene items]],WWWW[[#This Row],['# people reached by regular dedicated hygiene promotion]],WWWW[[#This Row],['# People received regular supply of hygiene items]])</f>
        <v>0</v>
      </c>
      <c r="BJ355" s="555">
        <f>IF(WWWW[[#This Row],[HRP3]]/WWWW[[#This Row],[Total PoP ]]&gt;100%,100%,WWWW[[#This Row],[HRP3]]/WWWW[[#This Row],[Total PoP ]])</f>
        <v>0</v>
      </c>
      <c r="BK355" s="558">
        <f>1-WWWW[[#This Row],[Hygiene Coverage%]]</f>
        <v>1</v>
      </c>
      <c r="BL355" s="556">
        <f>WWWW[[#This Row],['# people reached by regular dedicated hygiene promotion]]/WWWW[[#This Row],[Total PoP ]]</f>
        <v>0</v>
      </c>
      <c r="BM35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5" s="557">
        <f>WWWW[[#This Row],['#_of_affected_women_and_girls_receiving_a_sufficient_quantity_of_sanitary_pads]]</f>
        <v>0</v>
      </c>
      <c r="BO355" s="611">
        <f>IF(WWWW[[#This Row],['# People with access to soap]]&gt;WWWW[[#This Row],['# People with access to Sanity Pads]],WWWW[[#This Row],['# People with access to soap]],WWWW[[#This Row],['# People with access to Sanity Pads]])</f>
        <v>0</v>
      </c>
      <c r="BP355" s="565" t="str">
        <f>IF(OR(WWWW[[#This Row],['#of students in school]]="",WWWW[[#This Row],['#of students in school]]=0),"No","Yes")</f>
        <v>No</v>
      </c>
      <c r="BQ355" s="559" t="str">
        <f>VLOOKUP(WWWW[[#This Row],[Village  Name]],SiteDB6[[Site Name]:[Location Type 1]],9,FALSE)</f>
        <v>Village</v>
      </c>
      <c r="BR355" s="559" t="str">
        <f>VLOOKUP(WWWW[[#This Row],[Village  Name]],SiteDB6[[Site Name]:[Type of Accommodation]],10,FALSE)</f>
        <v>Village</v>
      </c>
      <c r="BS355" s="559" t="str">
        <f>VLOOKUP(WWWW[[#This Row],[Village  Name]],SiteDB6[[Site Name]:[Ethnic or GCA/NGCA]],11,FALSE)</f>
        <v>Rakhine</v>
      </c>
      <c r="BT355" s="559">
        <f>VLOOKUP(WWWW[[#This Row],[Village  Name]],SiteDB6[[Site Name]:[Lat]],12,FALSE)</f>
        <v>21.153581620000001</v>
      </c>
      <c r="BU355" s="559">
        <f>VLOOKUP(WWWW[[#This Row],[Village  Name]],SiteDB6[[Site Name]:[Long]],13,FALSE)</f>
        <v>92.250885010000005</v>
      </c>
      <c r="BV355" s="559">
        <f>VLOOKUP(WWWW[[#This Row],[Village  Name]],SiteDB6[[Site Name]:[Pcode]],3,FALSE)</f>
        <v>220747</v>
      </c>
      <c r="BW355" s="559" t="str">
        <f t="shared" si="12"/>
        <v>Covered</v>
      </c>
      <c r="BX355" s="587"/>
    </row>
    <row r="356" spans="1:76">
      <c r="A356" s="612" t="s">
        <v>2381</v>
      </c>
      <c r="B356" s="612" t="s">
        <v>310</v>
      </c>
      <c r="C356" s="612" t="s">
        <v>310</v>
      </c>
      <c r="D356" s="457" t="s">
        <v>2681</v>
      </c>
      <c r="E356" s="551" t="s">
        <v>2686</v>
      </c>
      <c r="F356" s="457" t="s">
        <v>307</v>
      </c>
      <c r="G356" s="551" t="str">
        <f>VLOOKUP(WWWW[[#This Row],[Village  Name]],SiteDB6[[Site Name]:[Location Type]],8,FALSE)</f>
        <v>Village</v>
      </c>
      <c r="H356" s="457" t="s">
        <v>2012</v>
      </c>
      <c r="I356" s="611">
        <v>144</v>
      </c>
      <c r="J356" s="611">
        <v>742</v>
      </c>
      <c r="K356" s="461">
        <v>44134</v>
      </c>
      <c r="L356" s="55"/>
      <c r="M356" s="611"/>
      <c r="N356" s="611"/>
      <c r="O356" s="611"/>
      <c r="P356" s="611"/>
      <c r="Q356" s="611"/>
      <c r="R356" s="611"/>
      <c r="S356" s="611"/>
      <c r="T356" s="643"/>
      <c r="U356" s="611"/>
      <c r="V356" s="611" t="s">
        <v>132</v>
      </c>
      <c r="W356" s="611"/>
      <c r="X356" s="611"/>
      <c r="Y356" s="611"/>
      <c r="Z356" s="611"/>
      <c r="AA356" s="611"/>
      <c r="AB356" s="643"/>
      <c r="AC356" s="611"/>
      <c r="AD356" s="611"/>
      <c r="AE356" s="611"/>
      <c r="AF356" s="611"/>
      <c r="AG356" s="611"/>
      <c r="AH356" s="611"/>
      <c r="AI356" s="611"/>
      <c r="AJ356" s="611"/>
      <c r="AK356" s="611"/>
      <c r="AL356" s="611"/>
      <c r="AM356" s="643"/>
      <c r="AN356" s="611"/>
      <c r="AO356" s="611"/>
      <c r="AP35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6" s="565">
        <f>WWWW[[#This Row],[%Equitable and continuous access to sufficient quantity of safe drinking water]]*WWWW[[#This Row],[Total PoP ]]</f>
        <v>0</v>
      </c>
      <c r="AR35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6" s="565">
        <f>WWWW[[#This Row],[% Access to unimproved water points]]*WWWW[[#This Row],[Total PoP ]]</f>
        <v>0</v>
      </c>
      <c r="AT35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6" s="565">
        <f>WWWW[[#This Row],[HRP1]]/250</f>
        <v>0</v>
      </c>
      <c r="AW356" s="555">
        <f>1-WWWW[[#This Row],[% Equitable and continuous access to sufficient quantity of domestic water]]</f>
        <v>1</v>
      </c>
      <c r="AX356" s="565">
        <f>WWWW[[#This Row],[%equitable and continuous access to sufficient quantity of safe drinking and domestic water''s GAP]]*WWWW[[#This Row],[Total PoP ]]</f>
        <v>742</v>
      </c>
      <c r="AY356" s="557">
        <f>IF(WWWW[[#This Row],[Total required water points]]-WWWW[[#This Row],['#Water points coverage]]&lt;0,0,WWWW[[#This Row],[Total required water points]]-WWWW[[#This Row],['#Water points coverage]])</f>
        <v>3</v>
      </c>
      <c r="AZ356" s="557">
        <f>ROUND(IF(WWWW[[#This Row],[Total PoP ]]&lt;250,1,WWWW[[#This Row],[Total PoP ]]/250),0)</f>
        <v>3</v>
      </c>
      <c r="BA35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6" s="565">
        <f>WWWW[[#This Row],[% people access to functioning Latrine]]*WWWW[[#This Row],[Total PoP ]]</f>
        <v>0</v>
      </c>
      <c r="BC356" s="557">
        <f>WWWW[[#This Row],['#_of_Functioning_latrines_in_school]]*50</f>
        <v>0</v>
      </c>
      <c r="BD356" s="557">
        <f>ROUND((WWWW[[#This Row],[Total PoP ]]/6),0)</f>
        <v>124</v>
      </c>
      <c r="BE356" s="557">
        <f>IF(WWWW[[#This Row],[Total required Latrines]]-(WWWW[[#This Row],['#_of_sanitary_fly-proof_HH_latrines]])&lt;0,0,WWWW[[#This Row],[Total required Latrines]]-(WWWW[[#This Row],['#_of_sanitary_fly-proof_HH_latrines]]))</f>
        <v>124</v>
      </c>
      <c r="BF356" s="558">
        <f>1-WWWW[[#This Row],[% people access to functioning Latrine]]</f>
        <v>1</v>
      </c>
      <c r="BG35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6" s="565">
        <f>IF(WWWW[[#This Row],['#_of_functional_handwashing_facilities_at_HH_level]]*6&gt;WWWW[[#This Row],[Total PoP ]],WWWW[[#This Row],[Total PoP ]],WWWW[[#This Row],['#_of_functional_handwashing_facilities_at_HH_level]]*6)</f>
        <v>0</v>
      </c>
      <c r="BI356" s="557">
        <f>IF(WWWW[[#This Row],['# people reached by regular dedicated hygiene promotion]]&gt;WWWW[[#This Row],['# People received regular supply of hygiene items]],WWWW[[#This Row],['# people reached by regular dedicated hygiene promotion]],WWWW[[#This Row],['# People received regular supply of hygiene items]])</f>
        <v>0</v>
      </c>
      <c r="BJ356" s="555">
        <f>IF(WWWW[[#This Row],[HRP3]]/WWWW[[#This Row],[Total PoP ]]&gt;100%,100%,WWWW[[#This Row],[HRP3]]/WWWW[[#This Row],[Total PoP ]])</f>
        <v>0</v>
      </c>
      <c r="BK356" s="558">
        <f>1-WWWW[[#This Row],[Hygiene Coverage%]]</f>
        <v>1</v>
      </c>
      <c r="BL356" s="556">
        <f>WWWW[[#This Row],['# people reached by regular dedicated hygiene promotion]]/WWWW[[#This Row],[Total PoP ]]</f>
        <v>0</v>
      </c>
      <c r="BM35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6" s="557">
        <f>WWWW[[#This Row],['#_of_affected_women_and_girls_receiving_a_sufficient_quantity_of_sanitary_pads]]</f>
        <v>0</v>
      </c>
      <c r="BO356" s="611">
        <f>IF(WWWW[[#This Row],['# People with access to soap]]&gt;WWWW[[#This Row],['# People with access to Sanity Pads]],WWWW[[#This Row],['# People with access to soap]],WWWW[[#This Row],['# People with access to Sanity Pads]])</f>
        <v>0</v>
      </c>
      <c r="BP356" s="565" t="str">
        <f>IF(OR(WWWW[[#This Row],['#of students in school]]="",WWWW[[#This Row],['#of students in school]]=0),"No","Yes")</f>
        <v>No</v>
      </c>
      <c r="BQ356" s="559" t="str">
        <f>VLOOKUP(WWWW[[#This Row],[Village  Name]],SiteDB6[[Site Name]:[Location Type 1]],9,FALSE)</f>
        <v>Village</v>
      </c>
      <c r="BR356" s="559" t="str">
        <f>VLOOKUP(WWWW[[#This Row],[Village  Name]],SiteDB6[[Site Name]:[Type of Accommodation]],10,FALSE)</f>
        <v>Village</v>
      </c>
      <c r="BS356" s="559" t="str">
        <f>VLOOKUP(WWWW[[#This Row],[Village  Name]],SiteDB6[[Site Name]:[Ethnic or GCA/NGCA]],11,FALSE)</f>
        <v>Rakhine</v>
      </c>
      <c r="BT356" s="559">
        <f>VLOOKUP(WWWW[[#This Row],[Village  Name]],SiteDB6[[Site Name]:[Lat]],12,FALSE)</f>
        <v>21.177719119999999</v>
      </c>
      <c r="BU356" s="559">
        <f>VLOOKUP(WWWW[[#This Row],[Village  Name]],SiteDB6[[Site Name]:[Long]],13,FALSE)</f>
        <v>92.239547729999998</v>
      </c>
      <c r="BV356" s="559">
        <f>VLOOKUP(WWWW[[#This Row],[Village  Name]],SiteDB6[[Site Name]:[Pcode]],3,FALSE)</f>
        <v>198101</v>
      </c>
      <c r="BW356" s="559" t="str">
        <f t="shared" si="12"/>
        <v>Covered</v>
      </c>
      <c r="BX356" s="587"/>
    </row>
    <row r="357" spans="1:76" hidden="1">
      <c r="A357" s="612" t="s">
        <v>2381</v>
      </c>
      <c r="B357" s="612" t="s">
        <v>301</v>
      </c>
      <c r="C357" s="612" t="s">
        <v>301</v>
      </c>
      <c r="D357" s="457"/>
      <c r="E357" s="551" t="s">
        <v>2687</v>
      </c>
      <c r="F357" s="457" t="s">
        <v>314</v>
      </c>
      <c r="G357" s="551" t="str">
        <f>VLOOKUP(WWWW[[#This Row],[Village  Name]],SiteDB6[[Site Name]:[Location Type]],8,FALSE)</f>
        <v>Village</v>
      </c>
      <c r="H357" s="457" t="s">
        <v>462</v>
      </c>
      <c r="I357" s="611">
        <v>280</v>
      </c>
      <c r="J357" s="611">
        <v>1423</v>
      </c>
      <c r="K357" s="461"/>
      <c r="L357" s="55"/>
      <c r="M357" s="611"/>
      <c r="N357" s="611"/>
      <c r="O357" s="611"/>
      <c r="P357" s="611"/>
      <c r="Q357" s="611"/>
      <c r="R357" s="611"/>
      <c r="S357" s="611"/>
      <c r="T357" s="643"/>
      <c r="U357" s="611"/>
      <c r="V357" s="611" t="s">
        <v>132</v>
      </c>
      <c r="W357" s="611"/>
      <c r="X357" s="611"/>
      <c r="Y357" s="611"/>
      <c r="Z357" s="611"/>
      <c r="AA357" s="611"/>
      <c r="AB357" s="643"/>
      <c r="AC357" s="611"/>
      <c r="AD357" s="611"/>
      <c r="AE357" s="611"/>
      <c r="AF357" s="611"/>
      <c r="AG357" s="611"/>
      <c r="AH357" s="611"/>
      <c r="AI357" s="611"/>
      <c r="AJ357" s="611"/>
      <c r="AK357" s="611"/>
      <c r="AL357" s="611"/>
      <c r="AM357" s="643"/>
      <c r="AN357" s="611"/>
      <c r="AO357" s="611"/>
      <c r="AP35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7" s="565">
        <f>WWWW[[#This Row],[%Equitable and continuous access to sufficient quantity of safe drinking water]]*WWWW[[#This Row],[Total PoP ]]</f>
        <v>0</v>
      </c>
      <c r="AR35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7" s="565">
        <f>WWWW[[#This Row],[% Access to unimproved water points]]*WWWW[[#This Row],[Total PoP ]]</f>
        <v>0</v>
      </c>
      <c r="AT35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7" s="565">
        <f>WWWW[[#This Row],[HRP1]]/250</f>
        <v>0</v>
      </c>
      <c r="AW357" s="555">
        <f>1-WWWW[[#This Row],[% Equitable and continuous access to sufficient quantity of domestic water]]</f>
        <v>1</v>
      </c>
      <c r="AX357" s="565">
        <f>WWWW[[#This Row],[%equitable and continuous access to sufficient quantity of safe drinking and domestic water''s GAP]]*WWWW[[#This Row],[Total PoP ]]</f>
        <v>1423</v>
      </c>
      <c r="AY357" s="557">
        <f>IF(WWWW[[#This Row],[Total required water points]]-WWWW[[#This Row],['#Water points coverage]]&lt;0,0,WWWW[[#This Row],[Total required water points]]-WWWW[[#This Row],['#Water points coverage]])</f>
        <v>6</v>
      </c>
      <c r="AZ357" s="557">
        <f>ROUND(IF(WWWW[[#This Row],[Total PoP ]]&lt;250,1,WWWW[[#This Row],[Total PoP ]]/250),0)</f>
        <v>6</v>
      </c>
      <c r="BA35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7" s="565">
        <f>WWWW[[#This Row],[% people access to functioning Latrine]]*WWWW[[#This Row],[Total PoP ]]</f>
        <v>0</v>
      </c>
      <c r="BC357" s="557">
        <f>WWWW[[#This Row],['#_of_Functioning_latrines_in_school]]*50</f>
        <v>0</v>
      </c>
      <c r="BD357" s="557">
        <f>ROUND((WWWW[[#This Row],[Total PoP ]]/6),0)</f>
        <v>237</v>
      </c>
      <c r="BE357" s="557">
        <f>IF(WWWW[[#This Row],[Total required Latrines]]-(WWWW[[#This Row],['#_of_sanitary_fly-proof_HH_latrines]])&lt;0,0,WWWW[[#This Row],[Total required Latrines]]-(WWWW[[#This Row],['#_of_sanitary_fly-proof_HH_latrines]]))</f>
        <v>237</v>
      </c>
      <c r="BF357" s="558">
        <f>1-WWWW[[#This Row],[% people access to functioning Latrine]]</f>
        <v>1</v>
      </c>
      <c r="BG35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7" s="565">
        <f>IF(WWWW[[#This Row],['#_of_functional_handwashing_facilities_at_HH_level]]*6&gt;WWWW[[#This Row],[Total PoP ]],WWWW[[#This Row],[Total PoP ]],WWWW[[#This Row],['#_of_functional_handwashing_facilities_at_HH_level]]*6)</f>
        <v>0</v>
      </c>
      <c r="BI357" s="557">
        <f>IF(WWWW[[#This Row],['# people reached by regular dedicated hygiene promotion]]&gt;WWWW[[#This Row],['# People received regular supply of hygiene items]],WWWW[[#This Row],['# people reached by regular dedicated hygiene promotion]],WWWW[[#This Row],['# People received regular supply of hygiene items]])</f>
        <v>0</v>
      </c>
      <c r="BJ357" s="555">
        <f>IF(WWWW[[#This Row],[HRP3]]/WWWW[[#This Row],[Total PoP ]]&gt;100%,100%,WWWW[[#This Row],[HRP3]]/WWWW[[#This Row],[Total PoP ]])</f>
        <v>0</v>
      </c>
      <c r="BK357" s="558">
        <f>1-WWWW[[#This Row],[Hygiene Coverage%]]</f>
        <v>1</v>
      </c>
      <c r="BL357" s="556">
        <f>WWWW[[#This Row],['# people reached by regular dedicated hygiene promotion]]/WWWW[[#This Row],[Total PoP ]]</f>
        <v>0</v>
      </c>
      <c r="BM35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7" s="557">
        <f>WWWW[[#This Row],['#_of_affected_women_and_girls_receiving_a_sufficient_quantity_of_sanitary_pads]]</f>
        <v>0</v>
      </c>
      <c r="BO357" s="611">
        <f>IF(WWWW[[#This Row],['# People with access to soap]]&gt;WWWW[[#This Row],['# People with access to Sanity Pads]],WWWW[[#This Row],['# People with access to soap]],WWWW[[#This Row],['# People with access to Sanity Pads]])</f>
        <v>0</v>
      </c>
      <c r="BP357" s="565" t="str">
        <f>IF(OR(WWWW[[#This Row],['#of students in school]]="",WWWW[[#This Row],['#of students in school]]=0),"No","Yes")</f>
        <v>No</v>
      </c>
      <c r="BQ357" s="559" t="str">
        <f>VLOOKUP(WWWW[[#This Row],[Village  Name]],SiteDB6[[Site Name]:[Location Type 1]],9,FALSE)</f>
        <v>Village</v>
      </c>
      <c r="BR357" s="559" t="str">
        <f>VLOOKUP(WWWW[[#This Row],[Village  Name]],SiteDB6[[Site Name]:[Type of Accommodation]],10,FALSE)</f>
        <v>Returned</v>
      </c>
      <c r="BS357" s="559" t="str">
        <f>VLOOKUP(WWWW[[#This Row],[Village  Name]],SiteDB6[[Site Name]:[Ethnic or GCA/NGCA]],11,FALSE)</f>
        <v>Muslim</v>
      </c>
      <c r="BT357" s="559">
        <f>VLOOKUP(WWWW[[#This Row],[Village  Name]],SiteDB6[[Site Name]:[Lat]],12,FALSE)</f>
        <v>20.392137999999999</v>
      </c>
      <c r="BU357" s="559">
        <f>VLOOKUP(WWWW[[#This Row],[Village  Name]],SiteDB6[[Site Name]:[Long]],13,FALSE)</f>
        <v>93.257272</v>
      </c>
      <c r="BV357" s="559" t="str">
        <f>VLOOKUP(WWWW[[#This Row],[Village  Name]],SiteDB6[[Site Name]:[Pcode]],3,FALSE)</f>
        <v>MMR012CMP002</v>
      </c>
      <c r="BW357" s="559" t="str">
        <f t="shared" si="12"/>
        <v>Notcovered</v>
      </c>
      <c r="BX357" s="587"/>
    </row>
    <row r="358" spans="1:76" hidden="1">
      <c r="A358" s="612" t="s">
        <v>2381</v>
      </c>
      <c r="B358" s="612" t="s">
        <v>301</v>
      </c>
      <c r="C358" s="612" t="s">
        <v>301</v>
      </c>
      <c r="D358" s="457"/>
      <c r="E358" s="551" t="s">
        <v>2686</v>
      </c>
      <c r="F358" s="457" t="s">
        <v>339</v>
      </c>
      <c r="G358" s="551" t="str">
        <f>VLOOKUP(WWWW[[#This Row],[Village  Name]],SiteDB6[[Site Name]:[Location Type]],8,FALSE)</f>
        <v>Village</v>
      </c>
      <c r="H358" s="457" t="s">
        <v>468</v>
      </c>
      <c r="I358" s="611">
        <v>425</v>
      </c>
      <c r="J358" s="611">
        <v>2552</v>
      </c>
      <c r="K358" s="461"/>
      <c r="L358" s="55"/>
      <c r="M358" s="611"/>
      <c r="N358" s="611"/>
      <c r="O358" s="611"/>
      <c r="P358" s="611"/>
      <c r="Q358" s="611"/>
      <c r="R358" s="611"/>
      <c r="S358" s="611"/>
      <c r="T358" s="643"/>
      <c r="U358" s="611"/>
      <c r="V358" s="611" t="s">
        <v>132</v>
      </c>
      <c r="W358" s="611"/>
      <c r="X358" s="611"/>
      <c r="Y358" s="611"/>
      <c r="Z358" s="611"/>
      <c r="AA358" s="611"/>
      <c r="AB358" s="643"/>
      <c r="AC358" s="611"/>
      <c r="AD358" s="611"/>
      <c r="AE358" s="611"/>
      <c r="AF358" s="611"/>
      <c r="AG358" s="611"/>
      <c r="AH358" s="611"/>
      <c r="AI358" s="611"/>
      <c r="AJ358" s="611"/>
      <c r="AK358" s="611"/>
      <c r="AL358" s="611"/>
      <c r="AM358" s="643"/>
      <c r="AN358" s="611"/>
      <c r="AO358" s="611"/>
      <c r="AP35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8" s="565">
        <f>WWWW[[#This Row],[%Equitable and continuous access to sufficient quantity of safe drinking water]]*WWWW[[#This Row],[Total PoP ]]</f>
        <v>0</v>
      </c>
      <c r="AR35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8" s="565">
        <f>WWWW[[#This Row],[% Access to unimproved water points]]*WWWW[[#This Row],[Total PoP ]]</f>
        <v>0</v>
      </c>
      <c r="AT35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8" s="565">
        <f>WWWW[[#This Row],[HRP1]]/250</f>
        <v>0</v>
      </c>
      <c r="AW358" s="555">
        <f>1-WWWW[[#This Row],[% Equitable and continuous access to sufficient quantity of domestic water]]</f>
        <v>1</v>
      </c>
      <c r="AX358" s="565">
        <f>WWWW[[#This Row],[%equitable and continuous access to sufficient quantity of safe drinking and domestic water''s GAP]]*WWWW[[#This Row],[Total PoP ]]</f>
        <v>2552</v>
      </c>
      <c r="AY358" s="557">
        <f>IF(WWWW[[#This Row],[Total required water points]]-WWWW[[#This Row],['#Water points coverage]]&lt;0,0,WWWW[[#This Row],[Total required water points]]-WWWW[[#This Row],['#Water points coverage]])</f>
        <v>10</v>
      </c>
      <c r="AZ358" s="557">
        <f>ROUND(IF(WWWW[[#This Row],[Total PoP ]]&lt;250,1,WWWW[[#This Row],[Total PoP ]]/250),0)</f>
        <v>10</v>
      </c>
      <c r="BA35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8" s="565">
        <f>WWWW[[#This Row],[% people access to functioning Latrine]]*WWWW[[#This Row],[Total PoP ]]</f>
        <v>0</v>
      </c>
      <c r="BC358" s="557">
        <f>WWWW[[#This Row],['#_of_Functioning_latrines_in_school]]*50</f>
        <v>0</v>
      </c>
      <c r="BD358" s="557">
        <f>ROUND((WWWW[[#This Row],[Total PoP ]]/6),0)</f>
        <v>425</v>
      </c>
      <c r="BE358" s="557">
        <f>IF(WWWW[[#This Row],[Total required Latrines]]-(WWWW[[#This Row],['#_of_sanitary_fly-proof_HH_latrines]])&lt;0,0,WWWW[[#This Row],[Total required Latrines]]-(WWWW[[#This Row],['#_of_sanitary_fly-proof_HH_latrines]]))</f>
        <v>425</v>
      </c>
      <c r="BF358" s="558">
        <f>1-WWWW[[#This Row],[% people access to functioning Latrine]]</f>
        <v>1</v>
      </c>
      <c r="BG35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8" s="565">
        <f>IF(WWWW[[#This Row],['#_of_functional_handwashing_facilities_at_HH_level]]*6&gt;WWWW[[#This Row],[Total PoP ]],WWWW[[#This Row],[Total PoP ]],WWWW[[#This Row],['#_of_functional_handwashing_facilities_at_HH_level]]*6)</f>
        <v>0</v>
      </c>
      <c r="BI358" s="557">
        <f>IF(WWWW[[#This Row],['# people reached by regular dedicated hygiene promotion]]&gt;WWWW[[#This Row],['# People received regular supply of hygiene items]],WWWW[[#This Row],['# people reached by regular dedicated hygiene promotion]],WWWW[[#This Row],['# People received regular supply of hygiene items]])</f>
        <v>0</v>
      </c>
      <c r="BJ358" s="555">
        <f>IF(WWWW[[#This Row],[HRP3]]/WWWW[[#This Row],[Total PoP ]]&gt;100%,100%,WWWW[[#This Row],[HRP3]]/WWWW[[#This Row],[Total PoP ]])</f>
        <v>0</v>
      </c>
      <c r="BK358" s="558">
        <f>1-WWWW[[#This Row],[Hygiene Coverage%]]</f>
        <v>1</v>
      </c>
      <c r="BL358" s="556">
        <f>WWWW[[#This Row],['# people reached by regular dedicated hygiene promotion]]/WWWW[[#This Row],[Total PoP ]]</f>
        <v>0</v>
      </c>
      <c r="BM35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8" s="557">
        <f>WWWW[[#This Row],['#_of_affected_women_and_girls_receiving_a_sufficient_quantity_of_sanitary_pads]]</f>
        <v>0</v>
      </c>
      <c r="BO358" s="611">
        <f>IF(WWWW[[#This Row],['# People with access to soap]]&gt;WWWW[[#This Row],['# People with access to Sanity Pads]],WWWW[[#This Row],['# People with access to soap]],WWWW[[#This Row],['# People with access to Sanity Pads]])</f>
        <v>0</v>
      </c>
      <c r="BP358" s="565" t="str">
        <f>IF(OR(WWWW[[#This Row],['#of students in school]]="",WWWW[[#This Row],['#of students in school]]=0),"No","Yes")</f>
        <v>No</v>
      </c>
      <c r="BQ358" s="559" t="str">
        <f>VLOOKUP(WWWW[[#This Row],[Village  Name]],SiteDB6[[Site Name]:[Location Type 1]],9,FALSE)</f>
        <v>Village</v>
      </c>
      <c r="BR358" s="559" t="str">
        <f>VLOOKUP(WWWW[[#This Row],[Village  Name]],SiteDB6[[Site Name]:[Type of Accommodation]],10,FALSE)</f>
        <v>Returned</v>
      </c>
      <c r="BS358" s="559" t="str">
        <f>VLOOKUP(WWWW[[#This Row],[Village  Name]],SiteDB6[[Site Name]:[Ethnic or GCA/NGCA]],11,FALSE)</f>
        <v>Muslim</v>
      </c>
      <c r="BT358" s="559">
        <f>VLOOKUP(WWWW[[#This Row],[Village  Name]],SiteDB6[[Site Name]:[Lat]],12,FALSE)</f>
        <v>20.399269</v>
      </c>
      <c r="BU358" s="559">
        <f>VLOOKUP(WWWW[[#This Row],[Village  Name]],SiteDB6[[Site Name]:[Long]],13,FALSE)</f>
        <v>92.781294000000003</v>
      </c>
      <c r="BV358" s="559" t="str">
        <f>VLOOKUP(WWWW[[#This Row],[Village  Name]],SiteDB6[[Site Name]:[Pcode]],3,FALSE)</f>
        <v>MMR012CMP032</v>
      </c>
      <c r="BW358" s="559" t="str">
        <f t="shared" si="12"/>
        <v>Notcovered</v>
      </c>
      <c r="BX358" s="587"/>
    </row>
    <row r="359" spans="1:76" hidden="1">
      <c r="A359" s="612" t="s">
        <v>2381</v>
      </c>
      <c r="B359" s="612" t="s">
        <v>301</v>
      </c>
      <c r="C359" s="612" t="s">
        <v>301</v>
      </c>
      <c r="D359" s="457"/>
      <c r="E359" s="551" t="s">
        <v>2686</v>
      </c>
      <c r="F359" s="457" t="s">
        <v>339</v>
      </c>
      <c r="G359" s="551" t="str">
        <f>VLOOKUP(WWWW[[#This Row],[Village  Name]],SiteDB6[[Site Name]:[Location Type]],8,FALSE)</f>
        <v>Village</v>
      </c>
      <c r="H359" s="457" t="s">
        <v>459</v>
      </c>
      <c r="I359" s="611">
        <v>292</v>
      </c>
      <c r="J359" s="611">
        <v>1751</v>
      </c>
      <c r="K359" s="461"/>
      <c r="L359" s="55"/>
      <c r="M359" s="611"/>
      <c r="N359" s="611"/>
      <c r="O359" s="611"/>
      <c r="P359" s="611"/>
      <c r="Q359" s="611"/>
      <c r="R359" s="611"/>
      <c r="S359" s="611"/>
      <c r="T359" s="643"/>
      <c r="U359" s="611"/>
      <c r="V359" s="611" t="s">
        <v>132</v>
      </c>
      <c r="W359" s="611"/>
      <c r="X359" s="611"/>
      <c r="Y359" s="611"/>
      <c r="Z359" s="611"/>
      <c r="AA359" s="611"/>
      <c r="AB359" s="643"/>
      <c r="AC359" s="611"/>
      <c r="AD359" s="611"/>
      <c r="AE359" s="611"/>
      <c r="AF359" s="611"/>
      <c r="AG359" s="611"/>
      <c r="AH359" s="611"/>
      <c r="AI359" s="611"/>
      <c r="AJ359" s="611"/>
      <c r="AK359" s="611"/>
      <c r="AL359" s="611"/>
      <c r="AM359" s="643"/>
      <c r="AN359" s="611"/>
      <c r="AO359" s="611"/>
      <c r="AP35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59" s="565">
        <f>WWWW[[#This Row],[%Equitable and continuous access to sufficient quantity of safe drinking water]]*WWWW[[#This Row],[Total PoP ]]</f>
        <v>0</v>
      </c>
      <c r="AR35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59" s="565">
        <f>WWWW[[#This Row],[% Access to unimproved water points]]*WWWW[[#This Row],[Total PoP ]]</f>
        <v>0</v>
      </c>
      <c r="AT35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5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59" s="565">
        <f>WWWW[[#This Row],[HRP1]]/250</f>
        <v>0</v>
      </c>
      <c r="AW359" s="555">
        <f>1-WWWW[[#This Row],[% Equitable and continuous access to sufficient quantity of domestic water]]</f>
        <v>1</v>
      </c>
      <c r="AX359" s="565">
        <f>WWWW[[#This Row],[%equitable and continuous access to sufficient quantity of safe drinking and domestic water''s GAP]]*WWWW[[#This Row],[Total PoP ]]</f>
        <v>1751</v>
      </c>
      <c r="AY359" s="557">
        <f>IF(WWWW[[#This Row],[Total required water points]]-WWWW[[#This Row],['#Water points coverage]]&lt;0,0,WWWW[[#This Row],[Total required water points]]-WWWW[[#This Row],['#Water points coverage]])</f>
        <v>7</v>
      </c>
      <c r="AZ359" s="557">
        <f>ROUND(IF(WWWW[[#This Row],[Total PoP ]]&lt;250,1,WWWW[[#This Row],[Total PoP ]]/250),0)</f>
        <v>7</v>
      </c>
      <c r="BA35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59" s="565">
        <f>WWWW[[#This Row],[% people access to functioning Latrine]]*WWWW[[#This Row],[Total PoP ]]</f>
        <v>0</v>
      </c>
      <c r="BC359" s="557">
        <f>WWWW[[#This Row],['#_of_Functioning_latrines_in_school]]*50</f>
        <v>0</v>
      </c>
      <c r="BD359" s="557">
        <f>ROUND((WWWW[[#This Row],[Total PoP ]]/6),0)</f>
        <v>292</v>
      </c>
      <c r="BE359" s="557">
        <f>IF(WWWW[[#This Row],[Total required Latrines]]-(WWWW[[#This Row],['#_of_sanitary_fly-proof_HH_latrines]])&lt;0,0,WWWW[[#This Row],[Total required Latrines]]-(WWWW[[#This Row],['#_of_sanitary_fly-proof_HH_latrines]]))</f>
        <v>292</v>
      </c>
      <c r="BF359" s="558">
        <f>1-WWWW[[#This Row],[% people access to functioning Latrine]]</f>
        <v>1</v>
      </c>
      <c r="BG35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59" s="565">
        <f>IF(WWWW[[#This Row],['#_of_functional_handwashing_facilities_at_HH_level]]*6&gt;WWWW[[#This Row],[Total PoP ]],WWWW[[#This Row],[Total PoP ]],WWWW[[#This Row],['#_of_functional_handwashing_facilities_at_HH_level]]*6)</f>
        <v>0</v>
      </c>
      <c r="BI359" s="557">
        <f>IF(WWWW[[#This Row],['# people reached by regular dedicated hygiene promotion]]&gt;WWWW[[#This Row],['# People received regular supply of hygiene items]],WWWW[[#This Row],['# people reached by regular dedicated hygiene promotion]],WWWW[[#This Row],['# People received regular supply of hygiene items]])</f>
        <v>0</v>
      </c>
      <c r="BJ359" s="555">
        <f>IF(WWWW[[#This Row],[HRP3]]/WWWW[[#This Row],[Total PoP ]]&gt;100%,100%,WWWW[[#This Row],[HRP3]]/WWWW[[#This Row],[Total PoP ]])</f>
        <v>0</v>
      </c>
      <c r="BK359" s="558">
        <f>1-WWWW[[#This Row],[Hygiene Coverage%]]</f>
        <v>1</v>
      </c>
      <c r="BL359" s="556">
        <f>WWWW[[#This Row],['# people reached by regular dedicated hygiene promotion]]/WWWW[[#This Row],[Total PoP ]]</f>
        <v>0</v>
      </c>
      <c r="BM35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59" s="557">
        <f>WWWW[[#This Row],['#_of_affected_women_and_girls_receiving_a_sufficient_quantity_of_sanitary_pads]]</f>
        <v>0</v>
      </c>
      <c r="BO359" s="611">
        <f>IF(WWWW[[#This Row],['# People with access to soap]]&gt;WWWW[[#This Row],['# People with access to Sanity Pads]],WWWW[[#This Row],['# People with access to soap]],WWWW[[#This Row],['# People with access to Sanity Pads]])</f>
        <v>0</v>
      </c>
      <c r="BP359" s="565" t="str">
        <f>IF(OR(WWWW[[#This Row],['#of students in school]]="",WWWW[[#This Row],['#of students in school]]=0),"No","Yes")</f>
        <v>No</v>
      </c>
      <c r="BQ359" s="559" t="str">
        <f>VLOOKUP(WWWW[[#This Row],[Village  Name]],SiteDB6[[Site Name]:[Location Type 1]],9,FALSE)</f>
        <v>Village</v>
      </c>
      <c r="BR359" s="559" t="str">
        <f>VLOOKUP(WWWW[[#This Row],[Village  Name]],SiteDB6[[Site Name]:[Type of Accommodation]],10,FALSE)</f>
        <v>Returned</v>
      </c>
      <c r="BS359" s="559" t="str">
        <f>VLOOKUP(WWWW[[#This Row],[Village  Name]],SiteDB6[[Site Name]:[Ethnic or GCA/NGCA]],11,FALSE)</f>
        <v>Muslim</v>
      </c>
      <c r="BT359" s="559">
        <f>VLOOKUP(WWWW[[#This Row],[Village  Name]],SiteDB6[[Site Name]:[Lat]],12,FALSE)</f>
        <v>20.335864000000001</v>
      </c>
      <c r="BU359" s="559">
        <f>VLOOKUP(WWWW[[#This Row],[Village  Name]],SiteDB6[[Site Name]:[Long]],13,FALSE)</f>
        <v>92.785706000000005</v>
      </c>
      <c r="BV359" s="559" t="str">
        <f>VLOOKUP(WWWW[[#This Row],[Village  Name]],SiteDB6[[Site Name]:[Pcode]],3,FALSE)</f>
        <v>MMR012CMP031</v>
      </c>
      <c r="BW359" s="559" t="str">
        <f t="shared" si="12"/>
        <v>Notcovered</v>
      </c>
      <c r="BX359" s="587"/>
    </row>
    <row r="360" spans="1:76">
      <c r="A360" s="612" t="s">
        <v>2381</v>
      </c>
      <c r="B360" s="612" t="s">
        <v>320</v>
      </c>
      <c r="C360" s="457" t="s">
        <v>320</v>
      </c>
      <c r="D360" s="457" t="s">
        <v>291</v>
      </c>
      <c r="E360" s="551" t="s">
        <v>2687</v>
      </c>
      <c r="F360" s="457" t="s">
        <v>304</v>
      </c>
      <c r="G360" s="551" t="str">
        <f>VLOOKUP(WWWW[[#This Row],[Village  Name]],SiteDB6[[Site Name]:[Location Type]],8,FALSE)</f>
        <v>Village</v>
      </c>
      <c r="H360" s="457" t="s">
        <v>3004</v>
      </c>
      <c r="I360" s="611">
        <v>26</v>
      </c>
      <c r="J360" s="611">
        <v>89</v>
      </c>
      <c r="K360" s="461">
        <v>43678</v>
      </c>
      <c r="L360" s="55">
        <v>43738</v>
      </c>
      <c r="M360" s="611">
        <v>17</v>
      </c>
      <c r="N360" s="611">
        <v>31</v>
      </c>
      <c r="O360" s="611"/>
      <c r="P360" s="611"/>
      <c r="Q360" s="611">
        <v>1</v>
      </c>
      <c r="R360" s="611"/>
      <c r="S360" s="611"/>
      <c r="T360" s="643"/>
      <c r="U360" s="611">
        <v>10</v>
      </c>
      <c r="V360" s="611" t="s">
        <v>128</v>
      </c>
      <c r="W360" s="611">
        <v>2</v>
      </c>
      <c r="X360" s="611">
        <v>5</v>
      </c>
      <c r="Y360" s="611"/>
      <c r="Z360" s="611"/>
      <c r="AA360" s="611"/>
      <c r="AB360" s="643"/>
      <c r="AC360" s="611"/>
      <c r="AD360" s="611"/>
      <c r="AE360" s="611"/>
      <c r="AF360" s="611"/>
      <c r="AG360" s="611"/>
      <c r="AH360" s="611"/>
      <c r="AI360" s="611"/>
      <c r="AJ360" s="611"/>
      <c r="AK360" s="611"/>
      <c r="AL360" s="611"/>
      <c r="AM360" s="643"/>
      <c r="AN360" s="611"/>
      <c r="AO360" s="611"/>
      <c r="AP36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0" s="565">
        <f>WWWW[[#This Row],[%Equitable and continuous access to sufficient quantity of safe drinking water]]*WWWW[[#This Row],[Total PoP ]]</f>
        <v>0</v>
      </c>
      <c r="AR36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0" s="565">
        <f>WWWW[[#This Row],[% Access to unimproved water points]]*WWWW[[#This Row],[Total PoP ]]</f>
        <v>89</v>
      </c>
      <c r="AT36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v>
      </c>
      <c r="AV360" s="565">
        <f>WWWW[[#This Row],[HRP1]]/250</f>
        <v>0.35599999999999998</v>
      </c>
      <c r="AW360" s="555">
        <f>1-WWWW[[#This Row],[% Equitable and continuous access to sufficient quantity of domestic water]]</f>
        <v>0</v>
      </c>
      <c r="AX360" s="565">
        <f>WWWW[[#This Row],[%equitable and continuous access to sufficient quantity of safe drinking and domestic water''s GAP]]*WWWW[[#This Row],[Total PoP ]]</f>
        <v>0</v>
      </c>
      <c r="AY360" s="557">
        <f>IF(WWWW[[#This Row],[Total required water points]]-WWWW[[#This Row],['#Water points coverage]]&lt;0,0,WWWW[[#This Row],[Total required water points]]-WWWW[[#This Row],['#Water points coverage]])</f>
        <v>0.64400000000000002</v>
      </c>
      <c r="AZ360" s="557">
        <f>ROUND(IF(WWWW[[#This Row],[Total PoP ]]&lt;250,1,WWWW[[#This Row],[Total PoP ]]/250),0)</f>
        <v>1</v>
      </c>
      <c r="BA36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60" s="565">
        <f>WWWW[[#This Row],[% people access to functioning Latrine]]*WWWW[[#This Row],[Total PoP ]]</f>
        <v>89</v>
      </c>
      <c r="BC360" s="557">
        <f>WWWW[[#This Row],['#_of_Functioning_latrines_in_school]]*50</f>
        <v>100</v>
      </c>
      <c r="BD360" s="557">
        <f>ROUND((WWWW[[#This Row],[Total PoP ]]/6),0)</f>
        <v>15</v>
      </c>
      <c r="BE360" s="557">
        <f>IF(WWWW[[#This Row],[Total required Latrines]]-(WWWW[[#This Row],['#_of_sanitary_fly-proof_HH_latrines]])&lt;0,0,WWWW[[#This Row],[Total required Latrines]]-(WWWW[[#This Row],['#_of_sanitary_fly-proof_HH_latrines]]))</f>
        <v>5</v>
      </c>
      <c r="BF360" s="558">
        <f>1-WWWW[[#This Row],[% people access to functioning Latrine]]</f>
        <v>0</v>
      </c>
      <c r="BG36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60" s="565">
        <f>IF(WWWW[[#This Row],['#_of_functional_handwashing_facilities_at_HH_level]]*6&gt;WWWW[[#This Row],[Total PoP ]],WWWW[[#This Row],[Total PoP ]],WWWW[[#This Row],['#_of_functional_handwashing_facilities_at_HH_level]]*6)</f>
        <v>0</v>
      </c>
      <c r="BI360" s="557">
        <f>IF(WWWW[[#This Row],['# people reached by regular dedicated hygiene promotion]]&gt;WWWW[[#This Row],['# People received regular supply of hygiene items]],WWWW[[#This Row],['# people reached by regular dedicated hygiene promotion]],WWWW[[#This Row],['# People received regular supply of hygiene items]])</f>
        <v>0</v>
      </c>
      <c r="BJ360" s="555">
        <f>IF(WWWW[[#This Row],[HRP3]]/WWWW[[#This Row],[Total PoP ]]&gt;100%,100%,WWWW[[#This Row],[HRP3]]/WWWW[[#This Row],[Total PoP ]])</f>
        <v>0</v>
      </c>
      <c r="BK360" s="558">
        <f>1-WWWW[[#This Row],[Hygiene Coverage%]]</f>
        <v>1</v>
      </c>
      <c r="BL360" s="556">
        <f>WWWW[[#This Row],['# people reached by regular dedicated hygiene promotion]]/WWWW[[#This Row],[Total PoP ]]</f>
        <v>0</v>
      </c>
      <c r="BM36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0" s="557">
        <f>WWWW[[#This Row],['#_of_affected_women_and_girls_receiving_a_sufficient_quantity_of_sanitary_pads]]</f>
        <v>0</v>
      </c>
      <c r="BO360" s="611">
        <f>IF(WWWW[[#This Row],['# People with access to soap]]&gt;WWWW[[#This Row],['# People with access to Sanity Pads]],WWWW[[#This Row],['# People with access to soap]],WWWW[[#This Row],['# People with access to Sanity Pads]])</f>
        <v>0</v>
      </c>
      <c r="BP360" s="565" t="str">
        <f>IF(OR(WWWW[[#This Row],['#of students in school]]="",WWWW[[#This Row],['#of students in school]]=0),"No","Yes")</f>
        <v>Yes</v>
      </c>
      <c r="BQ360" s="559" t="str">
        <f>VLOOKUP(WWWW[[#This Row],[Village  Name]],SiteDB6[[Site Name]:[Location Type 1]],9,FALSE)</f>
        <v>Village</v>
      </c>
      <c r="BR360" s="559" t="str">
        <f>VLOOKUP(WWWW[[#This Row],[Village  Name]],SiteDB6[[Site Name]:[Type of Accommodation]],10,FALSE)</f>
        <v>Village</v>
      </c>
      <c r="BS360" s="559">
        <f>VLOOKUP(WWWW[[#This Row],[Village  Name]],SiteDB6[[Site Name]:[Ethnic or GCA/NGCA]],11,FALSE)</f>
        <v>0</v>
      </c>
      <c r="BT360" s="559">
        <f>VLOOKUP(WWWW[[#This Row],[Village  Name]],SiteDB6[[Site Name]:[Lat]],12,FALSE)</f>
        <v>0</v>
      </c>
      <c r="BU360" s="559">
        <f>VLOOKUP(WWWW[[#This Row],[Village  Name]],SiteDB6[[Site Name]:[Long]],13,FALSE)</f>
        <v>0</v>
      </c>
      <c r="BV360" s="559">
        <f>VLOOKUP(WWWW[[#This Row],[Village  Name]],SiteDB6[[Site Name]:[Pcode]],3,FALSE)</f>
        <v>0</v>
      </c>
      <c r="BW360" s="559" t="str">
        <f t="shared" ref="BW360:BW379" si="13">IF(C360="none","Notcovered","Covered")</f>
        <v>Covered</v>
      </c>
      <c r="BX360" s="587"/>
    </row>
    <row r="361" spans="1:76">
      <c r="A361" s="612" t="s">
        <v>2381</v>
      </c>
      <c r="B361" s="612" t="s">
        <v>320</v>
      </c>
      <c r="C361" s="457" t="s">
        <v>320</v>
      </c>
      <c r="D361" s="457" t="s">
        <v>291</v>
      </c>
      <c r="E361" s="551" t="s">
        <v>2687</v>
      </c>
      <c r="F361" s="457" t="s">
        <v>304</v>
      </c>
      <c r="G361" s="551" t="str">
        <f>VLOOKUP(WWWW[[#This Row],[Village  Name]],SiteDB6[[Site Name]:[Location Type]],8,FALSE)</f>
        <v>Village</v>
      </c>
      <c r="H361" s="457" t="s">
        <v>3005</v>
      </c>
      <c r="I361" s="611">
        <v>148</v>
      </c>
      <c r="J361" s="611">
        <v>759</v>
      </c>
      <c r="K361" s="461">
        <v>43678</v>
      </c>
      <c r="L361" s="55">
        <v>43738</v>
      </c>
      <c r="M361" s="611">
        <v>84</v>
      </c>
      <c r="N361" s="611">
        <v>31</v>
      </c>
      <c r="O361" s="611"/>
      <c r="P361" s="611"/>
      <c r="Q361" s="611">
        <v>2</v>
      </c>
      <c r="R361" s="611"/>
      <c r="S361" s="611"/>
      <c r="T361" s="643"/>
      <c r="U361" s="611">
        <v>40</v>
      </c>
      <c r="V361" s="611" t="s">
        <v>128</v>
      </c>
      <c r="W361" s="611">
        <v>2</v>
      </c>
      <c r="X361" s="611">
        <v>4</v>
      </c>
      <c r="Y361" s="611"/>
      <c r="Z361" s="611"/>
      <c r="AA361" s="611"/>
      <c r="AB361" s="643"/>
      <c r="AC361" s="611"/>
      <c r="AD361" s="611"/>
      <c r="AE361" s="611"/>
      <c r="AF361" s="611"/>
      <c r="AG361" s="611"/>
      <c r="AH361" s="611"/>
      <c r="AI361" s="611"/>
      <c r="AJ361" s="611"/>
      <c r="AK361" s="611"/>
      <c r="AL361" s="611"/>
      <c r="AM361" s="643"/>
      <c r="AN361" s="611"/>
      <c r="AO361" s="611"/>
      <c r="AP36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1" s="565">
        <f>WWWW[[#This Row],[%Equitable and continuous access to sufficient quantity of safe drinking water]]*WWWW[[#This Row],[Total PoP ]]</f>
        <v>0</v>
      </c>
      <c r="AR36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1" s="565">
        <f>WWWW[[#This Row],[% Access to unimproved water points]]*WWWW[[#This Row],[Total PoP ]]</f>
        <v>759</v>
      </c>
      <c r="AT36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759</v>
      </c>
      <c r="AV361" s="565">
        <f>WWWW[[#This Row],[HRP1]]/250</f>
        <v>3.036</v>
      </c>
      <c r="AW361" s="555">
        <f>1-WWWW[[#This Row],[% Equitable and continuous access to sufficient quantity of domestic water]]</f>
        <v>0</v>
      </c>
      <c r="AX361" s="565">
        <f>WWWW[[#This Row],[%equitable and continuous access to sufficient quantity of safe drinking and domestic water''s GAP]]*WWWW[[#This Row],[Total PoP ]]</f>
        <v>0</v>
      </c>
      <c r="AY361" s="557">
        <f>IF(WWWW[[#This Row],[Total required water points]]-WWWW[[#This Row],['#Water points coverage]]&lt;0,0,WWWW[[#This Row],[Total required water points]]-WWWW[[#This Row],['#Water points coverage]])</f>
        <v>0</v>
      </c>
      <c r="AZ361" s="557">
        <f>ROUND(IF(WWWW[[#This Row],[Total PoP ]]&lt;250,1,WWWW[[#This Row],[Total PoP ]]/250),0)</f>
        <v>3</v>
      </c>
      <c r="BA361"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0.44795783926218707</v>
      </c>
      <c r="BB361" s="565">
        <f>WWWW[[#This Row],[% people access to functioning Latrine]]*WWWW[[#This Row],[Total PoP ]]</f>
        <v>340</v>
      </c>
      <c r="BC361" s="557">
        <f>WWWW[[#This Row],['#_of_Functioning_latrines_in_school]]*50</f>
        <v>100</v>
      </c>
      <c r="BD361" s="557">
        <f>ROUND((WWWW[[#This Row],[Total PoP ]]/6),0)</f>
        <v>127</v>
      </c>
      <c r="BE361" s="557">
        <f>IF(WWWW[[#This Row],[Total required Latrines]]-(WWWW[[#This Row],['#_of_sanitary_fly-proof_HH_latrines]])&lt;0,0,WWWW[[#This Row],[Total required Latrines]]-(WWWW[[#This Row],['#_of_sanitary_fly-proof_HH_latrines]]))</f>
        <v>87</v>
      </c>
      <c r="BF361" s="558">
        <f>1-WWWW[[#This Row],[% people access to functioning Latrine]]</f>
        <v>0.55204216073781298</v>
      </c>
      <c r="BG36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61" s="565">
        <f>IF(WWWW[[#This Row],['#_of_functional_handwashing_facilities_at_HH_level]]*6&gt;WWWW[[#This Row],[Total PoP ]],WWWW[[#This Row],[Total PoP ]],WWWW[[#This Row],['#_of_functional_handwashing_facilities_at_HH_level]]*6)</f>
        <v>0</v>
      </c>
      <c r="BI361" s="557">
        <f>IF(WWWW[[#This Row],['# people reached by regular dedicated hygiene promotion]]&gt;WWWW[[#This Row],['# People received regular supply of hygiene items]],WWWW[[#This Row],['# people reached by regular dedicated hygiene promotion]],WWWW[[#This Row],['# People received regular supply of hygiene items]])</f>
        <v>0</v>
      </c>
      <c r="BJ361" s="555">
        <f>IF(WWWW[[#This Row],[HRP3]]/WWWW[[#This Row],[Total PoP ]]&gt;100%,100%,WWWW[[#This Row],[HRP3]]/WWWW[[#This Row],[Total PoP ]])</f>
        <v>0</v>
      </c>
      <c r="BK361" s="558">
        <f>1-WWWW[[#This Row],[Hygiene Coverage%]]</f>
        <v>1</v>
      </c>
      <c r="BL361" s="556">
        <f>WWWW[[#This Row],['# people reached by regular dedicated hygiene promotion]]/WWWW[[#This Row],[Total PoP ]]</f>
        <v>0</v>
      </c>
      <c r="BM36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1" s="557">
        <f>WWWW[[#This Row],['#_of_affected_women_and_girls_receiving_a_sufficient_quantity_of_sanitary_pads]]</f>
        <v>0</v>
      </c>
      <c r="BO361" s="611">
        <f>IF(WWWW[[#This Row],['# People with access to soap]]&gt;WWWW[[#This Row],['# People with access to Sanity Pads]],WWWW[[#This Row],['# People with access to soap]],WWWW[[#This Row],['# People with access to Sanity Pads]])</f>
        <v>0</v>
      </c>
      <c r="BP361" s="565" t="str">
        <f>IF(OR(WWWW[[#This Row],['#of students in school]]="",WWWW[[#This Row],['#of students in school]]=0),"No","Yes")</f>
        <v>Yes</v>
      </c>
      <c r="BQ361" s="559" t="str">
        <f>VLOOKUP(WWWW[[#This Row],[Village  Name]],SiteDB6[[Site Name]:[Location Type 1]],9,FALSE)</f>
        <v>Village</v>
      </c>
      <c r="BR361" s="559" t="str">
        <f>VLOOKUP(WWWW[[#This Row],[Village  Name]],SiteDB6[[Site Name]:[Type of Accommodation]],10,FALSE)</f>
        <v>Village</v>
      </c>
      <c r="BS361" s="559">
        <f>VLOOKUP(WWWW[[#This Row],[Village  Name]],SiteDB6[[Site Name]:[Ethnic or GCA/NGCA]],11,FALSE)</f>
        <v>0</v>
      </c>
      <c r="BT361" s="559">
        <f>VLOOKUP(WWWW[[#This Row],[Village  Name]],SiteDB6[[Site Name]:[Lat]],12,FALSE)</f>
        <v>0</v>
      </c>
      <c r="BU361" s="559">
        <f>VLOOKUP(WWWW[[#This Row],[Village  Name]],SiteDB6[[Site Name]:[Long]],13,FALSE)</f>
        <v>0</v>
      </c>
      <c r="BV361" s="559">
        <f>VLOOKUP(WWWW[[#This Row],[Village  Name]],SiteDB6[[Site Name]:[Pcode]],3,FALSE)</f>
        <v>0</v>
      </c>
      <c r="BW361" s="559" t="str">
        <f t="shared" si="13"/>
        <v>Covered</v>
      </c>
      <c r="BX361" s="587"/>
    </row>
    <row r="362" spans="1:76">
      <c r="A362" s="612" t="s">
        <v>2381</v>
      </c>
      <c r="B362" s="612" t="s">
        <v>320</v>
      </c>
      <c r="C362" s="457" t="s">
        <v>320</v>
      </c>
      <c r="D362" s="457" t="s">
        <v>291</v>
      </c>
      <c r="E362" s="551" t="s">
        <v>2687</v>
      </c>
      <c r="F362" s="457" t="s">
        <v>304</v>
      </c>
      <c r="G362" s="551" t="str">
        <f>VLOOKUP(WWWW[[#This Row],[Village  Name]],SiteDB6[[Site Name]:[Location Type]],8,FALSE)</f>
        <v>Village</v>
      </c>
      <c r="H362" s="457" t="s">
        <v>3006</v>
      </c>
      <c r="I362" s="611">
        <v>53</v>
      </c>
      <c r="J362" s="611">
        <v>242</v>
      </c>
      <c r="K362" s="461">
        <v>43678</v>
      </c>
      <c r="L362" s="55">
        <v>43738</v>
      </c>
      <c r="M362" s="611">
        <v>37</v>
      </c>
      <c r="N362" s="611">
        <v>31</v>
      </c>
      <c r="O362" s="611"/>
      <c r="P362" s="611"/>
      <c r="Q362" s="611">
        <v>1</v>
      </c>
      <c r="R362" s="611"/>
      <c r="S362" s="611"/>
      <c r="T362" s="643"/>
      <c r="U362" s="611">
        <v>7</v>
      </c>
      <c r="V362" s="611" t="s">
        <v>128</v>
      </c>
      <c r="W362" s="611">
        <v>2</v>
      </c>
      <c r="X362" s="611">
        <v>2</v>
      </c>
      <c r="Y362" s="611"/>
      <c r="Z362" s="611"/>
      <c r="AA362" s="611"/>
      <c r="AB362" s="643"/>
      <c r="AC362" s="611"/>
      <c r="AD362" s="611"/>
      <c r="AE362" s="611"/>
      <c r="AF362" s="611"/>
      <c r="AG362" s="611"/>
      <c r="AH362" s="611"/>
      <c r="AI362" s="611"/>
      <c r="AJ362" s="611"/>
      <c r="AK362" s="611"/>
      <c r="AL362" s="611"/>
      <c r="AM362" s="643"/>
      <c r="AN362" s="611"/>
      <c r="AO362" s="611"/>
      <c r="AP36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2" s="565">
        <f>WWWW[[#This Row],[%Equitable and continuous access to sufficient quantity of safe drinking water]]*WWWW[[#This Row],[Total PoP ]]</f>
        <v>0</v>
      </c>
      <c r="AR36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2" s="565">
        <f>WWWW[[#This Row],[% Access to unimproved water points]]*WWWW[[#This Row],[Total PoP ]]</f>
        <v>242</v>
      </c>
      <c r="AT36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v>
      </c>
      <c r="AV362" s="565">
        <f>WWWW[[#This Row],[HRP1]]/250</f>
        <v>0.96799999999999997</v>
      </c>
      <c r="AW362" s="555">
        <f>1-WWWW[[#This Row],[% Equitable and continuous access to sufficient quantity of domestic water]]</f>
        <v>0</v>
      </c>
      <c r="AX362" s="565">
        <f>WWWW[[#This Row],[%equitable and continuous access to sufficient quantity of safe drinking and domestic water''s GAP]]*WWWW[[#This Row],[Total PoP ]]</f>
        <v>0</v>
      </c>
      <c r="AY362" s="557">
        <f>IF(WWWW[[#This Row],[Total required water points]]-WWWW[[#This Row],['#Water points coverage]]&lt;0,0,WWWW[[#This Row],[Total required water points]]-WWWW[[#This Row],['#Water points coverage]])</f>
        <v>3.2000000000000028E-2</v>
      </c>
      <c r="AZ362" s="557">
        <f>ROUND(IF(WWWW[[#This Row],[Total PoP ]]&lt;250,1,WWWW[[#This Row],[Total PoP ]]/250),0)</f>
        <v>1</v>
      </c>
      <c r="BA362"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0.58677685950413228</v>
      </c>
      <c r="BB362" s="565">
        <f>WWWW[[#This Row],[% people access to functioning Latrine]]*WWWW[[#This Row],[Total PoP ]]</f>
        <v>142</v>
      </c>
      <c r="BC362" s="557">
        <f>WWWW[[#This Row],['#_of_Functioning_latrines_in_school]]*50</f>
        <v>100</v>
      </c>
      <c r="BD362" s="557">
        <f>ROUND((WWWW[[#This Row],[Total PoP ]]/6),0)</f>
        <v>40</v>
      </c>
      <c r="BE362" s="557">
        <f>IF(WWWW[[#This Row],[Total required Latrines]]-(WWWW[[#This Row],['#_of_sanitary_fly-proof_HH_latrines]])&lt;0,0,WWWW[[#This Row],[Total required Latrines]]-(WWWW[[#This Row],['#_of_sanitary_fly-proof_HH_latrines]]))</f>
        <v>33</v>
      </c>
      <c r="BF362" s="558">
        <f>1-WWWW[[#This Row],[% people access to functioning Latrine]]</f>
        <v>0.41322314049586772</v>
      </c>
      <c r="BG36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62" s="565">
        <f>IF(WWWW[[#This Row],['#_of_functional_handwashing_facilities_at_HH_level]]*6&gt;WWWW[[#This Row],[Total PoP ]],WWWW[[#This Row],[Total PoP ]],WWWW[[#This Row],['#_of_functional_handwashing_facilities_at_HH_level]]*6)</f>
        <v>0</v>
      </c>
      <c r="BI362" s="557">
        <f>IF(WWWW[[#This Row],['# people reached by regular dedicated hygiene promotion]]&gt;WWWW[[#This Row],['# People received regular supply of hygiene items]],WWWW[[#This Row],['# people reached by regular dedicated hygiene promotion]],WWWW[[#This Row],['# People received regular supply of hygiene items]])</f>
        <v>0</v>
      </c>
      <c r="BJ362" s="555">
        <f>IF(WWWW[[#This Row],[HRP3]]/WWWW[[#This Row],[Total PoP ]]&gt;100%,100%,WWWW[[#This Row],[HRP3]]/WWWW[[#This Row],[Total PoP ]])</f>
        <v>0</v>
      </c>
      <c r="BK362" s="558">
        <f>1-WWWW[[#This Row],[Hygiene Coverage%]]</f>
        <v>1</v>
      </c>
      <c r="BL362" s="556">
        <f>WWWW[[#This Row],['# people reached by regular dedicated hygiene promotion]]/WWWW[[#This Row],[Total PoP ]]</f>
        <v>0</v>
      </c>
      <c r="BM36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2" s="557">
        <f>WWWW[[#This Row],['#_of_affected_women_and_girls_receiving_a_sufficient_quantity_of_sanitary_pads]]</f>
        <v>0</v>
      </c>
      <c r="BO362" s="611">
        <f>IF(WWWW[[#This Row],['# People with access to soap]]&gt;WWWW[[#This Row],['# People with access to Sanity Pads]],WWWW[[#This Row],['# People with access to soap]],WWWW[[#This Row],['# People with access to Sanity Pads]])</f>
        <v>0</v>
      </c>
      <c r="BP362" s="565" t="str">
        <f>IF(OR(WWWW[[#This Row],['#of students in school]]="",WWWW[[#This Row],['#of students in school]]=0),"No","Yes")</f>
        <v>Yes</v>
      </c>
      <c r="BQ362" s="559" t="str">
        <f>VLOOKUP(WWWW[[#This Row],[Village  Name]],SiteDB6[[Site Name]:[Location Type 1]],9,FALSE)</f>
        <v>Village</v>
      </c>
      <c r="BR362" s="559" t="str">
        <f>VLOOKUP(WWWW[[#This Row],[Village  Name]],SiteDB6[[Site Name]:[Type of Accommodation]],10,FALSE)</f>
        <v>Village</v>
      </c>
      <c r="BS362" s="559">
        <f>VLOOKUP(WWWW[[#This Row],[Village  Name]],SiteDB6[[Site Name]:[Ethnic or GCA/NGCA]],11,FALSE)</f>
        <v>0</v>
      </c>
      <c r="BT362" s="559">
        <f>VLOOKUP(WWWW[[#This Row],[Village  Name]],SiteDB6[[Site Name]:[Lat]],12,FALSE)</f>
        <v>20.7489204406738</v>
      </c>
      <c r="BU362" s="559">
        <f>VLOOKUP(WWWW[[#This Row],[Village  Name]],SiteDB6[[Site Name]:[Long]],13,FALSE)</f>
        <v>92.958816528320298</v>
      </c>
      <c r="BV362" s="559">
        <f>VLOOKUP(WWWW[[#This Row],[Village  Name]],SiteDB6[[Site Name]:[Pcode]],3,FALSE)</f>
        <v>196894</v>
      </c>
      <c r="BW362" s="559" t="str">
        <f t="shared" si="13"/>
        <v>Covered</v>
      </c>
      <c r="BX362" s="587"/>
    </row>
    <row r="363" spans="1:76">
      <c r="A363" s="612" t="s">
        <v>2381</v>
      </c>
      <c r="B363" s="612" t="s">
        <v>320</v>
      </c>
      <c r="C363" s="457" t="s">
        <v>320</v>
      </c>
      <c r="D363" s="457" t="s">
        <v>336</v>
      </c>
      <c r="E363" s="551" t="s">
        <v>2687</v>
      </c>
      <c r="F363" s="457" t="s">
        <v>304</v>
      </c>
      <c r="G363" s="551" t="str">
        <f>VLOOKUP(WWWW[[#This Row],[Village  Name]],SiteDB6[[Site Name]:[Location Type]],8,FALSE)</f>
        <v>Village</v>
      </c>
      <c r="H363" s="457" t="s">
        <v>2004</v>
      </c>
      <c r="I363" s="611">
        <v>45</v>
      </c>
      <c r="J363" s="611">
        <v>206</v>
      </c>
      <c r="K363" s="461">
        <v>43678</v>
      </c>
      <c r="L363" s="55">
        <v>44043</v>
      </c>
      <c r="M363" s="611">
        <v>22</v>
      </c>
      <c r="N363" s="611">
        <v>31</v>
      </c>
      <c r="O363" s="611"/>
      <c r="P363" s="611"/>
      <c r="Q363" s="611">
        <v>1</v>
      </c>
      <c r="R363" s="611"/>
      <c r="S363" s="611"/>
      <c r="T363" s="643"/>
      <c r="U363" s="611">
        <v>6</v>
      </c>
      <c r="V363" s="611" t="s">
        <v>128</v>
      </c>
      <c r="W363" s="611">
        <v>2</v>
      </c>
      <c r="X363" s="611">
        <v>3</v>
      </c>
      <c r="Y363" s="611"/>
      <c r="Z363" s="611"/>
      <c r="AA363" s="611"/>
      <c r="AB363" s="643"/>
      <c r="AC363" s="611">
        <v>8</v>
      </c>
      <c r="AD363" s="611">
        <v>12</v>
      </c>
      <c r="AE363" s="611"/>
      <c r="AF363" s="611"/>
      <c r="AG363" s="611"/>
      <c r="AH363" s="611"/>
      <c r="AI363" s="611"/>
      <c r="AJ363" s="611"/>
      <c r="AK363" s="611"/>
      <c r="AL363" s="611"/>
      <c r="AM363" s="643"/>
      <c r="AN363" s="611"/>
      <c r="AO363" s="611"/>
      <c r="AP36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3" s="565">
        <f>WWWW[[#This Row],[%Equitable and continuous access to sufficient quantity of safe drinking water]]*WWWW[[#This Row],[Total PoP ]]</f>
        <v>0</v>
      </c>
      <c r="AR36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3" s="565">
        <f>WWWW[[#This Row],[% Access to unimproved water points]]*WWWW[[#This Row],[Total PoP ]]</f>
        <v>206</v>
      </c>
      <c r="AT36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AV363" s="565">
        <f>WWWW[[#This Row],[HRP1]]/250</f>
        <v>0.82399999999999995</v>
      </c>
      <c r="AW363" s="555">
        <f>1-WWWW[[#This Row],[% Equitable and continuous access to sufficient quantity of domestic water]]</f>
        <v>0</v>
      </c>
      <c r="AX363" s="565">
        <f>WWWW[[#This Row],[%equitable and continuous access to sufficient quantity of safe drinking and domestic water''s GAP]]*WWWW[[#This Row],[Total PoP ]]</f>
        <v>0</v>
      </c>
      <c r="AY363" s="557">
        <f>IF(WWWW[[#This Row],[Total required water points]]-WWWW[[#This Row],['#Water points coverage]]&lt;0,0,WWWW[[#This Row],[Total required water points]]-WWWW[[#This Row],['#Water points coverage]])</f>
        <v>0.17600000000000005</v>
      </c>
      <c r="AZ363" s="557">
        <f>ROUND(IF(WWWW[[#This Row],[Total PoP ]]&lt;250,1,WWWW[[#This Row],[Total PoP ]]/250),0)</f>
        <v>1</v>
      </c>
      <c r="BA363"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0.66019417475728159</v>
      </c>
      <c r="BB363" s="565">
        <f>WWWW[[#This Row],[% people access to functioning Latrine]]*WWWW[[#This Row],[Total PoP ]]</f>
        <v>136</v>
      </c>
      <c r="BC363" s="557">
        <f>WWWW[[#This Row],['#_of_Functioning_latrines_in_school]]*50</f>
        <v>100</v>
      </c>
      <c r="BD363" s="557">
        <f>ROUND((WWWW[[#This Row],[Total PoP ]]/6),0)</f>
        <v>34</v>
      </c>
      <c r="BE363" s="557">
        <f>IF(WWWW[[#This Row],[Total required Latrines]]-(WWWW[[#This Row],['#_of_sanitary_fly-proof_HH_latrines]])&lt;0,0,WWWW[[#This Row],[Total required Latrines]]-(WWWW[[#This Row],['#_of_sanitary_fly-proof_HH_latrines]]))</f>
        <v>28</v>
      </c>
      <c r="BF363" s="558">
        <f>1-WWWW[[#This Row],[% people access to functioning Latrine]]</f>
        <v>0.33980582524271841</v>
      </c>
      <c r="BG36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63" s="565">
        <f>IF(WWWW[[#This Row],['#_of_functional_handwashing_facilities_at_HH_level]]*6&gt;WWWW[[#This Row],[Total PoP ]],WWWW[[#This Row],[Total PoP ]],WWWW[[#This Row],['#_of_functional_handwashing_facilities_at_HH_level]]*6)</f>
        <v>0</v>
      </c>
      <c r="BI363" s="557">
        <f>IF(WWWW[[#This Row],['# people reached by regular dedicated hygiene promotion]]&gt;WWWW[[#This Row],['# People received regular supply of hygiene items]],WWWW[[#This Row],['# people reached by regular dedicated hygiene promotion]],WWWW[[#This Row],['# People received regular supply of hygiene items]])</f>
        <v>20</v>
      </c>
      <c r="BJ363" s="555">
        <f>IF(WWWW[[#This Row],[HRP3]]/WWWW[[#This Row],[Total PoP ]]&gt;100%,100%,WWWW[[#This Row],[HRP3]]/WWWW[[#This Row],[Total PoP ]])</f>
        <v>9.7087378640776698E-2</v>
      </c>
      <c r="BK363" s="558">
        <f>1-WWWW[[#This Row],[Hygiene Coverage%]]</f>
        <v>0.90291262135922334</v>
      </c>
      <c r="BL363" s="556">
        <f>WWWW[[#This Row],['# people reached by regular dedicated hygiene promotion]]/WWWW[[#This Row],[Total PoP ]]</f>
        <v>9.7087378640776698E-2</v>
      </c>
      <c r="BM36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3" s="557">
        <f>WWWW[[#This Row],['#_of_affected_women_and_girls_receiving_a_sufficient_quantity_of_sanitary_pads]]</f>
        <v>0</v>
      </c>
      <c r="BO363" s="611">
        <f>IF(WWWW[[#This Row],['# People with access to soap]]&gt;WWWW[[#This Row],['# People with access to Sanity Pads]],WWWW[[#This Row],['# People with access to soap]],WWWW[[#This Row],['# People with access to Sanity Pads]])</f>
        <v>0</v>
      </c>
      <c r="BP363" s="565" t="str">
        <f>IF(OR(WWWW[[#This Row],['#of students in school]]="",WWWW[[#This Row],['#of students in school]]=0),"No","Yes")</f>
        <v>Yes</v>
      </c>
      <c r="BQ363" s="559" t="str">
        <f>VLOOKUP(WWWW[[#This Row],[Village  Name]],SiteDB6[[Site Name]:[Location Type 1]],9,FALSE)</f>
        <v>Village</v>
      </c>
      <c r="BR363" s="559" t="str">
        <f>VLOOKUP(WWWW[[#This Row],[Village  Name]],SiteDB6[[Site Name]:[Type of Accommodation]],10,FALSE)</f>
        <v>Village</v>
      </c>
      <c r="BS363" s="559" t="str">
        <f>VLOOKUP(WWWW[[#This Row],[Village  Name]],SiteDB6[[Site Name]:[Ethnic or GCA/NGCA]],11,FALSE)</f>
        <v>Rakhine</v>
      </c>
      <c r="BT363" s="559">
        <f>VLOOKUP(WWWW[[#This Row],[Village  Name]],SiteDB6[[Site Name]:[Lat]],12,FALSE)</f>
        <v>20.879186630248999</v>
      </c>
      <c r="BU363" s="559">
        <f>VLOOKUP(WWWW[[#This Row],[Village  Name]],SiteDB6[[Site Name]:[Long]],13,FALSE)</f>
        <v>92.938163757324205</v>
      </c>
      <c r="BV363" s="559">
        <f>VLOOKUP(WWWW[[#This Row],[Village  Name]],SiteDB6[[Site Name]:[Pcode]],3,FALSE)</f>
        <v>196821</v>
      </c>
      <c r="BW363" s="559" t="str">
        <f t="shared" si="13"/>
        <v>Covered</v>
      </c>
      <c r="BX363" s="587"/>
    </row>
    <row r="364" spans="1:76">
      <c r="A364" s="612" t="s">
        <v>2381</v>
      </c>
      <c r="B364" s="612" t="s">
        <v>320</v>
      </c>
      <c r="C364" s="457" t="s">
        <v>320</v>
      </c>
      <c r="D364" s="457" t="s">
        <v>291</v>
      </c>
      <c r="E364" s="551" t="s">
        <v>2687</v>
      </c>
      <c r="F364" s="457" t="s">
        <v>304</v>
      </c>
      <c r="G364" s="551" t="str">
        <f>VLOOKUP(WWWW[[#This Row],[Village  Name]],SiteDB6[[Site Name]:[Location Type]],8,FALSE)</f>
        <v>Village</v>
      </c>
      <c r="H364" s="457" t="s">
        <v>3024</v>
      </c>
      <c r="I364" s="611">
        <v>100</v>
      </c>
      <c r="J364" s="611">
        <v>419</v>
      </c>
      <c r="K364" s="461">
        <v>43678</v>
      </c>
      <c r="L364" s="55">
        <v>43738</v>
      </c>
      <c r="M364" s="611">
        <v>70</v>
      </c>
      <c r="N364" s="611">
        <v>31</v>
      </c>
      <c r="O364" s="611"/>
      <c r="P364" s="611"/>
      <c r="Q364" s="611">
        <v>1</v>
      </c>
      <c r="R364" s="611"/>
      <c r="S364" s="611"/>
      <c r="T364" s="643"/>
      <c r="U364" s="611">
        <v>97</v>
      </c>
      <c r="V364" s="611" t="s">
        <v>128</v>
      </c>
      <c r="W364" s="611">
        <v>2</v>
      </c>
      <c r="X364" s="611">
        <v>7</v>
      </c>
      <c r="Y364" s="611"/>
      <c r="Z364" s="611"/>
      <c r="AA364" s="611"/>
      <c r="AB364" s="643"/>
      <c r="AC364" s="611"/>
      <c r="AD364" s="611"/>
      <c r="AE364" s="611"/>
      <c r="AF364" s="611"/>
      <c r="AG364" s="611"/>
      <c r="AH364" s="611"/>
      <c r="AI364" s="611"/>
      <c r="AJ364" s="611"/>
      <c r="AK364" s="611"/>
      <c r="AL364" s="611"/>
      <c r="AM364" s="643"/>
      <c r="AN364" s="611"/>
      <c r="AO364" s="611"/>
      <c r="AP36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4" s="565">
        <f>WWWW[[#This Row],[%Equitable and continuous access to sufficient quantity of safe drinking water]]*WWWW[[#This Row],[Total PoP ]]</f>
        <v>0</v>
      </c>
      <c r="AR36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4" s="565">
        <f>WWWW[[#This Row],[% Access to unimproved water points]]*WWWW[[#This Row],[Total PoP ]]</f>
        <v>419</v>
      </c>
      <c r="AT36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419</v>
      </c>
      <c r="AV364" s="565">
        <f>WWWW[[#This Row],[HRP1]]/250</f>
        <v>1.6759999999999999</v>
      </c>
      <c r="AW364" s="555">
        <f>1-WWWW[[#This Row],[% Equitable and continuous access to sufficient quantity of domestic water]]</f>
        <v>0</v>
      </c>
      <c r="AX364" s="565">
        <f>WWWW[[#This Row],[%equitable and continuous access to sufficient quantity of safe drinking and domestic water''s GAP]]*WWWW[[#This Row],[Total PoP ]]</f>
        <v>0</v>
      </c>
      <c r="AY364" s="557">
        <f>IF(WWWW[[#This Row],[Total required water points]]-WWWW[[#This Row],['#Water points coverage]]&lt;0,0,WWWW[[#This Row],[Total required water points]]-WWWW[[#This Row],['#Water points coverage]])</f>
        <v>0.32400000000000007</v>
      </c>
      <c r="AZ364" s="557">
        <f>ROUND(IF(WWWW[[#This Row],[Total PoP ]]&lt;250,1,WWWW[[#This Row],[Total PoP ]]/250),0)</f>
        <v>2</v>
      </c>
      <c r="BA364"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64" s="565">
        <f>WWWW[[#This Row],[% people access to functioning Latrine]]*WWWW[[#This Row],[Total PoP ]]</f>
        <v>419</v>
      </c>
      <c r="BC364" s="557">
        <f>WWWW[[#This Row],['#_of_Functioning_latrines_in_school]]*50</f>
        <v>100</v>
      </c>
      <c r="BD364" s="557">
        <f>ROUND((WWWW[[#This Row],[Total PoP ]]/6),0)</f>
        <v>70</v>
      </c>
      <c r="BE364" s="557">
        <f>IF(WWWW[[#This Row],[Total required Latrines]]-(WWWW[[#This Row],['#_of_sanitary_fly-proof_HH_latrines]])&lt;0,0,WWWW[[#This Row],[Total required Latrines]]-(WWWW[[#This Row],['#_of_sanitary_fly-proof_HH_latrines]]))</f>
        <v>0</v>
      </c>
      <c r="BF364" s="558">
        <f>1-WWWW[[#This Row],[% people access to functioning Latrine]]</f>
        <v>0</v>
      </c>
      <c r="BG36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64" s="565">
        <f>IF(WWWW[[#This Row],['#_of_functional_handwashing_facilities_at_HH_level]]*6&gt;WWWW[[#This Row],[Total PoP ]],WWWW[[#This Row],[Total PoP ]],WWWW[[#This Row],['#_of_functional_handwashing_facilities_at_HH_level]]*6)</f>
        <v>0</v>
      </c>
      <c r="BI364" s="557">
        <f>IF(WWWW[[#This Row],['# people reached by regular dedicated hygiene promotion]]&gt;WWWW[[#This Row],['# People received regular supply of hygiene items]],WWWW[[#This Row],['# people reached by regular dedicated hygiene promotion]],WWWW[[#This Row],['# People received regular supply of hygiene items]])</f>
        <v>0</v>
      </c>
      <c r="BJ364" s="555">
        <f>IF(WWWW[[#This Row],[HRP3]]/WWWW[[#This Row],[Total PoP ]]&gt;100%,100%,WWWW[[#This Row],[HRP3]]/WWWW[[#This Row],[Total PoP ]])</f>
        <v>0</v>
      </c>
      <c r="BK364" s="558">
        <f>1-WWWW[[#This Row],[Hygiene Coverage%]]</f>
        <v>1</v>
      </c>
      <c r="BL364" s="556">
        <f>WWWW[[#This Row],['# people reached by regular dedicated hygiene promotion]]/WWWW[[#This Row],[Total PoP ]]</f>
        <v>0</v>
      </c>
      <c r="BM36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4" s="557">
        <f>WWWW[[#This Row],['#_of_affected_women_and_girls_receiving_a_sufficient_quantity_of_sanitary_pads]]</f>
        <v>0</v>
      </c>
      <c r="BO364" s="611">
        <f>IF(WWWW[[#This Row],['# People with access to soap]]&gt;WWWW[[#This Row],['# People with access to Sanity Pads]],WWWW[[#This Row],['# People with access to soap]],WWWW[[#This Row],['# People with access to Sanity Pads]])</f>
        <v>0</v>
      </c>
      <c r="BP364" s="565" t="str">
        <f>IF(OR(WWWW[[#This Row],['#of students in school]]="",WWWW[[#This Row],['#of students in school]]=0),"No","Yes")</f>
        <v>Yes</v>
      </c>
      <c r="BQ364" s="559" t="str">
        <f>VLOOKUP(WWWW[[#This Row],[Village  Name]],SiteDB6[[Site Name]:[Location Type 1]],9,FALSE)</f>
        <v>Village</v>
      </c>
      <c r="BR364" s="559" t="str">
        <f>VLOOKUP(WWWW[[#This Row],[Village  Name]],SiteDB6[[Site Name]:[Type of Accommodation]],10,FALSE)</f>
        <v>Village</v>
      </c>
      <c r="BS364" s="559">
        <f>VLOOKUP(WWWW[[#This Row],[Village  Name]],SiteDB6[[Site Name]:[Ethnic or GCA/NGCA]],11,FALSE)</f>
        <v>0</v>
      </c>
      <c r="BT364" s="559">
        <f>VLOOKUP(WWWW[[#This Row],[Village  Name]],SiteDB6[[Site Name]:[Lat]],12,FALSE)</f>
        <v>20.728960037231399</v>
      </c>
      <c r="BU364" s="559">
        <f>VLOOKUP(WWWW[[#This Row],[Village  Name]],SiteDB6[[Site Name]:[Long]],13,FALSE)</f>
        <v>92.936019897460895</v>
      </c>
      <c r="BV364" s="559">
        <f>VLOOKUP(WWWW[[#This Row],[Village  Name]],SiteDB6[[Site Name]:[Pcode]],3,FALSE)</f>
        <v>196949</v>
      </c>
      <c r="BW364" s="559" t="str">
        <f t="shared" si="13"/>
        <v>Covered</v>
      </c>
      <c r="BX364" s="587"/>
    </row>
    <row r="365" spans="1:76">
      <c r="A365" s="612" t="s">
        <v>2381</v>
      </c>
      <c r="B365" s="612" t="s">
        <v>320</v>
      </c>
      <c r="C365" s="457" t="s">
        <v>320</v>
      </c>
      <c r="D365" s="457" t="s">
        <v>291</v>
      </c>
      <c r="E365" s="551" t="s">
        <v>2687</v>
      </c>
      <c r="F365" s="457" t="s">
        <v>304</v>
      </c>
      <c r="G365" s="551" t="str">
        <f>VLOOKUP(WWWW[[#This Row],[Village  Name]],SiteDB6[[Site Name]:[Location Type]],8,FALSE)</f>
        <v>Village</v>
      </c>
      <c r="H365" s="457" t="s">
        <v>3025</v>
      </c>
      <c r="I365" s="611">
        <v>205</v>
      </c>
      <c r="J365" s="611">
        <v>793</v>
      </c>
      <c r="K365" s="461">
        <v>43678</v>
      </c>
      <c r="L365" s="55">
        <v>43738</v>
      </c>
      <c r="M365" s="611">
        <v>100</v>
      </c>
      <c r="N365" s="611">
        <v>31</v>
      </c>
      <c r="O365" s="611"/>
      <c r="P365" s="611"/>
      <c r="Q365" s="611">
        <v>2</v>
      </c>
      <c r="R365" s="611"/>
      <c r="S365" s="611"/>
      <c r="T365" s="643"/>
      <c r="U365" s="611">
        <v>156</v>
      </c>
      <c r="V365" s="611" t="s">
        <v>128</v>
      </c>
      <c r="W365" s="611">
        <v>2</v>
      </c>
      <c r="X365" s="611">
        <v>5</v>
      </c>
      <c r="Y365" s="611"/>
      <c r="Z365" s="611"/>
      <c r="AA365" s="611"/>
      <c r="AB365" s="643"/>
      <c r="AC365" s="611"/>
      <c r="AD365" s="611"/>
      <c r="AE365" s="611"/>
      <c r="AF365" s="611"/>
      <c r="AG365" s="611"/>
      <c r="AH365" s="611"/>
      <c r="AI365" s="611"/>
      <c r="AJ365" s="611"/>
      <c r="AK365" s="611"/>
      <c r="AL365" s="611"/>
      <c r="AM365" s="643"/>
      <c r="AN365" s="611"/>
      <c r="AO365" s="611"/>
      <c r="AP36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5" s="565">
        <f>WWWW[[#This Row],[%Equitable and continuous access to sufficient quantity of safe drinking water]]*WWWW[[#This Row],[Total PoP ]]</f>
        <v>0</v>
      </c>
      <c r="AR36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5" s="565">
        <f>WWWW[[#This Row],[% Access to unimproved water points]]*WWWW[[#This Row],[Total PoP ]]</f>
        <v>793</v>
      </c>
      <c r="AT36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793</v>
      </c>
      <c r="AV365" s="565">
        <f>WWWW[[#This Row],[HRP1]]/250</f>
        <v>3.1720000000000002</v>
      </c>
      <c r="AW365" s="555">
        <f>1-WWWW[[#This Row],[% Equitable and continuous access to sufficient quantity of domestic water]]</f>
        <v>0</v>
      </c>
      <c r="AX365" s="565">
        <f>WWWW[[#This Row],[%equitable and continuous access to sufficient quantity of safe drinking and domestic water''s GAP]]*WWWW[[#This Row],[Total PoP ]]</f>
        <v>0</v>
      </c>
      <c r="AY365" s="557">
        <f>IF(WWWW[[#This Row],[Total required water points]]-WWWW[[#This Row],['#Water points coverage]]&lt;0,0,WWWW[[#This Row],[Total required water points]]-WWWW[[#This Row],['#Water points coverage]])</f>
        <v>0</v>
      </c>
      <c r="AZ365" s="557">
        <f>ROUND(IF(WWWW[[#This Row],[Total PoP ]]&lt;250,1,WWWW[[#This Row],[Total PoP ]]/250),0)</f>
        <v>3</v>
      </c>
      <c r="BA365"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65" s="565">
        <f>WWWW[[#This Row],[% people access to functioning Latrine]]*WWWW[[#This Row],[Total PoP ]]</f>
        <v>793</v>
      </c>
      <c r="BC365" s="557">
        <f>WWWW[[#This Row],['#_of_Functioning_latrines_in_school]]*50</f>
        <v>100</v>
      </c>
      <c r="BD365" s="557">
        <f>ROUND((WWWW[[#This Row],[Total PoP ]]/6),0)</f>
        <v>132</v>
      </c>
      <c r="BE365" s="557">
        <f>IF(WWWW[[#This Row],[Total required Latrines]]-(WWWW[[#This Row],['#_of_sanitary_fly-proof_HH_latrines]])&lt;0,0,WWWW[[#This Row],[Total required Latrines]]-(WWWW[[#This Row],['#_of_sanitary_fly-proof_HH_latrines]]))</f>
        <v>0</v>
      </c>
      <c r="BF365" s="558">
        <f>1-WWWW[[#This Row],[% people access to functioning Latrine]]</f>
        <v>0</v>
      </c>
      <c r="BG36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365" s="565">
        <f>IF(WWWW[[#This Row],['#_of_functional_handwashing_facilities_at_HH_level]]*6&gt;WWWW[[#This Row],[Total PoP ]],WWWW[[#This Row],[Total PoP ]],WWWW[[#This Row],['#_of_functional_handwashing_facilities_at_HH_level]]*6)</f>
        <v>0</v>
      </c>
      <c r="BI365" s="557">
        <f>IF(WWWW[[#This Row],['# people reached by regular dedicated hygiene promotion]]&gt;WWWW[[#This Row],['# People received regular supply of hygiene items]],WWWW[[#This Row],['# people reached by regular dedicated hygiene promotion]],WWWW[[#This Row],['# People received regular supply of hygiene items]])</f>
        <v>0</v>
      </c>
      <c r="BJ365" s="555">
        <f>IF(WWWW[[#This Row],[HRP3]]/WWWW[[#This Row],[Total PoP ]]&gt;100%,100%,WWWW[[#This Row],[HRP3]]/WWWW[[#This Row],[Total PoP ]])</f>
        <v>0</v>
      </c>
      <c r="BK365" s="558">
        <f>1-WWWW[[#This Row],[Hygiene Coverage%]]</f>
        <v>1</v>
      </c>
      <c r="BL365" s="556">
        <f>WWWW[[#This Row],['# people reached by regular dedicated hygiene promotion]]/WWWW[[#This Row],[Total PoP ]]</f>
        <v>0</v>
      </c>
      <c r="BM36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5" s="557">
        <f>WWWW[[#This Row],['#_of_affected_women_and_girls_receiving_a_sufficient_quantity_of_sanitary_pads]]</f>
        <v>0</v>
      </c>
      <c r="BO365" s="611">
        <f>IF(WWWW[[#This Row],['# People with access to soap]]&gt;WWWW[[#This Row],['# People with access to Sanity Pads]],WWWW[[#This Row],['# People with access to soap]],WWWW[[#This Row],['# People with access to Sanity Pads]])</f>
        <v>0</v>
      </c>
      <c r="BP365" s="565" t="str">
        <f>IF(OR(WWWW[[#This Row],['#of students in school]]="",WWWW[[#This Row],['#of students in school]]=0),"No","Yes")</f>
        <v>Yes</v>
      </c>
      <c r="BQ365" s="559" t="str">
        <f>VLOOKUP(WWWW[[#This Row],[Village  Name]],SiteDB6[[Site Name]:[Location Type 1]],9,FALSE)</f>
        <v>Village</v>
      </c>
      <c r="BR365" s="559" t="str">
        <f>VLOOKUP(WWWW[[#This Row],[Village  Name]],SiteDB6[[Site Name]:[Type of Accommodation]],10,FALSE)</f>
        <v>Village</v>
      </c>
      <c r="BS365" s="559">
        <f>VLOOKUP(WWWW[[#This Row],[Village  Name]],SiteDB6[[Site Name]:[Ethnic or GCA/NGCA]],11,FALSE)</f>
        <v>0</v>
      </c>
      <c r="BT365" s="559">
        <f>VLOOKUP(WWWW[[#This Row],[Village  Name]],SiteDB6[[Site Name]:[Lat]],12,FALSE)</f>
        <v>0</v>
      </c>
      <c r="BU365" s="559">
        <f>VLOOKUP(WWWW[[#This Row],[Village  Name]],SiteDB6[[Site Name]:[Long]],13,FALSE)</f>
        <v>0</v>
      </c>
      <c r="BV365" s="559">
        <f>VLOOKUP(WWWW[[#This Row],[Village  Name]],SiteDB6[[Site Name]:[Pcode]],3,FALSE)</f>
        <v>196948</v>
      </c>
      <c r="BW365" s="559" t="str">
        <f t="shared" si="13"/>
        <v>Covered</v>
      </c>
      <c r="BX365" s="587"/>
    </row>
    <row r="366" spans="1:76">
      <c r="A366" s="612" t="s">
        <v>2381</v>
      </c>
      <c r="B366" s="612" t="s">
        <v>320</v>
      </c>
      <c r="C366" s="457" t="s">
        <v>320</v>
      </c>
      <c r="D366" s="457" t="s">
        <v>336</v>
      </c>
      <c r="E366" s="551" t="s">
        <v>2687</v>
      </c>
      <c r="F366" s="457" t="s">
        <v>304</v>
      </c>
      <c r="G366" s="551" t="str">
        <f>VLOOKUP(WWWW[[#This Row],[Village  Name]],SiteDB6[[Site Name]:[Location Type]],8,FALSE)</f>
        <v>Village</v>
      </c>
      <c r="H366" s="457" t="s">
        <v>655</v>
      </c>
      <c r="I366" s="611">
        <v>170</v>
      </c>
      <c r="J366" s="611">
        <v>825</v>
      </c>
      <c r="K366" s="461">
        <v>43678</v>
      </c>
      <c r="L366" s="55">
        <v>44043</v>
      </c>
      <c r="M366" s="611">
        <v>246</v>
      </c>
      <c r="N366" s="611">
        <v>31</v>
      </c>
      <c r="O366" s="611"/>
      <c r="P366" s="611"/>
      <c r="Q366" s="611">
        <v>2</v>
      </c>
      <c r="R366" s="611"/>
      <c r="S366" s="611"/>
      <c r="T366" s="643"/>
      <c r="U366" s="611">
        <v>59</v>
      </c>
      <c r="V366" s="611" t="s">
        <v>128</v>
      </c>
      <c r="W366" s="611">
        <v>2</v>
      </c>
      <c r="X366" s="611">
        <v>5</v>
      </c>
      <c r="Y366" s="611"/>
      <c r="Z366" s="611"/>
      <c r="AA366" s="611"/>
      <c r="AB366" s="643"/>
      <c r="AC366" s="611">
        <v>2</v>
      </c>
      <c r="AD366" s="611">
        <v>18</v>
      </c>
      <c r="AE366" s="611"/>
      <c r="AF366" s="611"/>
      <c r="AG366" s="611"/>
      <c r="AH366" s="611"/>
      <c r="AI366" s="611"/>
      <c r="AJ366" s="611"/>
      <c r="AK366" s="611"/>
      <c r="AL366" s="611"/>
      <c r="AM366" s="643"/>
      <c r="AN366" s="611"/>
      <c r="AO366" s="611"/>
      <c r="AP36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6" s="565">
        <f>WWWW[[#This Row],[%Equitable and continuous access to sufficient quantity of safe drinking water]]*WWWW[[#This Row],[Total PoP ]]</f>
        <v>0</v>
      </c>
      <c r="AR36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6" s="565">
        <f>WWWW[[#This Row],[% Access to unimproved water points]]*WWWW[[#This Row],[Total PoP ]]</f>
        <v>825</v>
      </c>
      <c r="AT36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825</v>
      </c>
      <c r="AV366" s="565">
        <f>WWWW[[#This Row],[HRP1]]/250</f>
        <v>3.3</v>
      </c>
      <c r="AW366" s="555">
        <f>1-WWWW[[#This Row],[% Equitable and continuous access to sufficient quantity of domestic water]]</f>
        <v>0</v>
      </c>
      <c r="AX366" s="565">
        <f>WWWW[[#This Row],[%equitable and continuous access to sufficient quantity of safe drinking and domestic water''s GAP]]*WWWW[[#This Row],[Total PoP ]]</f>
        <v>0</v>
      </c>
      <c r="AY366" s="557">
        <f>IF(WWWW[[#This Row],[Total required water points]]-WWWW[[#This Row],['#Water points coverage]]&lt;0,0,WWWW[[#This Row],[Total required water points]]-WWWW[[#This Row],['#Water points coverage]])</f>
        <v>0</v>
      </c>
      <c r="AZ366" s="557">
        <f>ROUND(IF(WWWW[[#This Row],[Total PoP ]]&lt;250,1,WWWW[[#This Row],[Total PoP ]]/250),0)</f>
        <v>3</v>
      </c>
      <c r="BA366"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0.55030303030303029</v>
      </c>
      <c r="BB366" s="565">
        <f>WWWW[[#This Row],[% people access to functioning Latrine]]*WWWW[[#This Row],[Total PoP ]]</f>
        <v>454</v>
      </c>
      <c r="BC366" s="557">
        <f>WWWW[[#This Row],['#_of_Functioning_latrines_in_school]]*50</f>
        <v>100</v>
      </c>
      <c r="BD366" s="557">
        <f>ROUND((WWWW[[#This Row],[Total PoP ]]/6),0)</f>
        <v>138</v>
      </c>
      <c r="BE366" s="557">
        <f>IF(WWWW[[#This Row],[Total required Latrines]]-(WWWW[[#This Row],['#_of_sanitary_fly-proof_HH_latrines]])&lt;0,0,WWWW[[#This Row],[Total required Latrines]]-(WWWW[[#This Row],['#_of_sanitary_fly-proof_HH_latrines]]))</f>
        <v>79</v>
      </c>
      <c r="BF366" s="558">
        <f>1-WWWW[[#This Row],[% people access to functioning Latrine]]</f>
        <v>0.44969696969696971</v>
      </c>
      <c r="BG36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66" s="565">
        <f>IF(WWWW[[#This Row],['#_of_functional_handwashing_facilities_at_HH_level]]*6&gt;WWWW[[#This Row],[Total PoP ]],WWWW[[#This Row],[Total PoP ]],WWWW[[#This Row],['#_of_functional_handwashing_facilities_at_HH_level]]*6)</f>
        <v>0</v>
      </c>
      <c r="BI366" s="557">
        <f>IF(WWWW[[#This Row],['# people reached by regular dedicated hygiene promotion]]&gt;WWWW[[#This Row],['# People received regular supply of hygiene items]],WWWW[[#This Row],['# people reached by regular dedicated hygiene promotion]],WWWW[[#This Row],['# People received regular supply of hygiene items]])</f>
        <v>20</v>
      </c>
      <c r="BJ366" s="555">
        <f>IF(WWWW[[#This Row],[HRP3]]/WWWW[[#This Row],[Total PoP ]]&gt;100%,100%,WWWW[[#This Row],[HRP3]]/WWWW[[#This Row],[Total PoP ]])</f>
        <v>2.4242424242424242E-2</v>
      </c>
      <c r="BK366" s="558">
        <f>1-WWWW[[#This Row],[Hygiene Coverage%]]</f>
        <v>0.97575757575757571</v>
      </c>
      <c r="BL366" s="556">
        <f>WWWW[[#This Row],['# people reached by regular dedicated hygiene promotion]]/WWWW[[#This Row],[Total PoP ]]</f>
        <v>2.4242424242424242E-2</v>
      </c>
      <c r="BM36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6" s="557">
        <f>WWWW[[#This Row],['#_of_affected_women_and_girls_receiving_a_sufficient_quantity_of_sanitary_pads]]</f>
        <v>0</v>
      </c>
      <c r="BO366" s="611">
        <f>IF(WWWW[[#This Row],['# People with access to soap]]&gt;WWWW[[#This Row],['# People with access to Sanity Pads]],WWWW[[#This Row],['# People with access to soap]],WWWW[[#This Row],['# People with access to Sanity Pads]])</f>
        <v>0</v>
      </c>
      <c r="BP366" s="565" t="str">
        <f>IF(OR(WWWW[[#This Row],['#of students in school]]="",WWWW[[#This Row],['#of students in school]]=0),"No","Yes")</f>
        <v>Yes</v>
      </c>
      <c r="BQ366" s="559" t="str">
        <f>VLOOKUP(WWWW[[#This Row],[Village  Name]],SiteDB6[[Site Name]:[Location Type 1]],9,FALSE)</f>
        <v>Village</v>
      </c>
      <c r="BR366" s="559" t="str">
        <f>VLOOKUP(WWWW[[#This Row],[Village  Name]],SiteDB6[[Site Name]:[Type of Accommodation]],10,FALSE)</f>
        <v>Village</v>
      </c>
      <c r="BS366" s="559" t="str">
        <f>VLOOKUP(WWWW[[#This Row],[Village  Name]],SiteDB6[[Site Name]:[Ethnic or GCA/NGCA]],11,FALSE)</f>
        <v>Rakhine</v>
      </c>
      <c r="BT366" s="559">
        <f>VLOOKUP(WWWW[[#This Row],[Village  Name]],SiteDB6[[Site Name]:[Lat]],12,FALSE)</f>
        <v>20.894269940000001</v>
      </c>
      <c r="BU366" s="559">
        <f>VLOOKUP(WWWW[[#This Row],[Village  Name]],SiteDB6[[Site Name]:[Long]],13,FALSE)</f>
        <v>92.920730590000005</v>
      </c>
      <c r="BV366" s="559">
        <f>VLOOKUP(WWWW[[#This Row],[Village  Name]],SiteDB6[[Site Name]:[Pcode]],3,FALSE)</f>
        <v>196814</v>
      </c>
      <c r="BW366" s="559" t="str">
        <f t="shared" si="13"/>
        <v>Covered</v>
      </c>
      <c r="BX366" s="587"/>
    </row>
    <row r="367" spans="1:76">
      <c r="A367" s="612" t="s">
        <v>2381</v>
      </c>
      <c r="B367" s="612" t="s">
        <v>320</v>
      </c>
      <c r="C367" s="457" t="s">
        <v>320</v>
      </c>
      <c r="D367" s="457" t="s">
        <v>336</v>
      </c>
      <c r="E367" s="551" t="s">
        <v>2687</v>
      </c>
      <c r="F367" s="457" t="s">
        <v>304</v>
      </c>
      <c r="G367" s="551" t="str">
        <f>VLOOKUP(WWWW[[#This Row],[Village  Name]],SiteDB6[[Site Name]:[Location Type]],8,FALSE)</f>
        <v>Village</v>
      </c>
      <c r="H367" s="457" t="s">
        <v>338</v>
      </c>
      <c r="I367" s="611">
        <v>144</v>
      </c>
      <c r="J367" s="611">
        <v>792</v>
      </c>
      <c r="K367" s="461">
        <v>43678</v>
      </c>
      <c r="L367" s="55">
        <v>44043</v>
      </c>
      <c r="M367" s="611">
        <v>88</v>
      </c>
      <c r="N367" s="611">
        <v>31</v>
      </c>
      <c r="O367" s="611"/>
      <c r="P367" s="611"/>
      <c r="Q367" s="611">
        <v>1</v>
      </c>
      <c r="R367" s="611"/>
      <c r="S367" s="611"/>
      <c r="T367" s="643"/>
      <c r="U367" s="611">
        <v>35</v>
      </c>
      <c r="V367" s="611" t="s">
        <v>128</v>
      </c>
      <c r="W367" s="611">
        <v>2</v>
      </c>
      <c r="X367" s="611">
        <v>4</v>
      </c>
      <c r="Y367" s="611"/>
      <c r="Z367" s="611"/>
      <c r="AA367" s="611"/>
      <c r="AB367" s="643"/>
      <c r="AC367" s="611">
        <v>6</v>
      </c>
      <c r="AD367" s="611">
        <v>14</v>
      </c>
      <c r="AE367" s="611"/>
      <c r="AF367" s="611"/>
      <c r="AG367" s="611"/>
      <c r="AH367" s="611"/>
      <c r="AI367" s="611"/>
      <c r="AJ367" s="611"/>
      <c r="AK367" s="611"/>
      <c r="AL367" s="611"/>
      <c r="AM367" s="643"/>
      <c r="AN367" s="611"/>
      <c r="AO367" s="611"/>
      <c r="AP36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7" s="565">
        <f>WWWW[[#This Row],[%Equitable and continuous access to sufficient quantity of safe drinking water]]*WWWW[[#This Row],[Total PoP ]]</f>
        <v>0</v>
      </c>
      <c r="AR36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7" s="565">
        <f>WWWW[[#This Row],[% Access to unimproved water points]]*WWWW[[#This Row],[Total PoP ]]</f>
        <v>792</v>
      </c>
      <c r="AT36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792</v>
      </c>
      <c r="AV367" s="565">
        <f>WWWW[[#This Row],[HRP1]]/250</f>
        <v>3.1680000000000001</v>
      </c>
      <c r="AW367" s="555">
        <f>1-WWWW[[#This Row],[% Equitable and continuous access to sufficient quantity of domestic water]]</f>
        <v>0</v>
      </c>
      <c r="AX367" s="565">
        <f>WWWW[[#This Row],[%equitable and continuous access to sufficient quantity of safe drinking and domestic water''s GAP]]*WWWW[[#This Row],[Total PoP ]]</f>
        <v>0</v>
      </c>
      <c r="AY367" s="557">
        <f>IF(WWWW[[#This Row],[Total required water points]]-WWWW[[#This Row],['#Water points coverage]]&lt;0,0,WWWW[[#This Row],[Total required water points]]-WWWW[[#This Row],['#Water points coverage]])</f>
        <v>0</v>
      </c>
      <c r="AZ367" s="557">
        <f>ROUND(IF(WWWW[[#This Row],[Total PoP ]]&lt;250,1,WWWW[[#This Row],[Total PoP ]]/250),0)</f>
        <v>3</v>
      </c>
      <c r="BA367"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0.39141414141414144</v>
      </c>
      <c r="BB367" s="565">
        <f>WWWW[[#This Row],[% people access to functioning Latrine]]*WWWW[[#This Row],[Total PoP ]]</f>
        <v>310</v>
      </c>
      <c r="BC367" s="557">
        <f>WWWW[[#This Row],['#_of_Functioning_latrines_in_school]]*50</f>
        <v>100</v>
      </c>
      <c r="BD367" s="557">
        <f>ROUND((WWWW[[#This Row],[Total PoP ]]/6),0)</f>
        <v>132</v>
      </c>
      <c r="BE367" s="557">
        <f>IF(WWWW[[#This Row],[Total required Latrines]]-(WWWW[[#This Row],['#_of_sanitary_fly-proof_HH_latrines]])&lt;0,0,WWWW[[#This Row],[Total required Latrines]]-(WWWW[[#This Row],['#_of_sanitary_fly-proof_HH_latrines]]))</f>
        <v>97</v>
      </c>
      <c r="BF367" s="558">
        <f>1-WWWW[[#This Row],[% people access to functioning Latrine]]</f>
        <v>0.60858585858585856</v>
      </c>
      <c r="BG36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67" s="565">
        <f>IF(WWWW[[#This Row],['#_of_functional_handwashing_facilities_at_HH_level]]*6&gt;WWWW[[#This Row],[Total PoP ]],WWWW[[#This Row],[Total PoP ]],WWWW[[#This Row],['#_of_functional_handwashing_facilities_at_HH_level]]*6)</f>
        <v>0</v>
      </c>
      <c r="BI367" s="557">
        <f>IF(WWWW[[#This Row],['# people reached by regular dedicated hygiene promotion]]&gt;WWWW[[#This Row],['# People received regular supply of hygiene items]],WWWW[[#This Row],['# people reached by regular dedicated hygiene promotion]],WWWW[[#This Row],['# People received regular supply of hygiene items]])</f>
        <v>20</v>
      </c>
      <c r="BJ367" s="555">
        <f>IF(WWWW[[#This Row],[HRP3]]/WWWW[[#This Row],[Total PoP ]]&gt;100%,100%,WWWW[[#This Row],[HRP3]]/WWWW[[#This Row],[Total PoP ]])</f>
        <v>2.5252525252525252E-2</v>
      </c>
      <c r="BK367" s="558">
        <f>1-WWWW[[#This Row],[Hygiene Coverage%]]</f>
        <v>0.9747474747474747</v>
      </c>
      <c r="BL367" s="556">
        <f>WWWW[[#This Row],['# people reached by regular dedicated hygiene promotion]]/WWWW[[#This Row],[Total PoP ]]</f>
        <v>2.5252525252525252E-2</v>
      </c>
      <c r="BM36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7" s="557">
        <f>WWWW[[#This Row],['#_of_affected_women_and_girls_receiving_a_sufficient_quantity_of_sanitary_pads]]</f>
        <v>0</v>
      </c>
      <c r="BO367" s="611">
        <f>IF(WWWW[[#This Row],['# People with access to soap]]&gt;WWWW[[#This Row],['# People with access to Sanity Pads]],WWWW[[#This Row],['# People with access to soap]],WWWW[[#This Row],['# People with access to Sanity Pads]])</f>
        <v>0</v>
      </c>
      <c r="BP367" s="565" t="str">
        <f>IF(OR(WWWW[[#This Row],['#of students in school]]="",WWWW[[#This Row],['#of students in school]]=0),"No","Yes")</f>
        <v>Yes</v>
      </c>
      <c r="BQ367" s="559" t="str">
        <f>VLOOKUP(WWWW[[#This Row],[Village  Name]],SiteDB6[[Site Name]:[Location Type 1]],9,FALSE)</f>
        <v>Village</v>
      </c>
      <c r="BR367" s="559" t="str">
        <f>VLOOKUP(WWWW[[#This Row],[Village  Name]],SiteDB6[[Site Name]:[Type of Accommodation]],10,FALSE)</f>
        <v>Village</v>
      </c>
      <c r="BS367" s="559" t="str">
        <f>VLOOKUP(WWWW[[#This Row],[Village  Name]],SiteDB6[[Site Name]:[Ethnic or GCA/NGCA]],11,FALSE)</f>
        <v>Dinet</v>
      </c>
      <c r="BT367" s="559">
        <f>VLOOKUP(WWWW[[#This Row],[Village  Name]],SiteDB6[[Site Name]:[Lat]],12,FALSE)</f>
        <v>0</v>
      </c>
      <c r="BU367" s="559">
        <f>VLOOKUP(WWWW[[#This Row],[Village  Name]],SiteDB6[[Site Name]:[Long]],13,FALSE)</f>
        <v>0</v>
      </c>
      <c r="BV367" s="559">
        <f>VLOOKUP(WWWW[[#This Row],[Village  Name]],SiteDB6[[Site Name]:[Pcode]],3,FALSE)</f>
        <v>196815</v>
      </c>
      <c r="BW367" s="559" t="str">
        <f t="shared" si="13"/>
        <v>Covered</v>
      </c>
      <c r="BX367" s="587"/>
    </row>
    <row r="368" spans="1:76">
      <c r="A368" s="612" t="s">
        <v>2381</v>
      </c>
      <c r="B368" s="612" t="s">
        <v>320</v>
      </c>
      <c r="C368" s="457" t="s">
        <v>320</v>
      </c>
      <c r="D368" s="457" t="s">
        <v>336</v>
      </c>
      <c r="E368" s="551" t="s">
        <v>2687</v>
      </c>
      <c r="F368" s="457" t="s">
        <v>304</v>
      </c>
      <c r="G368" s="551" t="str">
        <f>VLOOKUP(WWWW[[#This Row],[Village  Name]],SiteDB6[[Site Name]:[Location Type]],8,FALSE)</f>
        <v>Village</v>
      </c>
      <c r="H368" s="457" t="s">
        <v>656</v>
      </c>
      <c r="I368" s="611">
        <v>50</v>
      </c>
      <c r="J368" s="611">
        <v>207</v>
      </c>
      <c r="K368" s="461">
        <v>43678</v>
      </c>
      <c r="L368" s="55">
        <v>44043</v>
      </c>
      <c r="M368" s="611">
        <v>46</v>
      </c>
      <c r="N368" s="611">
        <v>31</v>
      </c>
      <c r="O368" s="611"/>
      <c r="P368" s="611"/>
      <c r="Q368" s="611">
        <v>2</v>
      </c>
      <c r="R368" s="611"/>
      <c r="S368" s="611"/>
      <c r="T368" s="643"/>
      <c r="U368" s="611">
        <v>11</v>
      </c>
      <c r="V368" s="611" t="s">
        <v>128</v>
      </c>
      <c r="W368" s="611">
        <v>2</v>
      </c>
      <c r="X368" s="611">
        <v>4</v>
      </c>
      <c r="Y368" s="611"/>
      <c r="Z368" s="611"/>
      <c r="AA368" s="611"/>
      <c r="AB368" s="643"/>
      <c r="AC368" s="611">
        <v>4</v>
      </c>
      <c r="AD368" s="611">
        <v>16</v>
      </c>
      <c r="AE368" s="611"/>
      <c r="AF368" s="611"/>
      <c r="AG368" s="611"/>
      <c r="AH368" s="611"/>
      <c r="AI368" s="611"/>
      <c r="AJ368" s="611"/>
      <c r="AK368" s="611"/>
      <c r="AL368" s="611"/>
      <c r="AM368" s="643"/>
      <c r="AN368" s="611"/>
      <c r="AO368" s="611"/>
      <c r="AP36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8" s="565">
        <f>WWWW[[#This Row],[%Equitable and continuous access to sufficient quantity of safe drinking water]]*WWWW[[#This Row],[Total PoP ]]</f>
        <v>0</v>
      </c>
      <c r="AR36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8" s="565">
        <f>WWWW[[#This Row],[% Access to unimproved water points]]*WWWW[[#This Row],[Total PoP ]]</f>
        <v>207</v>
      </c>
      <c r="AT36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AV368" s="565">
        <f>WWWW[[#This Row],[HRP1]]/250</f>
        <v>0.82799999999999996</v>
      </c>
      <c r="AW368" s="555">
        <f>1-WWWW[[#This Row],[% Equitable and continuous access to sufficient quantity of domestic water]]</f>
        <v>0</v>
      </c>
      <c r="AX368" s="565">
        <f>WWWW[[#This Row],[%equitable and continuous access to sufficient quantity of safe drinking and domestic water''s GAP]]*WWWW[[#This Row],[Total PoP ]]</f>
        <v>0</v>
      </c>
      <c r="AY368" s="557">
        <f>IF(WWWW[[#This Row],[Total required water points]]-WWWW[[#This Row],['#Water points coverage]]&lt;0,0,WWWW[[#This Row],[Total required water points]]-WWWW[[#This Row],['#Water points coverage]])</f>
        <v>0.17200000000000004</v>
      </c>
      <c r="AZ368" s="557">
        <f>ROUND(IF(WWWW[[#This Row],[Total PoP ]]&lt;250,1,WWWW[[#This Row],[Total PoP ]]/250),0)</f>
        <v>1</v>
      </c>
      <c r="BA368"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0.80193236714975846</v>
      </c>
      <c r="BB368" s="565">
        <f>WWWW[[#This Row],[% people access to functioning Latrine]]*WWWW[[#This Row],[Total PoP ]]</f>
        <v>166</v>
      </c>
      <c r="BC368" s="557">
        <f>WWWW[[#This Row],['#_of_Functioning_latrines_in_school]]*50</f>
        <v>100</v>
      </c>
      <c r="BD368" s="557">
        <f>ROUND((WWWW[[#This Row],[Total PoP ]]/6),0)</f>
        <v>35</v>
      </c>
      <c r="BE368" s="557">
        <f>IF(WWWW[[#This Row],[Total required Latrines]]-(WWWW[[#This Row],['#_of_sanitary_fly-proof_HH_latrines]])&lt;0,0,WWWW[[#This Row],[Total required Latrines]]-(WWWW[[#This Row],['#_of_sanitary_fly-proof_HH_latrines]]))</f>
        <v>24</v>
      </c>
      <c r="BF368" s="558">
        <f>1-WWWW[[#This Row],[% people access to functioning Latrine]]</f>
        <v>0.19806763285024154</v>
      </c>
      <c r="BG36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68" s="565">
        <f>IF(WWWW[[#This Row],['#_of_functional_handwashing_facilities_at_HH_level]]*6&gt;WWWW[[#This Row],[Total PoP ]],WWWW[[#This Row],[Total PoP ]],WWWW[[#This Row],['#_of_functional_handwashing_facilities_at_HH_level]]*6)</f>
        <v>0</v>
      </c>
      <c r="BI368" s="557">
        <f>IF(WWWW[[#This Row],['# people reached by regular dedicated hygiene promotion]]&gt;WWWW[[#This Row],['# People received regular supply of hygiene items]],WWWW[[#This Row],['# people reached by regular dedicated hygiene promotion]],WWWW[[#This Row],['# People received regular supply of hygiene items]])</f>
        <v>20</v>
      </c>
      <c r="BJ368" s="555">
        <f>IF(WWWW[[#This Row],[HRP3]]/WWWW[[#This Row],[Total PoP ]]&gt;100%,100%,WWWW[[#This Row],[HRP3]]/WWWW[[#This Row],[Total PoP ]])</f>
        <v>9.6618357487922704E-2</v>
      </c>
      <c r="BK368" s="558">
        <f>1-WWWW[[#This Row],[Hygiene Coverage%]]</f>
        <v>0.90338164251207731</v>
      </c>
      <c r="BL368" s="556">
        <f>WWWW[[#This Row],['# people reached by regular dedicated hygiene promotion]]/WWWW[[#This Row],[Total PoP ]]</f>
        <v>9.6618357487922704E-2</v>
      </c>
      <c r="BM36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8" s="557">
        <f>WWWW[[#This Row],['#_of_affected_women_and_girls_receiving_a_sufficient_quantity_of_sanitary_pads]]</f>
        <v>0</v>
      </c>
      <c r="BO368" s="611">
        <f>IF(WWWW[[#This Row],['# People with access to soap]]&gt;WWWW[[#This Row],['# People with access to Sanity Pads]],WWWW[[#This Row],['# People with access to soap]],WWWW[[#This Row],['# People with access to Sanity Pads]])</f>
        <v>0</v>
      </c>
      <c r="BP368" s="565" t="str">
        <f>IF(OR(WWWW[[#This Row],['#of students in school]]="",WWWW[[#This Row],['#of students in school]]=0),"No","Yes")</f>
        <v>Yes</v>
      </c>
      <c r="BQ368" s="559" t="str">
        <f>VLOOKUP(WWWW[[#This Row],[Village  Name]],SiteDB6[[Site Name]:[Location Type 1]],9,FALSE)</f>
        <v>Village</v>
      </c>
      <c r="BR368" s="559" t="str">
        <f>VLOOKUP(WWWW[[#This Row],[Village  Name]],SiteDB6[[Site Name]:[Type of Accommodation]],10,FALSE)</f>
        <v>Village</v>
      </c>
      <c r="BS368" s="559" t="str">
        <f>VLOOKUP(WWWW[[#This Row],[Village  Name]],SiteDB6[[Site Name]:[Ethnic or GCA/NGCA]],11,FALSE)</f>
        <v>Mro</v>
      </c>
      <c r="BT368" s="559">
        <f>VLOOKUP(WWWW[[#This Row],[Village  Name]],SiteDB6[[Site Name]:[Lat]],12,FALSE)</f>
        <v>20.895059589999999</v>
      </c>
      <c r="BU368" s="559">
        <f>VLOOKUP(WWWW[[#This Row],[Village  Name]],SiteDB6[[Site Name]:[Long]],13,FALSE)</f>
        <v>92.90735626</v>
      </c>
      <c r="BV368" s="559">
        <f>VLOOKUP(WWWW[[#This Row],[Village  Name]],SiteDB6[[Site Name]:[Pcode]],3,FALSE)</f>
        <v>196807</v>
      </c>
      <c r="BW368" s="559" t="str">
        <f t="shared" si="13"/>
        <v>Covered</v>
      </c>
      <c r="BX368" s="587"/>
    </row>
    <row r="369" spans="1:76">
      <c r="A369" s="612" t="s">
        <v>2381</v>
      </c>
      <c r="B369" s="612" t="s">
        <v>320</v>
      </c>
      <c r="C369" s="457" t="s">
        <v>320</v>
      </c>
      <c r="D369" s="457" t="s">
        <v>336</v>
      </c>
      <c r="E369" s="551" t="s">
        <v>2687</v>
      </c>
      <c r="F369" s="457" t="s">
        <v>304</v>
      </c>
      <c r="G369" s="551" t="str">
        <f>VLOOKUP(WWWW[[#This Row],[Village  Name]],SiteDB6[[Site Name]:[Location Type]],8,FALSE)</f>
        <v>Village</v>
      </c>
      <c r="H369" s="457" t="s">
        <v>694</v>
      </c>
      <c r="I369" s="611">
        <v>90</v>
      </c>
      <c r="J369" s="611">
        <v>375</v>
      </c>
      <c r="K369" s="461">
        <v>43678</v>
      </c>
      <c r="L369" s="55">
        <v>44043</v>
      </c>
      <c r="M369" s="611">
        <v>62</v>
      </c>
      <c r="N369" s="611">
        <v>31</v>
      </c>
      <c r="O369" s="611"/>
      <c r="P369" s="611"/>
      <c r="Q369" s="611">
        <v>2</v>
      </c>
      <c r="R369" s="611"/>
      <c r="S369" s="611"/>
      <c r="T369" s="643"/>
      <c r="U369" s="611">
        <v>1</v>
      </c>
      <c r="V369" s="611" t="s">
        <v>128</v>
      </c>
      <c r="W369" s="611"/>
      <c r="X369" s="611">
        <v>1</v>
      </c>
      <c r="Y369" s="611"/>
      <c r="Z369" s="611"/>
      <c r="AA369" s="611"/>
      <c r="AB369" s="643"/>
      <c r="AC369" s="611">
        <v>4</v>
      </c>
      <c r="AD369" s="611">
        <v>16</v>
      </c>
      <c r="AE369" s="611"/>
      <c r="AF369" s="611"/>
      <c r="AG369" s="611"/>
      <c r="AH369" s="611"/>
      <c r="AI369" s="611"/>
      <c r="AJ369" s="611"/>
      <c r="AK369" s="611"/>
      <c r="AL369" s="611"/>
      <c r="AM369" s="643"/>
      <c r="AN369" s="611"/>
      <c r="AO369" s="611"/>
      <c r="AP36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69" s="565">
        <f>WWWW[[#This Row],[%Equitable and continuous access to sufficient quantity of safe drinking water]]*WWWW[[#This Row],[Total PoP ]]</f>
        <v>0</v>
      </c>
      <c r="AR36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69" s="565">
        <f>WWWW[[#This Row],[% Access to unimproved water points]]*WWWW[[#This Row],[Total PoP ]]</f>
        <v>375</v>
      </c>
      <c r="AT36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6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375</v>
      </c>
      <c r="AV369" s="565">
        <f>WWWW[[#This Row],[HRP1]]/250</f>
        <v>1.5</v>
      </c>
      <c r="AW369" s="555">
        <f>1-WWWW[[#This Row],[% Equitable and continuous access to sufficient quantity of domestic water]]</f>
        <v>0</v>
      </c>
      <c r="AX369" s="565">
        <f>WWWW[[#This Row],[%equitable and continuous access to sufficient quantity of safe drinking and domestic water''s GAP]]*WWWW[[#This Row],[Total PoP ]]</f>
        <v>0</v>
      </c>
      <c r="AY369" s="557">
        <f>IF(WWWW[[#This Row],[Total required water points]]-WWWW[[#This Row],['#Water points coverage]]&lt;0,0,WWWW[[#This Row],[Total required water points]]-WWWW[[#This Row],['#Water points coverage]])</f>
        <v>0.5</v>
      </c>
      <c r="AZ369" s="557">
        <f>ROUND(IF(WWWW[[#This Row],[Total PoP ]]&lt;250,1,WWWW[[#This Row],[Total PoP ]]/250),0)</f>
        <v>2</v>
      </c>
      <c r="BA36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1.6E-2</v>
      </c>
      <c r="BB369" s="565">
        <f>WWWW[[#This Row],[% people access to functioning Latrine]]*WWWW[[#This Row],[Total PoP ]]</f>
        <v>6</v>
      </c>
      <c r="BC369" s="557">
        <f>WWWW[[#This Row],['#_of_Functioning_latrines_in_school]]*50</f>
        <v>0</v>
      </c>
      <c r="BD369" s="557">
        <f>ROUND((WWWW[[#This Row],[Total PoP ]]/6),0)</f>
        <v>63</v>
      </c>
      <c r="BE369" s="557">
        <f>IF(WWWW[[#This Row],[Total required Latrines]]-(WWWW[[#This Row],['#_of_sanitary_fly-proof_HH_latrines]])&lt;0,0,WWWW[[#This Row],[Total required Latrines]]-(WWWW[[#This Row],['#_of_sanitary_fly-proof_HH_latrines]]))</f>
        <v>62</v>
      </c>
      <c r="BF369" s="558">
        <f>1-WWWW[[#This Row],[% people access to functioning Latrine]]</f>
        <v>0.98399999999999999</v>
      </c>
      <c r="BG36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69" s="565">
        <f>IF(WWWW[[#This Row],['#_of_functional_handwashing_facilities_at_HH_level]]*6&gt;WWWW[[#This Row],[Total PoP ]],WWWW[[#This Row],[Total PoP ]],WWWW[[#This Row],['#_of_functional_handwashing_facilities_at_HH_level]]*6)</f>
        <v>0</v>
      </c>
      <c r="BI369" s="557">
        <f>IF(WWWW[[#This Row],['# people reached by regular dedicated hygiene promotion]]&gt;WWWW[[#This Row],['# People received regular supply of hygiene items]],WWWW[[#This Row],['# people reached by regular dedicated hygiene promotion]],WWWW[[#This Row],['# People received regular supply of hygiene items]])</f>
        <v>20</v>
      </c>
      <c r="BJ369" s="555">
        <f>IF(WWWW[[#This Row],[HRP3]]/WWWW[[#This Row],[Total PoP ]]&gt;100%,100%,WWWW[[#This Row],[HRP3]]/WWWW[[#This Row],[Total PoP ]])</f>
        <v>5.3333333333333337E-2</v>
      </c>
      <c r="BK369" s="558">
        <f>1-WWWW[[#This Row],[Hygiene Coverage%]]</f>
        <v>0.94666666666666666</v>
      </c>
      <c r="BL369" s="556">
        <f>WWWW[[#This Row],['# people reached by regular dedicated hygiene promotion]]/WWWW[[#This Row],[Total PoP ]]</f>
        <v>5.3333333333333337E-2</v>
      </c>
      <c r="BM36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69" s="557">
        <f>WWWW[[#This Row],['#_of_affected_women_and_girls_receiving_a_sufficient_quantity_of_sanitary_pads]]</f>
        <v>0</v>
      </c>
      <c r="BO369" s="611">
        <f>IF(WWWW[[#This Row],['# People with access to soap]]&gt;WWWW[[#This Row],['# People with access to Sanity Pads]],WWWW[[#This Row],['# People with access to soap]],WWWW[[#This Row],['# People with access to Sanity Pads]])</f>
        <v>0</v>
      </c>
      <c r="BP369" s="565" t="str">
        <f>IF(OR(WWWW[[#This Row],['#of students in school]]="",WWWW[[#This Row],['#of students in school]]=0),"No","Yes")</f>
        <v>Yes</v>
      </c>
      <c r="BQ369" s="559" t="str">
        <f>VLOOKUP(WWWW[[#This Row],[Village  Name]],SiteDB6[[Site Name]:[Location Type 1]],9,FALSE)</f>
        <v>Village</v>
      </c>
      <c r="BR369" s="559" t="str">
        <f>VLOOKUP(WWWW[[#This Row],[Village  Name]],SiteDB6[[Site Name]:[Type of Accommodation]],10,FALSE)</f>
        <v>Village</v>
      </c>
      <c r="BS369" s="559" t="str">
        <f>VLOOKUP(WWWW[[#This Row],[Village  Name]],SiteDB6[[Site Name]:[Ethnic or GCA/NGCA]],11,FALSE)</f>
        <v>Rakhine</v>
      </c>
      <c r="BT369" s="559">
        <f>VLOOKUP(WWWW[[#This Row],[Village  Name]],SiteDB6[[Site Name]:[Lat]],12,FALSE)</f>
        <v>20.803710939999998</v>
      </c>
      <c r="BU369" s="559">
        <f>VLOOKUP(WWWW[[#This Row],[Village  Name]],SiteDB6[[Site Name]:[Long]],13,FALSE)</f>
        <v>92.946136469999999</v>
      </c>
      <c r="BV369" s="559">
        <f>VLOOKUP(WWWW[[#This Row],[Village  Name]],SiteDB6[[Site Name]:[Pcode]],3,FALSE)</f>
        <v>196886</v>
      </c>
      <c r="BW369" s="559" t="str">
        <f t="shared" si="13"/>
        <v>Covered</v>
      </c>
      <c r="BX369" s="587"/>
    </row>
    <row r="370" spans="1:76">
      <c r="A370" s="612" t="s">
        <v>2381</v>
      </c>
      <c r="B370" s="612" t="s">
        <v>320</v>
      </c>
      <c r="C370" s="457" t="s">
        <v>320</v>
      </c>
      <c r="D370" s="457" t="s">
        <v>336</v>
      </c>
      <c r="E370" s="551" t="s">
        <v>2687</v>
      </c>
      <c r="F370" s="457" t="s">
        <v>304</v>
      </c>
      <c r="G370" s="551" t="str">
        <f>VLOOKUP(WWWW[[#This Row],[Village  Name]],SiteDB6[[Site Name]:[Location Type]],8,FALSE)</f>
        <v>Village</v>
      </c>
      <c r="H370" s="457" t="s">
        <v>937</v>
      </c>
      <c r="I370" s="611">
        <v>173</v>
      </c>
      <c r="J370" s="611">
        <v>867</v>
      </c>
      <c r="K370" s="461">
        <v>43678</v>
      </c>
      <c r="L370" s="55">
        <v>44043</v>
      </c>
      <c r="M370" s="611">
        <v>106</v>
      </c>
      <c r="N370" s="611">
        <v>31</v>
      </c>
      <c r="O370" s="611"/>
      <c r="P370" s="611"/>
      <c r="Q370" s="611">
        <v>2</v>
      </c>
      <c r="R370" s="611"/>
      <c r="S370" s="611"/>
      <c r="T370" s="643"/>
      <c r="U370" s="611">
        <v>72</v>
      </c>
      <c r="V370" s="611" t="s">
        <v>128</v>
      </c>
      <c r="W370" s="611">
        <v>2</v>
      </c>
      <c r="X370" s="611">
        <v>11</v>
      </c>
      <c r="Y370" s="611"/>
      <c r="Z370" s="611"/>
      <c r="AA370" s="611"/>
      <c r="AB370" s="643"/>
      <c r="AC370" s="611">
        <v>2</v>
      </c>
      <c r="AD370" s="611">
        <v>18</v>
      </c>
      <c r="AE370" s="611"/>
      <c r="AF370" s="611"/>
      <c r="AG370" s="611"/>
      <c r="AH370" s="611"/>
      <c r="AI370" s="611"/>
      <c r="AJ370" s="611"/>
      <c r="AK370" s="611"/>
      <c r="AL370" s="611"/>
      <c r="AM370" s="643"/>
      <c r="AN370" s="611"/>
      <c r="AO370" s="611"/>
      <c r="AP37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70" s="565">
        <f>WWWW[[#This Row],[%Equitable and continuous access to sufficient quantity of safe drinking water]]*WWWW[[#This Row],[Total PoP ]]</f>
        <v>0</v>
      </c>
      <c r="AR37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70" s="565">
        <f>WWWW[[#This Row],[% Access to unimproved water points]]*WWWW[[#This Row],[Total PoP ]]</f>
        <v>867</v>
      </c>
      <c r="AT37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7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867</v>
      </c>
      <c r="AV370" s="565">
        <f>WWWW[[#This Row],[HRP1]]/250</f>
        <v>3.468</v>
      </c>
      <c r="AW370" s="555">
        <f>1-WWWW[[#This Row],[% Equitable and continuous access to sufficient quantity of domestic water]]</f>
        <v>0</v>
      </c>
      <c r="AX370" s="565">
        <f>WWWW[[#This Row],[%equitable and continuous access to sufficient quantity of safe drinking and domestic water''s GAP]]*WWWW[[#This Row],[Total PoP ]]</f>
        <v>0</v>
      </c>
      <c r="AY370" s="557">
        <f>IF(WWWW[[#This Row],[Total required water points]]-WWWW[[#This Row],['#Water points coverage]]&lt;0,0,WWWW[[#This Row],[Total required water points]]-WWWW[[#This Row],['#Water points coverage]])</f>
        <v>0</v>
      </c>
      <c r="AZ370" s="557">
        <f>ROUND(IF(WWWW[[#This Row],[Total PoP ]]&lt;250,1,WWWW[[#This Row],[Total PoP ]]/250),0)</f>
        <v>3</v>
      </c>
      <c r="BA37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0.61361014994232987</v>
      </c>
      <c r="BB370" s="565">
        <f>WWWW[[#This Row],[% people access to functioning Latrine]]*WWWW[[#This Row],[Total PoP ]]</f>
        <v>532</v>
      </c>
      <c r="BC370" s="557">
        <f>WWWW[[#This Row],['#_of_Functioning_latrines_in_school]]*50</f>
        <v>100</v>
      </c>
      <c r="BD370" s="557">
        <f>ROUND((WWWW[[#This Row],[Total PoP ]]/6),0)</f>
        <v>145</v>
      </c>
      <c r="BE370" s="557">
        <f>IF(WWWW[[#This Row],[Total required Latrines]]-(WWWW[[#This Row],['#_of_sanitary_fly-proof_HH_latrines]])&lt;0,0,WWWW[[#This Row],[Total required Latrines]]-(WWWW[[#This Row],['#_of_sanitary_fly-proof_HH_latrines]]))</f>
        <v>73</v>
      </c>
      <c r="BF370" s="558">
        <f>1-WWWW[[#This Row],[% people access to functioning Latrine]]</f>
        <v>0.38638985005767013</v>
      </c>
      <c r="BG37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0" s="565">
        <f>IF(WWWW[[#This Row],['#_of_functional_handwashing_facilities_at_HH_level]]*6&gt;WWWW[[#This Row],[Total PoP ]],WWWW[[#This Row],[Total PoP ]],WWWW[[#This Row],['#_of_functional_handwashing_facilities_at_HH_level]]*6)</f>
        <v>0</v>
      </c>
      <c r="BI370" s="557">
        <f>IF(WWWW[[#This Row],['# people reached by regular dedicated hygiene promotion]]&gt;WWWW[[#This Row],['# People received regular supply of hygiene items]],WWWW[[#This Row],['# people reached by regular dedicated hygiene promotion]],WWWW[[#This Row],['# People received regular supply of hygiene items]])</f>
        <v>20</v>
      </c>
      <c r="BJ370" s="555">
        <f>IF(WWWW[[#This Row],[HRP3]]/WWWW[[#This Row],[Total PoP ]]&gt;100%,100%,WWWW[[#This Row],[HRP3]]/WWWW[[#This Row],[Total PoP ]])</f>
        <v>2.306805074971165E-2</v>
      </c>
      <c r="BK370" s="558">
        <f>1-WWWW[[#This Row],[Hygiene Coverage%]]</f>
        <v>0.97693194925028837</v>
      </c>
      <c r="BL370" s="556">
        <f>WWWW[[#This Row],['# people reached by regular dedicated hygiene promotion]]/WWWW[[#This Row],[Total PoP ]]</f>
        <v>2.306805074971165E-2</v>
      </c>
      <c r="BM37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0" s="557">
        <f>WWWW[[#This Row],['#_of_affected_women_and_girls_receiving_a_sufficient_quantity_of_sanitary_pads]]</f>
        <v>0</v>
      </c>
      <c r="BO370" s="611">
        <f>IF(WWWW[[#This Row],['# People with access to soap]]&gt;WWWW[[#This Row],['# People with access to Sanity Pads]],WWWW[[#This Row],['# People with access to soap]],WWWW[[#This Row],['# People with access to Sanity Pads]])</f>
        <v>0</v>
      </c>
      <c r="BP370" s="565" t="str">
        <f>IF(OR(WWWW[[#This Row],['#of students in school]]="",WWWW[[#This Row],['#of students in school]]=0),"No","Yes")</f>
        <v>Yes</v>
      </c>
      <c r="BQ370" s="559" t="str">
        <f>VLOOKUP(WWWW[[#This Row],[Village  Name]],SiteDB6[[Site Name]:[Location Type 1]],9,FALSE)</f>
        <v>Village</v>
      </c>
      <c r="BR370" s="559" t="str">
        <f>VLOOKUP(WWWW[[#This Row],[Village  Name]],SiteDB6[[Site Name]:[Type of Accommodation]],10,FALSE)</f>
        <v>Village</v>
      </c>
      <c r="BS370" s="559">
        <f>VLOOKUP(WWWW[[#This Row],[Village  Name]],SiteDB6[[Site Name]:[Ethnic or GCA/NGCA]],11,FALSE)</f>
        <v>0</v>
      </c>
      <c r="BT370" s="559">
        <f>VLOOKUP(WWWW[[#This Row],[Village  Name]],SiteDB6[[Site Name]:[Lat]],12,FALSE)</f>
        <v>20.80635071</v>
      </c>
      <c r="BU370" s="559">
        <f>VLOOKUP(WWWW[[#This Row],[Village  Name]],SiteDB6[[Site Name]:[Long]],13,FALSE)</f>
        <v>92.948310849999999</v>
      </c>
      <c r="BV370" s="559">
        <f>VLOOKUP(WWWW[[#This Row],[Village  Name]],SiteDB6[[Site Name]:[Pcode]],3,FALSE)</f>
        <v>196885</v>
      </c>
      <c r="BW370" s="559" t="str">
        <f t="shared" si="13"/>
        <v>Covered</v>
      </c>
      <c r="BX370" s="587"/>
    </row>
    <row r="371" spans="1:76">
      <c r="A371" s="612" t="s">
        <v>2381</v>
      </c>
      <c r="B371" s="612" t="s">
        <v>320</v>
      </c>
      <c r="C371" s="457" t="s">
        <v>320</v>
      </c>
      <c r="D371" s="457" t="s">
        <v>336</v>
      </c>
      <c r="E371" s="551" t="s">
        <v>2687</v>
      </c>
      <c r="F371" s="457" t="s">
        <v>304</v>
      </c>
      <c r="G371" s="551" t="str">
        <f>VLOOKUP(WWWW[[#This Row],[Village  Name]],SiteDB6[[Site Name]:[Location Type]],8,FALSE)</f>
        <v>Village</v>
      </c>
      <c r="H371" s="457" t="s">
        <v>632</v>
      </c>
      <c r="I371" s="611">
        <v>98</v>
      </c>
      <c r="J371" s="611">
        <v>418</v>
      </c>
      <c r="K371" s="461">
        <v>43678</v>
      </c>
      <c r="L371" s="55">
        <v>44043</v>
      </c>
      <c r="M371" s="611">
        <v>56</v>
      </c>
      <c r="N371" s="611">
        <v>31</v>
      </c>
      <c r="O371" s="611"/>
      <c r="P371" s="611">
        <v>1</v>
      </c>
      <c r="Q371" s="611"/>
      <c r="R371" s="611"/>
      <c r="S371" s="611"/>
      <c r="T371" s="643"/>
      <c r="U371" s="611">
        <v>70</v>
      </c>
      <c r="V371" s="611" t="s">
        <v>128</v>
      </c>
      <c r="W371" s="611">
        <v>2</v>
      </c>
      <c r="X371" s="611">
        <v>3</v>
      </c>
      <c r="Y371" s="611"/>
      <c r="Z371" s="611"/>
      <c r="AA371" s="611"/>
      <c r="AB371" s="643"/>
      <c r="AC371" s="611">
        <v>4</v>
      </c>
      <c r="AD371" s="611">
        <v>16</v>
      </c>
      <c r="AE371" s="611"/>
      <c r="AF371" s="611"/>
      <c r="AG371" s="611"/>
      <c r="AH371" s="611"/>
      <c r="AI371" s="611"/>
      <c r="AJ371" s="611"/>
      <c r="AK371" s="611"/>
      <c r="AL371" s="611"/>
      <c r="AM371" s="643"/>
      <c r="AN371" s="611"/>
      <c r="AO371" s="611"/>
      <c r="AP37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71" s="565">
        <f>WWWW[[#This Row],[%Equitable and continuous access to sufficient quantity of safe drinking water]]*WWWW[[#This Row],[Total PoP ]]</f>
        <v>418</v>
      </c>
      <c r="AR37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71" s="565">
        <f>WWWW[[#This Row],[% Access to unimproved water points]]*WWWW[[#This Row],[Total PoP ]]</f>
        <v>0</v>
      </c>
      <c r="AT37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7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418</v>
      </c>
      <c r="AV371" s="565">
        <f>WWWW[[#This Row],[HRP1]]/250</f>
        <v>1.6719999999999999</v>
      </c>
      <c r="AW371" s="555">
        <f>1-WWWW[[#This Row],[% Equitable and continuous access to sufficient quantity of domestic water]]</f>
        <v>0</v>
      </c>
      <c r="AX371" s="565">
        <f>WWWW[[#This Row],[%equitable and continuous access to sufficient quantity of safe drinking and domestic water''s GAP]]*WWWW[[#This Row],[Total PoP ]]</f>
        <v>0</v>
      </c>
      <c r="AY371" s="557">
        <f>IF(WWWW[[#This Row],[Total required water points]]-WWWW[[#This Row],['#Water points coverage]]&lt;0,0,WWWW[[#This Row],[Total required water points]]-WWWW[[#This Row],['#Water points coverage]])</f>
        <v>0.32800000000000007</v>
      </c>
      <c r="AZ371" s="557">
        <f>ROUND(IF(WWWW[[#This Row],[Total PoP ]]&lt;250,1,WWWW[[#This Row],[Total PoP ]]/250),0)</f>
        <v>2</v>
      </c>
      <c r="BA371"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71" s="565">
        <f>WWWW[[#This Row],[% people access to functioning Latrine]]*WWWW[[#This Row],[Total PoP ]]</f>
        <v>418</v>
      </c>
      <c r="BC371" s="557">
        <f>WWWW[[#This Row],['#_of_Functioning_latrines_in_school]]*50</f>
        <v>100</v>
      </c>
      <c r="BD371" s="557">
        <f>ROUND((WWWW[[#This Row],[Total PoP ]]/6),0)</f>
        <v>70</v>
      </c>
      <c r="BE371" s="557">
        <f>IF(WWWW[[#This Row],[Total required Latrines]]-(WWWW[[#This Row],['#_of_sanitary_fly-proof_HH_latrines]])&lt;0,0,WWWW[[#This Row],[Total required Latrines]]-(WWWW[[#This Row],['#_of_sanitary_fly-proof_HH_latrines]]))</f>
        <v>0</v>
      </c>
      <c r="BF371" s="558">
        <f>1-WWWW[[#This Row],[% people access to functioning Latrine]]</f>
        <v>0</v>
      </c>
      <c r="BG37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1" s="565">
        <f>IF(WWWW[[#This Row],['#_of_functional_handwashing_facilities_at_HH_level]]*6&gt;WWWW[[#This Row],[Total PoP ]],WWWW[[#This Row],[Total PoP ]],WWWW[[#This Row],['#_of_functional_handwashing_facilities_at_HH_level]]*6)</f>
        <v>0</v>
      </c>
      <c r="BI371" s="557">
        <f>IF(WWWW[[#This Row],['# people reached by regular dedicated hygiene promotion]]&gt;WWWW[[#This Row],['# People received regular supply of hygiene items]],WWWW[[#This Row],['# people reached by regular dedicated hygiene promotion]],WWWW[[#This Row],['# People received regular supply of hygiene items]])</f>
        <v>20</v>
      </c>
      <c r="BJ371" s="555">
        <f>IF(WWWW[[#This Row],[HRP3]]/WWWW[[#This Row],[Total PoP ]]&gt;100%,100%,WWWW[[#This Row],[HRP3]]/WWWW[[#This Row],[Total PoP ]])</f>
        <v>4.784688995215311E-2</v>
      </c>
      <c r="BK371" s="558">
        <f>1-WWWW[[#This Row],[Hygiene Coverage%]]</f>
        <v>0.95215311004784686</v>
      </c>
      <c r="BL371" s="556">
        <f>WWWW[[#This Row],['# people reached by regular dedicated hygiene promotion]]/WWWW[[#This Row],[Total PoP ]]</f>
        <v>4.784688995215311E-2</v>
      </c>
      <c r="BM37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1" s="557">
        <f>WWWW[[#This Row],['#_of_affected_women_and_girls_receiving_a_sufficient_quantity_of_sanitary_pads]]</f>
        <v>0</v>
      </c>
      <c r="BO371" s="611">
        <f>IF(WWWW[[#This Row],['# People with access to soap]]&gt;WWWW[[#This Row],['# People with access to Sanity Pads]],WWWW[[#This Row],['# People with access to soap]],WWWW[[#This Row],['# People with access to Sanity Pads]])</f>
        <v>0</v>
      </c>
      <c r="BP371" s="565" t="str">
        <f>IF(OR(WWWW[[#This Row],['#of students in school]]="",WWWW[[#This Row],['#of students in school]]=0),"No","Yes")</f>
        <v>Yes</v>
      </c>
      <c r="BQ371" s="559" t="str">
        <f>VLOOKUP(WWWW[[#This Row],[Village  Name]],SiteDB6[[Site Name]:[Location Type 1]],9,FALSE)</f>
        <v>Village</v>
      </c>
      <c r="BR371" s="559" t="str">
        <f>VLOOKUP(WWWW[[#This Row],[Village  Name]],SiteDB6[[Site Name]:[Type of Accommodation]],10,FALSE)</f>
        <v>Village</v>
      </c>
      <c r="BS371" s="559" t="str">
        <f>VLOOKUP(WWWW[[#This Row],[Village  Name]],SiteDB6[[Site Name]:[Ethnic or GCA/NGCA]],11,FALSE)</f>
        <v>Mro</v>
      </c>
      <c r="BT371" s="559">
        <f>VLOOKUP(WWWW[[#This Row],[Village  Name]],SiteDB6[[Site Name]:[Lat]],12,FALSE)</f>
        <v>20.831729889999998</v>
      </c>
      <c r="BU371" s="559">
        <f>VLOOKUP(WWWW[[#This Row],[Village  Name]],SiteDB6[[Site Name]:[Long]],13,FALSE)</f>
        <v>92.919639590000003</v>
      </c>
      <c r="BV371" s="559">
        <f>VLOOKUP(WWWW[[#This Row],[Village  Name]],SiteDB6[[Site Name]:[Pcode]],3,FALSE)</f>
        <v>196880</v>
      </c>
      <c r="BW371" s="559" t="str">
        <f t="shared" si="13"/>
        <v>Covered</v>
      </c>
      <c r="BX371" s="587"/>
    </row>
    <row r="372" spans="1:76">
      <c r="A372" s="612" t="s">
        <v>2381</v>
      </c>
      <c r="B372" s="612" t="s">
        <v>320</v>
      </c>
      <c r="C372" s="457" t="s">
        <v>320</v>
      </c>
      <c r="D372" s="457" t="s">
        <v>336</v>
      </c>
      <c r="E372" s="551" t="s">
        <v>2687</v>
      </c>
      <c r="F372" s="457" t="s">
        <v>304</v>
      </c>
      <c r="G372" s="551" t="str">
        <f>VLOOKUP(WWWW[[#This Row],[Village  Name]],SiteDB6[[Site Name]:[Location Type]],8,FALSE)</f>
        <v>Village</v>
      </c>
      <c r="H372" s="457" t="s">
        <v>618</v>
      </c>
      <c r="I372" s="611">
        <v>131</v>
      </c>
      <c r="J372" s="611">
        <v>631</v>
      </c>
      <c r="K372" s="461">
        <v>43678</v>
      </c>
      <c r="L372" s="55">
        <v>44043</v>
      </c>
      <c r="M372" s="611">
        <v>257</v>
      </c>
      <c r="N372" s="611">
        <v>31</v>
      </c>
      <c r="O372" s="611"/>
      <c r="P372" s="611"/>
      <c r="Q372" s="611">
        <v>2</v>
      </c>
      <c r="R372" s="611"/>
      <c r="S372" s="611"/>
      <c r="T372" s="643"/>
      <c r="U372" s="611">
        <v>33</v>
      </c>
      <c r="V372" s="611" t="s">
        <v>128</v>
      </c>
      <c r="W372" s="611">
        <v>2</v>
      </c>
      <c r="X372" s="611">
        <v>7</v>
      </c>
      <c r="Y372" s="611"/>
      <c r="Z372" s="611"/>
      <c r="AA372" s="611"/>
      <c r="AB372" s="643"/>
      <c r="AC372" s="611">
        <v>2</v>
      </c>
      <c r="AD372" s="611">
        <v>18</v>
      </c>
      <c r="AE372" s="611"/>
      <c r="AF372" s="611"/>
      <c r="AG372" s="611"/>
      <c r="AH372" s="611"/>
      <c r="AI372" s="611"/>
      <c r="AJ372" s="611"/>
      <c r="AK372" s="611"/>
      <c r="AL372" s="611"/>
      <c r="AM372" s="643"/>
      <c r="AN372" s="611"/>
      <c r="AO372" s="611"/>
      <c r="AP37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72" s="565">
        <f>WWWW[[#This Row],[%Equitable and continuous access to sufficient quantity of safe drinking water]]*WWWW[[#This Row],[Total PoP ]]</f>
        <v>0</v>
      </c>
      <c r="AR37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72" s="565">
        <f>WWWW[[#This Row],[% Access to unimproved water points]]*WWWW[[#This Row],[Total PoP ]]</f>
        <v>631</v>
      </c>
      <c r="AT37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7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631</v>
      </c>
      <c r="AV372" s="565">
        <f>WWWW[[#This Row],[HRP1]]/250</f>
        <v>2.524</v>
      </c>
      <c r="AW372" s="555">
        <f>1-WWWW[[#This Row],[% Equitable and continuous access to sufficient quantity of domestic water]]</f>
        <v>0</v>
      </c>
      <c r="AX372" s="565">
        <f>WWWW[[#This Row],[%equitable and continuous access to sufficient quantity of safe drinking and domestic water''s GAP]]*WWWW[[#This Row],[Total PoP ]]</f>
        <v>0</v>
      </c>
      <c r="AY372" s="557">
        <f>IF(WWWW[[#This Row],[Total required water points]]-WWWW[[#This Row],['#Water points coverage]]&lt;0,0,WWWW[[#This Row],[Total required water points]]-WWWW[[#This Row],['#Water points coverage]])</f>
        <v>0.47599999999999998</v>
      </c>
      <c r="AZ372" s="557">
        <f>ROUND(IF(WWWW[[#This Row],[Total PoP ]]&lt;250,1,WWWW[[#This Row],[Total PoP ]]/250),0)</f>
        <v>3</v>
      </c>
      <c r="BA372"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0.47226624405705231</v>
      </c>
      <c r="BB372" s="565">
        <f>WWWW[[#This Row],[% people access to functioning Latrine]]*WWWW[[#This Row],[Total PoP ]]</f>
        <v>298</v>
      </c>
      <c r="BC372" s="557">
        <f>WWWW[[#This Row],['#_of_Functioning_latrines_in_school]]*50</f>
        <v>100</v>
      </c>
      <c r="BD372" s="557">
        <f>ROUND((WWWW[[#This Row],[Total PoP ]]/6),0)</f>
        <v>105</v>
      </c>
      <c r="BE372" s="557">
        <f>IF(WWWW[[#This Row],[Total required Latrines]]-(WWWW[[#This Row],['#_of_sanitary_fly-proof_HH_latrines]])&lt;0,0,WWWW[[#This Row],[Total required Latrines]]-(WWWW[[#This Row],['#_of_sanitary_fly-proof_HH_latrines]]))</f>
        <v>72</v>
      </c>
      <c r="BF372" s="558">
        <f>1-WWWW[[#This Row],[% people access to functioning Latrine]]</f>
        <v>0.52773375594294769</v>
      </c>
      <c r="BG37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2" s="565">
        <f>IF(WWWW[[#This Row],['#_of_functional_handwashing_facilities_at_HH_level]]*6&gt;WWWW[[#This Row],[Total PoP ]],WWWW[[#This Row],[Total PoP ]],WWWW[[#This Row],['#_of_functional_handwashing_facilities_at_HH_level]]*6)</f>
        <v>0</v>
      </c>
      <c r="BI372" s="557">
        <f>IF(WWWW[[#This Row],['# people reached by regular dedicated hygiene promotion]]&gt;WWWW[[#This Row],['# People received regular supply of hygiene items]],WWWW[[#This Row],['# people reached by regular dedicated hygiene promotion]],WWWW[[#This Row],['# People received regular supply of hygiene items]])</f>
        <v>20</v>
      </c>
      <c r="BJ372" s="555">
        <f>IF(WWWW[[#This Row],[HRP3]]/WWWW[[#This Row],[Total PoP ]]&gt;100%,100%,WWWW[[#This Row],[HRP3]]/WWWW[[#This Row],[Total PoP ]])</f>
        <v>3.1695721077654518E-2</v>
      </c>
      <c r="BK372" s="558">
        <f>1-WWWW[[#This Row],[Hygiene Coverage%]]</f>
        <v>0.9683042789223455</v>
      </c>
      <c r="BL372" s="556">
        <f>WWWW[[#This Row],['# people reached by regular dedicated hygiene promotion]]/WWWW[[#This Row],[Total PoP ]]</f>
        <v>3.1695721077654518E-2</v>
      </c>
      <c r="BM37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2" s="557">
        <f>WWWW[[#This Row],['#_of_affected_women_and_girls_receiving_a_sufficient_quantity_of_sanitary_pads]]</f>
        <v>0</v>
      </c>
      <c r="BO372" s="611">
        <f>IF(WWWW[[#This Row],['# People with access to soap]]&gt;WWWW[[#This Row],['# People with access to Sanity Pads]],WWWW[[#This Row],['# People with access to soap]],WWWW[[#This Row],['# People with access to Sanity Pads]])</f>
        <v>0</v>
      </c>
      <c r="BP372" s="565" t="str">
        <f>IF(OR(WWWW[[#This Row],['#of students in school]]="",WWWW[[#This Row],['#of students in school]]=0),"No","Yes")</f>
        <v>Yes</v>
      </c>
      <c r="BQ372" s="559" t="str">
        <f>VLOOKUP(WWWW[[#This Row],[Village  Name]],SiteDB6[[Site Name]:[Location Type 1]],9,FALSE)</f>
        <v>Village</v>
      </c>
      <c r="BR372" s="559" t="str">
        <f>VLOOKUP(WWWW[[#This Row],[Village  Name]],SiteDB6[[Site Name]:[Type of Accommodation]],10,FALSE)</f>
        <v>Village</v>
      </c>
      <c r="BS372" s="559" t="str">
        <f>VLOOKUP(WWWW[[#This Row],[Village  Name]],SiteDB6[[Site Name]:[Ethnic or GCA/NGCA]],11,FALSE)</f>
        <v>Mro</v>
      </c>
      <c r="BT372" s="559">
        <f>VLOOKUP(WWWW[[#This Row],[Village  Name]],SiteDB6[[Site Name]:[Lat]],12,FALSE)</f>
        <v>20.809240339999999</v>
      </c>
      <c r="BU372" s="559">
        <f>VLOOKUP(WWWW[[#This Row],[Village  Name]],SiteDB6[[Site Name]:[Long]],13,FALSE)</f>
        <v>92.923919679999997</v>
      </c>
      <c r="BV372" s="559">
        <f>VLOOKUP(WWWW[[#This Row],[Village  Name]],SiteDB6[[Site Name]:[Pcode]],3,FALSE)</f>
        <v>196881</v>
      </c>
      <c r="BW372" s="559" t="str">
        <f t="shared" si="13"/>
        <v>Covered</v>
      </c>
      <c r="BX372" s="587"/>
    </row>
    <row r="373" spans="1:76">
      <c r="A373" s="612" t="s">
        <v>2381</v>
      </c>
      <c r="B373" s="612" t="s">
        <v>320</v>
      </c>
      <c r="C373" s="457" t="s">
        <v>320</v>
      </c>
      <c r="D373" s="457" t="s">
        <v>336</v>
      </c>
      <c r="E373" s="551" t="s">
        <v>2687</v>
      </c>
      <c r="F373" s="457" t="s">
        <v>304</v>
      </c>
      <c r="G373" s="551" t="str">
        <f>VLOOKUP(WWWW[[#This Row],[Village  Name]],SiteDB6[[Site Name]:[Location Type]],8,FALSE)</f>
        <v>Village</v>
      </c>
      <c r="H373" s="457" t="s">
        <v>617</v>
      </c>
      <c r="I373" s="611">
        <v>42</v>
      </c>
      <c r="J373" s="611">
        <v>184</v>
      </c>
      <c r="K373" s="461">
        <v>43678</v>
      </c>
      <c r="L373" s="55">
        <v>44043</v>
      </c>
      <c r="M373" s="611">
        <v>31</v>
      </c>
      <c r="N373" s="611">
        <v>31</v>
      </c>
      <c r="O373" s="611"/>
      <c r="P373" s="611"/>
      <c r="Q373" s="611">
        <v>1</v>
      </c>
      <c r="R373" s="611"/>
      <c r="S373" s="611"/>
      <c r="T373" s="643"/>
      <c r="U373" s="611">
        <v>12</v>
      </c>
      <c r="V373" s="611" t="s">
        <v>128</v>
      </c>
      <c r="W373" s="611"/>
      <c r="X373" s="611">
        <v>2</v>
      </c>
      <c r="Y373" s="611"/>
      <c r="Z373" s="611"/>
      <c r="AA373" s="611"/>
      <c r="AB373" s="643"/>
      <c r="AC373" s="611">
        <v>2</v>
      </c>
      <c r="AD373" s="611">
        <v>18</v>
      </c>
      <c r="AE373" s="611"/>
      <c r="AF373" s="611"/>
      <c r="AG373" s="611"/>
      <c r="AH373" s="611"/>
      <c r="AI373" s="611"/>
      <c r="AJ373" s="611"/>
      <c r="AK373" s="611"/>
      <c r="AL373" s="611"/>
      <c r="AM373" s="643"/>
      <c r="AN373" s="611"/>
      <c r="AO373" s="611"/>
      <c r="AP37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73" s="565">
        <f>WWWW[[#This Row],[%Equitable and continuous access to sufficient quantity of safe drinking water]]*WWWW[[#This Row],[Total PoP ]]</f>
        <v>0</v>
      </c>
      <c r="AR37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73" s="565">
        <f>WWWW[[#This Row],[% Access to unimproved water points]]*WWWW[[#This Row],[Total PoP ]]</f>
        <v>184</v>
      </c>
      <c r="AT37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7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AV373" s="565">
        <f>WWWW[[#This Row],[HRP1]]/250</f>
        <v>0.73599999999999999</v>
      </c>
      <c r="AW373" s="555">
        <f>1-WWWW[[#This Row],[% Equitable and continuous access to sufficient quantity of domestic water]]</f>
        <v>0</v>
      </c>
      <c r="AX373" s="565">
        <f>WWWW[[#This Row],[%equitable and continuous access to sufficient quantity of safe drinking and domestic water''s GAP]]*WWWW[[#This Row],[Total PoP ]]</f>
        <v>0</v>
      </c>
      <c r="AY373" s="557">
        <f>IF(WWWW[[#This Row],[Total required water points]]-WWWW[[#This Row],['#Water points coverage]]&lt;0,0,WWWW[[#This Row],[Total required water points]]-WWWW[[#This Row],['#Water points coverage]])</f>
        <v>0.26400000000000001</v>
      </c>
      <c r="AZ373" s="557">
        <f>ROUND(IF(WWWW[[#This Row],[Total PoP ]]&lt;250,1,WWWW[[#This Row],[Total PoP ]]/250),0)</f>
        <v>1</v>
      </c>
      <c r="BA37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0.39130434782608697</v>
      </c>
      <c r="BB373" s="565">
        <f>WWWW[[#This Row],[% people access to functioning Latrine]]*WWWW[[#This Row],[Total PoP ]]</f>
        <v>72</v>
      </c>
      <c r="BC373" s="557">
        <f>WWWW[[#This Row],['#_of_Functioning_latrines_in_school]]*50</f>
        <v>0</v>
      </c>
      <c r="BD373" s="557">
        <f>ROUND((WWWW[[#This Row],[Total PoP ]]/6),0)</f>
        <v>31</v>
      </c>
      <c r="BE373" s="557">
        <f>IF(WWWW[[#This Row],[Total required Latrines]]-(WWWW[[#This Row],['#_of_sanitary_fly-proof_HH_latrines]])&lt;0,0,WWWW[[#This Row],[Total required Latrines]]-(WWWW[[#This Row],['#_of_sanitary_fly-proof_HH_latrines]]))</f>
        <v>19</v>
      </c>
      <c r="BF373" s="558">
        <f>1-WWWW[[#This Row],[% people access to functioning Latrine]]</f>
        <v>0.60869565217391308</v>
      </c>
      <c r="BG37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3" s="565">
        <f>IF(WWWW[[#This Row],['#_of_functional_handwashing_facilities_at_HH_level]]*6&gt;WWWW[[#This Row],[Total PoP ]],WWWW[[#This Row],[Total PoP ]],WWWW[[#This Row],['#_of_functional_handwashing_facilities_at_HH_level]]*6)</f>
        <v>0</v>
      </c>
      <c r="BI373" s="557">
        <f>IF(WWWW[[#This Row],['# people reached by regular dedicated hygiene promotion]]&gt;WWWW[[#This Row],['# People received regular supply of hygiene items]],WWWW[[#This Row],['# people reached by regular dedicated hygiene promotion]],WWWW[[#This Row],['# People received regular supply of hygiene items]])</f>
        <v>20</v>
      </c>
      <c r="BJ373" s="555">
        <f>IF(WWWW[[#This Row],[HRP3]]/WWWW[[#This Row],[Total PoP ]]&gt;100%,100%,WWWW[[#This Row],[HRP3]]/WWWW[[#This Row],[Total PoP ]])</f>
        <v>0.10869565217391304</v>
      </c>
      <c r="BK373" s="558">
        <f>1-WWWW[[#This Row],[Hygiene Coverage%]]</f>
        <v>0.89130434782608692</v>
      </c>
      <c r="BL373" s="556">
        <f>WWWW[[#This Row],['# people reached by regular dedicated hygiene promotion]]/WWWW[[#This Row],[Total PoP ]]</f>
        <v>0.10869565217391304</v>
      </c>
      <c r="BM37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3" s="557">
        <f>WWWW[[#This Row],['#_of_affected_women_and_girls_receiving_a_sufficient_quantity_of_sanitary_pads]]</f>
        <v>0</v>
      </c>
      <c r="BO373" s="611">
        <f>IF(WWWW[[#This Row],['# People with access to soap]]&gt;WWWW[[#This Row],['# People with access to Sanity Pads]],WWWW[[#This Row],['# People with access to soap]],WWWW[[#This Row],['# People with access to Sanity Pads]])</f>
        <v>0</v>
      </c>
      <c r="BP373" s="565" t="str">
        <f>IF(OR(WWWW[[#This Row],['#of students in school]]="",WWWW[[#This Row],['#of students in school]]=0),"No","Yes")</f>
        <v>Yes</v>
      </c>
      <c r="BQ373" s="559" t="str">
        <f>VLOOKUP(WWWW[[#This Row],[Village  Name]],SiteDB6[[Site Name]:[Location Type 1]],9,FALSE)</f>
        <v>Village</v>
      </c>
      <c r="BR373" s="559" t="str">
        <f>VLOOKUP(WWWW[[#This Row],[Village  Name]],SiteDB6[[Site Name]:[Type of Accommodation]],10,FALSE)</f>
        <v>Village</v>
      </c>
      <c r="BS373" s="559" t="str">
        <f>VLOOKUP(WWWW[[#This Row],[Village  Name]],SiteDB6[[Site Name]:[Ethnic or GCA/NGCA]],11,FALSE)</f>
        <v>Mro</v>
      </c>
      <c r="BT373" s="559">
        <f>VLOOKUP(WWWW[[#This Row],[Village  Name]],SiteDB6[[Site Name]:[Lat]],12,FALSE)</f>
        <v>20.807970050000002</v>
      </c>
      <c r="BU373" s="559">
        <f>VLOOKUP(WWWW[[#This Row],[Village  Name]],SiteDB6[[Site Name]:[Long]],13,FALSE)</f>
        <v>92.929046630000002</v>
      </c>
      <c r="BV373" s="559">
        <f>VLOOKUP(WWWW[[#This Row],[Village  Name]],SiteDB6[[Site Name]:[Pcode]],3,FALSE)</f>
        <v>196882</v>
      </c>
      <c r="BW373" s="559" t="str">
        <f t="shared" si="13"/>
        <v>Covered</v>
      </c>
      <c r="BX373" s="587"/>
    </row>
    <row r="374" spans="1:76">
      <c r="A374" s="612" t="s">
        <v>2381</v>
      </c>
      <c r="B374" s="612" t="s">
        <v>320</v>
      </c>
      <c r="C374" s="457" t="s">
        <v>320</v>
      </c>
      <c r="D374" s="457" t="s">
        <v>336</v>
      </c>
      <c r="E374" s="551" t="s">
        <v>2687</v>
      </c>
      <c r="F374" s="457" t="s">
        <v>304</v>
      </c>
      <c r="G374" s="551" t="str">
        <f>VLOOKUP(WWWW[[#This Row],[Village  Name]],SiteDB6[[Site Name]:[Location Type]],8,FALSE)</f>
        <v>Village</v>
      </c>
      <c r="H374" s="457" t="s">
        <v>609</v>
      </c>
      <c r="I374" s="611">
        <v>73</v>
      </c>
      <c r="J374" s="611">
        <v>343</v>
      </c>
      <c r="K374" s="461">
        <v>43678</v>
      </c>
      <c r="L374" s="55">
        <v>44043</v>
      </c>
      <c r="M374" s="611">
        <v>56</v>
      </c>
      <c r="N374" s="611">
        <v>31</v>
      </c>
      <c r="O374" s="611"/>
      <c r="P374" s="611"/>
      <c r="Q374" s="611"/>
      <c r="R374" s="611"/>
      <c r="S374" s="611">
        <v>1</v>
      </c>
      <c r="T374" s="643"/>
      <c r="U374" s="611">
        <v>33</v>
      </c>
      <c r="V374" s="611" t="s">
        <v>128</v>
      </c>
      <c r="W374" s="611">
        <v>3</v>
      </c>
      <c r="X374" s="611">
        <v>6</v>
      </c>
      <c r="Y374" s="611"/>
      <c r="Z374" s="611"/>
      <c r="AA374" s="611"/>
      <c r="AB374" s="643"/>
      <c r="AC374" s="611">
        <v>4</v>
      </c>
      <c r="AD374" s="611">
        <v>16</v>
      </c>
      <c r="AE374" s="611"/>
      <c r="AF374" s="611"/>
      <c r="AG374" s="611"/>
      <c r="AH374" s="611"/>
      <c r="AI374" s="611"/>
      <c r="AJ374" s="611"/>
      <c r="AK374" s="611"/>
      <c r="AL374" s="611"/>
      <c r="AM374" s="643"/>
      <c r="AN374" s="611"/>
      <c r="AO374" s="611"/>
      <c r="AP37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0.7288629737609329</v>
      </c>
      <c r="AQ374" s="565">
        <f>WWWW[[#This Row],[%Equitable and continuous access to sufficient quantity of safe drinking water]]*WWWW[[#This Row],[Total PoP ]]</f>
        <v>249.99999999999997</v>
      </c>
      <c r="AR37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74" s="565">
        <f>WWWW[[#This Row],[% Access to unimproved water points]]*WWWW[[#This Row],[Total PoP ]]</f>
        <v>0</v>
      </c>
      <c r="AT37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0.7288629737609329</v>
      </c>
      <c r="AU37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249.99999999999997</v>
      </c>
      <c r="AV374" s="565">
        <f>WWWW[[#This Row],[HRP1]]/250</f>
        <v>0.99999999999999989</v>
      </c>
      <c r="AW374" s="555">
        <f>1-WWWW[[#This Row],[% Equitable and continuous access to sufficient quantity of domestic water]]</f>
        <v>0.2711370262390671</v>
      </c>
      <c r="AX374" s="565">
        <f>WWWW[[#This Row],[%equitable and continuous access to sufficient quantity of safe drinking and domestic water''s GAP]]*WWWW[[#This Row],[Total PoP ]]</f>
        <v>93.000000000000014</v>
      </c>
      <c r="AY374" s="557">
        <f>IF(WWWW[[#This Row],[Total required water points]]-WWWW[[#This Row],['#Water points coverage]]&lt;0,0,WWWW[[#This Row],[Total required water points]]-WWWW[[#This Row],['#Water points coverage]])</f>
        <v>1.1102230246251565E-16</v>
      </c>
      <c r="AZ374" s="557">
        <f>ROUND(IF(WWWW[[#This Row],[Total PoP ]]&lt;250,1,WWWW[[#This Row],[Total PoP ]]/250),0)</f>
        <v>1</v>
      </c>
      <c r="BA374"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74" s="565">
        <f>WWWW[[#This Row],[% people access to functioning Latrine]]*WWWW[[#This Row],[Total PoP ]]</f>
        <v>343</v>
      </c>
      <c r="BC374" s="557">
        <f>WWWW[[#This Row],['#_of_Functioning_latrines_in_school]]*50</f>
        <v>150</v>
      </c>
      <c r="BD374" s="557">
        <f>ROUND((WWWW[[#This Row],[Total PoP ]]/6),0)</f>
        <v>57</v>
      </c>
      <c r="BE374" s="557">
        <f>IF(WWWW[[#This Row],[Total required Latrines]]-(WWWW[[#This Row],['#_of_sanitary_fly-proof_HH_latrines]])&lt;0,0,WWWW[[#This Row],[Total required Latrines]]-(WWWW[[#This Row],['#_of_sanitary_fly-proof_HH_latrines]]))</f>
        <v>24</v>
      </c>
      <c r="BF374" s="558">
        <f>1-WWWW[[#This Row],[% people access to functioning Latrine]]</f>
        <v>0</v>
      </c>
      <c r="BG37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4" s="565">
        <f>IF(WWWW[[#This Row],['#_of_functional_handwashing_facilities_at_HH_level]]*6&gt;WWWW[[#This Row],[Total PoP ]],WWWW[[#This Row],[Total PoP ]],WWWW[[#This Row],['#_of_functional_handwashing_facilities_at_HH_level]]*6)</f>
        <v>0</v>
      </c>
      <c r="BI374" s="557">
        <f>IF(WWWW[[#This Row],['# people reached by regular dedicated hygiene promotion]]&gt;WWWW[[#This Row],['# People received regular supply of hygiene items]],WWWW[[#This Row],['# people reached by regular dedicated hygiene promotion]],WWWW[[#This Row],['# People received regular supply of hygiene items]])</f>
        <v>20</v>
      </c>
      <c r="BJ374" s="555">
        <f>IF(WWWW[[#This Row],[HRP3]]/WWWW[[#This Row],[Total PoP ]]&gt;100%,100%,WWWW[[#This Row],[HRP3]]/WWWW[[#This Row],[Total PoP ]])</f>
        <v>5.8309037900874633E-2</v>
      </c>
      <c r="BK374" s="558">
        <f>1-WWWW[[#This Row],[Hygiene Coverage%]]</f>
        <v>0.94169096209912539</v>
      </c>
      <c r="BL374" s="556">
        <f>WWWW[[#This Row],['# people reached by regular dedicated hygiene promotion]]/WWWW[[#This Row],[Total PoP ]]</f>
        <v>5.8309037900874633E-2</v>
      </c>
      <c r="BM37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4" s="557">
        <f>WWWW[[#This Row],['#_of_affected_women_and_girls_receiving_a_sufficient_quantity_of_sanitary_pads]]</f>
        <v>0</v>
      </c>
      <c r="BO374" s="611">
        <f>IF(WWWW[[#This Row],['# People with access to soap]]&gt;WWWW[[#This Row],['# People with access to Sanity Pads]],WWWW[[#This Row],['# People with access to soap]],WWWW[[#This Row],['# People with access to Sanity Pads]])</f>
        <v>0</v>
      </c>
      <c r="BP374" s="565" t="str">
        <f>IF(OR(WWWW[[#This Row],['#of students in school]]="",WWWW[[#This Row],['#of students in school]]=0),"No","Yes")</f>
        <v>Yes</v>
      </c>
      <c r="BQ374" s="559" t="str">
        <f>VLOOKUP(WWWW[[#This Row],[Village  Name]],SiteDB6[[Site Name]:[Location Type 1]],9,FALSE)</f>
        <v>Village</v>
      </c>
      <c r="BR374" s="559" t="str">
        <f>VLOOKUP(WWWW[[#This Row],[Village  Name]],SiteDB6[[Site Name]:[Type of Accommodation]],10,FALSE)</f>
        <v>Village</v>
      </c>
      <c r="BS374" s="559" t="str">
        <f>VLOOKUP(WWWW[[#This Row],[Village  Name]],SiteDB6[[Site Name]:[Ethnic or GCA/NGCA]],11,FALSE)</f>
        <v>Mro</v>
      </c>
      <c r="BT374" s="559">
        <f>VLOOKUP(WWWW[[#This Row],[Village  Name]],SiteDB6[[Site Name]:[Lat]],12,FALSE)</f>
        <v>20.803529739999998</v>
      </c>
      <c r="BU374" s="559">
        <f>VLOOKUP(WWWW[[#This Row],[Village  Name]],SiteDB6[[Site Name]:[Long]],13,FALSE)</f>
        <v>92.929466250000004</v>
      </c>
      <c r="BV374" s="559">
        <f>VLOOKUP(WWWW[[#This Row],[Village  Name]],SiteDB6[[Site Name]:[Pcode]],3,FALSE)</f>
        <v>196883</v>
      </c>
      <c r="BW374" s="559" t="str">
        <f t="shared" si="13"/>
        <v>Covered</v>
      </c>
      <c r="BX374" s="587"/>
    </row>
    <row r="375" spans="1:76">
      <c r="A375" s="612" t="s">
        <v>2381</v>
      </c>
      <c r="B375" s="612" t="s">
        <v>320</v>
      </c>
      <c r="C375" s="457" t="s">
        <v>320</v>
      </c>
      <c r="D375" s="457" t="s">
        <v>336</v>
      </c>
      <c r="E375" s="551" t="s">
        <v>2687</v>
      </c>
      <c r="F375" s="457" t="s">
        <v>304</v>
      </c>
      <c r="G375" s="551" t="str">
        <f>VLOOKUP(WWWW[[#This Row],[Village  Name]],SiteDB6[[Site Name]:[Location Type]],8,FALSE)</f>
        <v>Village</v>
      </c>
      <c r="H375" s="457" t="s">
        <v>637</v>
      </c>
      <c r="I375" s="611">
        <v>73</v>
      </c>
      <c r="J375" s="611">
        <v>397</v>
      </c>
      <c r="K375" s="461">
        <v>43678</v>
      </c>
      <c r="L375" s="55">
        <v>44043</v>
      </c>
      <c r="M375" s="611">
        <v>74</v>
      </c>
      <c r="N375" s="611">
        <v>31</v>
      </c>
      <c r="O375" s="611">
        <v>1</v>
      </c>
      <c r="P375" s="611"/>
      <c r="Q375" s="611">
        <v>1</v>
      </c>
      <c r="R375" s="611"/>
      <c r="S375" s="611">
        <v>1</v>
      </c>
      <c r="T375" s="643"/>
      <c r="U375" s="611">
        <v>42</v>
      </c>
      <c r="V375" s="611" t="s">
        <v>128</v>
      </c>
      <c r="W375" s="611">
        <v>2</v>
      </c>
      <c r="X375" s="611">
        <v>2</v>
      </c>
      <c r="Y375" s="611"/>
      <c r="Z375" s="611"/>
      <c r="AA375" s="611"/>
      <c r="AB375" s="643"/>
      <c r="AC375" s="611"/>
      <c r="AD375" s="611">
        <v>20</v>
      </c>
      <c r="AE375" s="611"/>
      <c r="AF375" s="611"/>
      <c r="AG375" s="611"/>
      <c r="AH375" s="611"/>
      <c r="AI375" s="611"/>
      <c r="AJ375" s="611"/>
      <c r="AK375" s="611"/>
      <c r="AL375" s="611"/>
      <c r="AM375" s="643"/>
      <c r="AN375" s="611"/>
      <c r="AO375" s="611"/>
      <c r="AP37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75" s="565">
        <f>WWWW[[#This Row],[%Equitable and continuous access to sufficient quantity of safe drinking water]]*WWWW[[#This Row],[Total PoP ]]</f>
        <v>397</v>
      </c>
      <c r="AR37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75" s="565">
        <f>WWWW[[#This Row],[% Access to unimproved water points]]*WWWW[[#This Row],[Total PoP ]]</f>
        <v>397</v>
      </c>
      <c r="AT37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7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397</v>
      </c>
      <c r="AV375" s="565">
        <f>WWWW[[#This Row],[HRP1]]/250</f>
        <v>1.5880000000000001</v>
      </c>
      <c r="AW375" s="555">
        <f>1-WWWW[[#This Row],[% Equitable and continuous access to sufficient quantity of domestic water]]</f>
        <v>0</v>
      </c>
      <c r="AX375" s="565">
        <f>WWWW[[#This Row],[%equitable and continuous access to sufficient quantity of safe drinking and domestic water''s GAP]]*WWWW[[#This Row],[Total PoP ]]</f>
        <v>0</v>
      </c>
      <c r="AY375" s="557">
        <f>IF(WWWW[[#This Row],[Total required water points]]-WWWW[[#This Row],['#Water points coverage]]&lt;0,0,WWWW[[#This Row],[Total required water points]]-WWWW[[#This Row],['#Water points coverage]])</f>
        <v>0.41199999999999992</v>
      </c>
      <c r="AZ375" s="557">
        <f>ROUND(IF(WWWW[[#This Row],[Total PoP ]]&lt;250,1,WWWW[[#This Row],[Total PoP ]]/250),0)</f>
        <v>2</v>
      </c>
      <c r="BA375"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0.88664987405541562</v>
      </c>
      <c r="BB375" s="565">
        <f>WWWW[[#This Row],[% people access to functioning Latrine]]*WWWW[[#This Row],[Total PoP ]]</f>
        <v>352</v>
      </c>
      <c r="BC375" s="557">
        <f>WWWW[[#This Row],['#_of_Functioning_latrines_in_school]]*50</f>
        <v>100</v>
      </c>
      <c r="BD375" s="557">
        <f>ROUND((WWWW[[#This Row],[Total PoP ]]/6),0)</f>
        <v>66</v>
      </c>
      <c r="BE375" s="557">
        <f>IF(WWWW[[#This Row],[Total required Latrines]]-(WWWW[[#This Row],['#_of_sanitary_fly-proof_HH_latrines]])&lt;0,0,WWWW[[#This Row],[Total required Latrines]]-(WWWW[[#This Row],['#_of_sanitary_fly-proof_HH_latrines]]))</f>
        <v>24</v>
      </c>
      <c r="BF375" s="558">
        <f>1-WWWW[[#This Row],[% people access to functioning Latrine]]</f>
        <v>0.11335012594458438</v>
      </c>
      <c r="BG37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5" s="565">
        <f>IF(WWWW[[#This Row],['#_of_functional_handwashing_facilities_at_HH_level]]*6&gt;WWWW[[#This Row],[Total PoP ]],WWWW[[#This Row],[Total PoP ]],WWWW[[#This Row],['#_of_functional_handwashing_facilities_at_HH_level]]*6)</f>
        <v>0</v>
      </c>
      <c r="BI375" s="557">
        <f>IF(WWWW[[#This Row],['# people reached by regular dedicated hygiene promotion]]&gt;WWWW[[#This Row],['# People received regular supply of hygiene items]],WWWW[[#This Row],['# people reached by regular dedicated hygiene promotion]],WWWW[[#This Row],['# People received regular supply of hygiene items]])</f>
        <v>20</v>
      </c>
      <c r="BJ375" s="555">
        <f>IF(WWWW[[#This Row],[HRP3]]/WWWW[[#This Row],[Total PoP ]]&gt;100%,100%,WWWW[[#This Row],[HRP3]]/WWWW[[#This Row],[Total PoP ]])</f>
        <v>5.0377833753148617E-2</v>
      </c>
      <c r="BK375" s="558">
        <f>1-WWWW[[#This Row],[Hygiene Coverage%]]</f>
        <v>0.94962216624685136</v>
      </c>
      <c r="BL375" s="556">
        <f>WWWW[[#This Row],['# people reached by regular dedicated hygiene promotion]]/WWWW[[#This Row],[Total PoP ]]</f>
        <v>5.0377833753148617E-2</v>
      </c>
      <c r="BM37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5" s="557">
        <f>WWWW[[#This Row],['#_of_affected_women_and_girls_receiving_a_sufficient_quantity_of_sanitary_pads]]</f>
        <v>0</v>
      </c>
      <c r="BO375" s="611">
        <f>IF(WWWW[[#This Row],['# People with access to soap]]&gt;WWWW[[#This Row],['# People with access to Sanity Pads]],WWWW[[#This Row],['# People with access to soap]],WWWW[[#This Row],['# People with access to Sanity Pads]])</f>
        <v>0</v>
      </c>
      <c r="BP375" s="565" t="str">
        <f>IF(OR(WWWW[[#This Row],['#of students in school]]="",WWWW[[#This Row],['#of students in school]]=0),"No","Yes")</f>
        <v>Yes</v>
      </c>
      <c r="BQ375" s="559" t="str">
        <f>VLOOKUP(WWWW[[#This Row],[Village  Name]],SiteDB6[[Site Name]:[Location Type 1]],9,FALSE)</f>
        <v>Village</v>
      </c>
      <c r="BR375" s="559" t="str">
        <f>VLOOKUP(WWWW[[#This Row],[Village  Name]],SiteDB6[[Site Name]:[Type of Accommodation]],10,FALSE)</f>
        <v>Village</v>
      </c>
      <c r="BS375" s="559" t="str">
        <f>VLOOKUP(WWWW[[#This Row],[Village  Name]],SiteDB6[[Site Name]:[Ethnic or GCA/NGCA]],11,FALSE)</f>
        <v>Mro</v>
      </c>
      <c r="BT375" s="559">
        <f>VLOOKUP(WWWW[[#This Row],[Village  Name]],SiteDB6[[Site Name]:[Lat]],12,FALSE)</f>
        <v>20.851089479999999</v>
      </c>
      <c r="BU375" s="559">
        <f>VLOOKUP(WWWW[[#This Row],[Village  Name]],SiteDB6[[Site Name]:[Long]],13,FALSE)</f>
        <v>92.916893009999995</v>
      </c>
      <c r="BV375" s="559">
        <f>VLOOKUP(WWWW[[#This Row],[Village  Name]],SiteDB6[[Site Name]:[Pcode]],3,FALSE)</f>
        <v>196825</v>
      </c>
      <c r="BW375" s="559" t="str">
        <f t="shared" si="13"/>
        <v>Covered</v>
      </c>
      <c r="BX375" s="587"/>
    </row>
    <row r="376" spans="1:76">
      <c r="A376" s="612" t="s">
        <v>2381</v>
      </c>
      <c r="B376" s="612" t="s">
        <v>320</v>
      </c>
      <c r="C376" s="457" t="s">
        <v>320</v>
      </c>
      <c r="D376" s="457" t="s">
        <v>336</v>
      </c>
      <c r="E376" s="551" t="s">
        <v>2687</v>
      </c>
      <c r="F376" s="457" t="s">
        <v>304</v>
      </c>
      <c r="G376" s="551" t="str">
        <f>VLOOKUP(WWWW[[#This Row],[Village  Name]],SiteDB6[[Site Name]:[Location Type]],8,FALSE)</f>
        <v>Village</v>
      </c>
      <c r="H376" s="457" t="s">
        <v>696</v>
      </c>
      <c r="I376" s="611">
        <v>138</v>
      </c>
      <c r="J376" s="611">
        <v>609</v>
      </c>
      <c r="K376" s="461">
        <v>43678</v>
      </c>
      <c r="L376" s="55">
        <v>44043</v>
      </c>
      <c r="M376" s="611">
        <v>103</v>
      </c>
      <c r="N376" s="611">
        <v>31</v>
      </c>
      <c r="O376" s="611"/>
      <c r="P376" s="611"/>
      <c r="Q376" s="611">
        <v>2</v>
      </c>
      <c r="R376" s="611"/>
      <c r="S376" s="611"/>
      <c r="T376" s="643"/>
      <c r="U376" s="611">
        <v>89</v>
      </c>
      <c r="V376" s="611" t="s">
        <v>128</v>
      </c>
      <c r="W376" s="611">
        <v>2</v>
      </c>
      <c r="X376" s="611">
        <v>13</v>
      </c>
      <c r="Y376" s="611"/>
      <c r="Z376" s="611"/>
      <c r="AA376" s="611"/>
      <c r="AB376" s="643"/>
      <c r="AC376" s="611"/>
      <c r="AD376" s="611">
        <v>20</v>
      </c>
      <c r="AE376" s="611"/>
      <c r="AF376" s="611"/>
      <c r="AG376" s="611"/>
      <c r="AH376" s="611"/>
      <c r="AI376" s="611"/>
      <c r="AJ376" s="611"/>
      <c r="AK376" s="611"/>
      <c r="AL376" s="611"/>
      <c r="AM376" s="643"/>
      <c r="AN376" s="611"/>
      <c r="AO376" s="611"/>
      <c r="AP37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76" s="565">
        <f>WWWW[[#This Row],[%Equitable and continuous access to sufficient quantity of safe drinking water]]*WWWW[[#This Row],[Total PoP ]]</f>
        <v>0</v>
      </c>
      <c r="AR37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76" s="565">
        <f>WWWW[[#This Row],[% Access to unimproved water points]]*WWWW[[#This Row],[Total PoP ]]</f>
        <v>609</v>
      </c>
      <c r="AT37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7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609</v>
      </c>
      <c r="AV376" s="565">
        <f>WWWW[[#This Row],[HRP1]]/250</f>
        <v>2.4359999999999999</v>
      </c>
      <c r="AW376" s="555">
        <f>1-WWWW[[#This Row],[% Equitable and continuous access to sufficient quantity of domestic water]]</f>
        <v>0</v>
      </c>
      <c r="AX376" s="565">
        <f>WWWW[[#This Row],[%equitable and continuous access to sufficient quantity of safe drinking and domestic water''s GAP]]*WWWW[[#This Row],[Total PoP ]]</f>
        <v>0</v>
      </c>
      <c r="AY376" s="557">
        <f>IF(WWWW[[#This Row],[Total required water points]]-WWWW[[#This Row],['#Water points coverage]]&lt;0,0,WWWW[[#This Row],[Total required water points]]-WWWW[[#This Row],['#Water points coverage]])</f>
        <v>0</v>
      </c>
      <c r="AZ376" s="557">
        <f>ROUND(IF(WWWW[[#This Row],[Total PoP ]]&lt;250,1,WWWW[[#This Row],[Total PoP ]]/250),0)</f>
        <v>2</v>
      </c>
      <c r="BA376"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76" s="565">
        <f>WWWW[[#This Row],[% people access to functioning Latrine]]*WWWW[[#This Row],[Total PoP ]]</f>
        <v>609</v>
      </c>
      <c r="BC376" s="557">
        <f>WWWW[[#This Row],['#_of_Functioning_latrines_in_school]]*50</f>
        <v>100</v>
      </c>
      <c r="BD376" s="557">
        <f>ROUND((WWWW[[#This Row],[Total PoP ]]/6),0)</f>
        <v>102</v>
      </c>
      <c r="BE376" s="557">
        <f>IF(WWWW[[#This Row],[Total required Latrines]]-(WWWW[[#This Row],['#_of_sanitary_fly-proof_HH_latrines]])&lt;0,0,WWWW[[#This Row],[Total required Latrines]]-(WWWW[[#This Row],['#_of_sanitary_fly-proof_HH_latrines]]))</f>
        <v>13</v>
      </c>
      <c r="BF376" s="558">
        <f>1-WWWW[[#This Row],[% people access to functioning Latrine]]</f>
        <v>0</v>
      </c>
      <c r="BG37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6" s="565">
        <f>IF(WWWW[[#This Row],['#_of_functional_handwashing_facilities_at_HH_level]]*6&gt;WWWW[[#This Row],[Total PoP ]],WWWW[[#This Row],[Total PoP ]],WWWW[[#This Row],['#_of_functional_handwashing_facilities_at_HH_level]]*6)</f>
        <v>0</v>
      </c>
      <c r="BI376" s="557">
        <f>IF(WWWW[[#This Row],['# people reached by regular dedicated hygiene promotion]]&gt;WWWW[[#This Row],['# People received regular supply of hygiene items]],WWWW[[#This Row],['# people reached by regular dedicated hygiene promotion]],WWWW[[#This Row],['# People received regular supply of hygiene items]])</f>
        <v>20</v>
      </c>
      <c r="BJ376" s="555">
        <f>IF(WWWW[[#This Row],[HRP3]]/WWWW[[#This Row],[Total PoP ]]&gt;100%,100%,WWWW[[#This Row],[HRP3]]/WWWW[[#This Row],[Total PoP ]])</f>
        <v>3.2840722495894911E-2</v>
      </c>
      <c r="BK376" s="558">
        <f>1-WWWW[[#This Row],[Hygiene Coverage%]]</f>
        <v>0.96715927750410513</v>
      </c>
      <c r="BL376" s="556">
        <f>WWWW[[#This Row],['# people reached by regular dedicated hygiene promotion]]/WWWW[[#This Row],[Total PoP ]]</f>
        <v>3.2840722495894911E-2</v>
      </c>
      <c r="BM37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6" s="557">
        <f>WWWW[[#This Row],['#_of_affected_women_and_girls_receiving_a_sufficient_quantity_of_sanitary_pads]]</f>
        <v>0</v>
      </c>
      <c r="BO376" s="611">
        <f>IF(WWWW[[#This Row],['# People with access to soap]]&gt;WWWW[[#This Row],['# People with access to Sanity Pads]],WWWW[[#This Row],['# People with access to soap]],WWWW[[#This Row],['# People with access to Sanity Pads]])</f>
        <v>0</v>
      </c>
      <c r="BP376" s="565" t="str">
        <f>IF(OR(WWWW[[#This Row],['#of students in school]]="",WWWW[[#This Row],['#of students in school]]=0),"No","Yes")</f>
        <v>Yes</v>
      </c>
      <c r="BQ376" s="559" t="str">
        <f>VLOOKUP(WWWW[[#This Row],[Village  Name]],SiteDB6[[Site Name]:[Location Type 1]],9,FALSE)</f>
        <v>Village</v>
      </c>
      <c r="BR376" s="559" t="str">
        <f>VLOOKUP(WWWW[[#This Row],[Village  Name]],SiteDB6[[Site Name]:[Type of Accommodation]],10,FALSE)</f>
        <v>Village</v>
      </c>
      <c r="BS376" s="559" t="str">
        <f>VLOOKUP(WWWW[[#This Row],[Village  Name]],SiteDB6[[Site Name]:[Ethnic or GCA/NGCA]],11,FALSE)</f>
        <v>Rakhine</v>
      </c>
      <c r="BT376" s="559">
        <f>VLOOKUP(WWWW[[#This Row],[Village  Name]],SiteDB6[[Site Name]:[Lat]],12,FALSE)</f>
        <v>20.67705917</v>
      </c>
      <c r="BU376" s="559">
        <f>VLOOKUP(WWWW[[#This Row],[Village  Name]],SiteDB6[[Site Name]:[Long]],13,FALSE)</f>
        <v>92.953247070000003</v>
      </c>
      <c r="BV376" s="559">
        <f>VLOOKUP(WWWW[[#This Row],[Village  Name]],SiteDB6[[Site Name]:[Pcode]],3,FALSE)</f>
        <v>196929</v>
      </c>
      <c r="BW376" s="559" t="str">
        <f t="shared" si="13"/>
        <v>Covered</v>
      </c>
      <c r="BX376" s="587"/>
    </row>
    <row r="377" spans="1:76">
      <c r="A377" s="612" t="s">
        <v>2381</v>
      </c>
      <c r="B377" s="612" t="s">
        <v>320</v>
      </c>
      <c r="C377" s="457" t="s">
        <v>320</v>
      </c>
      <c r="D377" s="457" t="s">
        <v>336</v>
      </c>
      <c r="E377" s="551" t="s">
        <v>2687</v>
      </c>
      <c r="F377" s="457" t="s">
        <v>304</v>
      </c>
      <c r="G377" s="551" t="str">
        <f>VLOOKUP(WWWW[[#This Row],[Village  Name]],SiteDB6[[Site Name]:[Location Type]],8,FALSE)</f>
        <v>Village</v>
      </c>
      <c r="H377" s="457" t="s">
        <v>538</v>
      </c>
      <c r="I377" s="611">
        <v>76</v>
      </c>
      <c r="J377" s="611">
        <v>394</v>
      </c>
      <c r="K377" s="461">
        <v>43678</v>
      </c>
      <c r="L377" s="55">
        <v>44043</v>
      </c>
      <c r="M377" s="611">
        <v>40</v>
      </c>
      <c r="N377" s="611">
        <v>31</v>
      </c>
      <c r="O377" s="611"/>
      <c r="P377" s="611"/>
      <c r="Q377" s="611">
        <v>2</v>
      </c>
      <c r="R377" s="611"/>
      <c r="S377" s="611"/>
      <c r="T377" s="643"/>
      <c r="U377" s="611">
        <v>62</v>
      </c>
      <c r="V377" s="611" t="s">
        <v>128</v>
      </c>
      <c r="W377" s="611"/>
      <c r="X377" s="611">
        <v>5</v>
      </c>
      <c r="Y377" s="611"/>
      <c r="Z377" s="611"/>
      <c r="AA377" s="611"/>
      <c r="AB377" s="643"/>
      <c r="AC377" s="611"/>
      <c r="AD377" s="611">
        <v>20</v>
      </c>
      <c r="AE377" s="611"/>
      <c r="AF377" s="611"/>
      <c r="AG377" s="611"/>
      <c r="AH377" s="611"/>
      <c r="AI377" s="611"/>
      <c r="AJ377" s="611"/>
      <c r="AK377" s="611"/>
      <c r="AL377" s="611"/>
      <c r="AM377" s="643"/>
      <c r="AN377" s="611"/>
      <c r="AO377" s="611"/>
      <c r="AP37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77" s="565">
        <f>WWWW[[#This Row],[%Equitable and continuous access to sufficient quantity of safe drinking water]]*WWWW[[#This Row],[Total PoP ]]</f>
        <v>0</v>
      </c>
      <c r="AR37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77" s="565">
        <f>WWWW[[#This Row],[% Access to unimproved water points]]*WWWW[[#This Row],[Total PoP ]]</f>
        <v>394</v>
      </c>
      <c r="AT37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7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v>
      </c>
      <c r="AV377" s="565">
        <f>WWWW[[#This Row],[HRP1]]/250</f>
        <v>1.5760000000000001</v>
      </c>
      <c r="AW377" s="555">
        <f>1-WWWW[[#This Row],[% Equitable and continuous access to sufficient quantity of domestic water]]</f>
        <v>0</v>
      </c>
      <c r="AX377" s="565">
        <f>WWWW[[#This Row],[%equitable and continuous access to sufficient quantity of safe drinking and domestic water''s GAP]]*WWWW[[#This Row],[Total PoP ]]</f>
        <v>0</v>
      </c>
      <c r="AY377" s="557">
        <f>IF(WWWW[[#This Row],[Total required water points]]-WWWW[[#This Row],['#Water points coverage]]&lt;0,0,WWWW[[#This Row],[Total required water points]]-WWWW[[#This Row],['#Water points coverage]])</f>
        <v>0.42399999999999993</v>
      </c>
      <c r="AZ377" s="557">
        <f>ROUND(IF(WWWW[[#This Row],[Total PoP ]]&lt;250,1,WWWW[[#This Row],[Total PoP ]]/250),0)</f>
        <v>2</v>
      </c>
      <c r="BA37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0.9441624365482234</v>
      </c>
      <c r="BB377" s="565">
        <f>WWWW[[#This Row],[% people access to functioning Latrine]]*WWWW[[#This Row],[Total PoP ]]</f>
        <v>372</v>
      </c>
      <c r="BC377" s="557">
        <f>WWWW[[#This Row],['#_of_Functioning_latrines_in_school]]*50</f>
        <v>0</v>
      </c>
      <c r="BD377" s="557">
        <f>ROUND((WWWW[[#This Row],[Total PoP ]]/6),0)</f>
        <v>66</v>
      </c>
      <c r="BE377" s="557">
        <f>IF(WWWW[[#This Row],[Total required Latrines]]-(WWWW[[#This Row],['#_of_sanitary_fly-proof_HH_latrines]])&lt;0,0,WWWW[[#This Row],[Total required Latrines]]-(WWWW[[#This Row],['#_of_sanitary_fly-proof_HH_latrines]]))</f>
        <v>4</v>
      </c>
      <c r="BF377" s="558">
        <f>1-WWWW[[#This Row],[% people access to functioning Latrine]]</f>
        <v>5.5837563451776595E-2</v>
      </c>
      <c r="BG37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7" s="565">
        <f>IF(WWWW[[#This Row],['#_of_functional_handwashing_facilities_at_HH_level]]*6&gt;WWWW[[#This Row],[Total PoP ]],WWWW[[#This Row],[Total PoP ]],WWWW[[#This Row],['#_of_functional_handwashing_facilities_at_HH_level]]*6)</f>
        <v>0</v>
      </c>
      <c r="BI377" s="557">
        <f>IF(WWWW[[#This Row],['# people reached by regular dedicated hygiene promotion]]&gt;WWWW[[#This Row],['# People received regular supply of hygiene items]],WWWW[[#This Row],['# people reached by regular dedicated hygiene promotion]],WWWW[[#This Row],['# People received regular supply of hygiene items]])</f>
        <v>20</v>
      </c>
      <c r="BJ377" s="555">
        <f>IF(WWWW[[#This Row],[HRP3]]/WWWW[[#This Row],[Total PoP ]]&gt;100%,100%,WWWW[[#This Row],[HRP3]]/WWWW[[#This Row],[Total PoP ]])</f>
        <v>5.0761421319796954E-2</v>
      </c>
      <c r="BK377" s="558">
        <f>1-WWWW[[#This Row],[Hygiene Coverage%]]</f>
        <v>0.949238578680203</v>
      </c>
      <c r="BL377" s="556">
        <f>WWWW[[#This Row],['# people reached by regular dedicated hygiene promotion]]/WWWW[[#This Row],[Total PoP ]]</f>
        <v>5.0761421319796954E-2</v>
      </c>
      <c r="BM37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7" s="557">
        <f>WWWW[[#This Row],['#_of_affected_women_and_girls_receiving_a_sufficient_quantity_of_sanitary_pads]]</f>
        <v>0</v>
      </c>
      <c r="BO377" s="611">
        <f>IF(WWWW[[#This Row],['# People with access to soap]]&gt;WWWW[[#This Row],['# People with access to Sanity Pads]],WWWW[[#This Row],['# People with access to soap]],WWWW[[#This Row],['# People with access to Sanity Pads]])</f>
        <v>0</v>
      </c>
      <c r="BP377" s="565" t="str">
        <f>IF(OR(WWWW[[#This Row],['#of students in school]]="",WWWW[[#This Row],['#of students in school]]=0),"No","Yes")</f>
        <v>Yes</v>
      </c>
      <c r="BQ377" s="559" t="str">
        <f>VLOOKUP(WWWW[[#This Row],[Village  Name]],SiteDB6[[Site Name]:[Location Type 1]],9,FALSE)</f>
        <v>Village</v>
      </c>
      <c r="BR377" s="559" t="str">
        <f>VLOOKUP(WWWW[[#This Row],[Village  Name]],SiteDB6[[Site Name]:[Type of Accommodation]],10,FALSE)</f>
        <v>Village</v>
      </c>
      <c r="BS377" s="559" t="str">
        <f>VLOOKUP(WWWW[[#This Row],[Village  Name]],SiteDB6[[Site Name]:[Ethnic or GCA/NGCA]],11,FALSE)</f>
        <v>Rakhine, Mro, Khami</v>
      </c>
      <c r="BT377" s="559">
        <f>VLOOKUP(WWWW[[#This Row],[Village  Name]],SiteDB6[[Site Name]:[Lat]],12,FALSE)</f>
        <v>20.681715010000001</v>
      </c>
      <c r="BU377" s="559">
        <f>VLOOKUP(WWWW[[#This Row],[Village  Name]],SiteDB6[[Site Name]:[Long]],13,FALSE)</f>
        <v>92.94140625</v>
      </c>
      <c r="BV377" s="559">
        <f>VLOOKUP(WWWW[[#This Row],[Village  Name]],SiteDB6[[Site Name]:[Pcode]],3,FALSE)</f>
        <v>196930</v>
      </c>
      <c r="BW377" s="559" t="str">
        <f t="shared" si="13"/>
        <v>Covered</v>
      </c>
      <c r="BX377" s="587"/>
    </row>
    <row r="378" spans="1:76">
      <c r="A378" s="612" t="s">
        <v>2381</v>
      </c>
      <c r="B378" s="612" t="s">
        <v>320</v>
      </c>
      <c r="C378" s="457" t="s">
        <v>320</v>
      </c>
      <c r="D378" s="457" t="s">
        <v>336</v>
      </c>
      <c r="E378" s="551" t="s">
        <v>2687</v>
      </c>
      <c r="F378" s="457" t="s">
        <v>304</v>
      </c>
      <c r="G378" s="551" t="str">
        <f>VLOOKUP(WWWW[[#This Row],[Village  Name]],SiteDB6[[Site Name]:[Location Type]],8,FALSE)</f>
        <v>Village</v>
      </c>
      <c r="H378" s="457" t="s">
        <v>693</v>
      </c>
      <c r="I378" s="611">
        <v>185</v>
      </c>
      <c r="J378" s="611">
        <v>915</v>
      </c>
      <c r="K378" s="461">
        <v>43678</v>
      </c>
      <c r="L378" s="55">
        <v>44043</v>
      </c>
      <c r="M378" s="611">
        <v>110</v>
      </c>
      <c r="N378" s="611">
        <v>31</v>
      </c>
      <c r="O378" s="611"/>
      <c r="P378" s="611"/>
      <c r="Q378" s="611">
        <v>3</v>
      </c>
      <c r="R378" s="611"/>
      <c r="S378" s="611"/>
      <c r="T378" s="643"/>
      <c r="U378" s="611">
        <v>42</v>
      </c>
      <c r="V378" s="611" t="s">
        <v>128</v>
      </c>
      <c r="W378" s="611">
        <v>2</v>
      </c>
      <c r="X378" s="611">
        <v>11</v>
      </c>
      <c r="Y378" s="611"/>
      <c r="Z378" s="611"/>
      <c r="AA378" s="611"/>
      <c r="AB378" s="643"/>
      <c r="AC378" s="611">
        <v>2</v>
      </c>
      <c r="AD378" s="611">
        <v>18</v>
      </c>
      <c r="AE378" s="611"/>
      <c r="AF378" s="611"/>
      <c r="AG378" s="611"/>
      <c r="AH378" s="611"/>
      <c r="AI378" s="611"/>
      <c r="AJ378" s="611"/>
      <c r="AK378" s="611"/>
      <c r="AL378" s="611"/>
      <c r="AM378" s="643"/>
      <c r="AN378" s="611"/>
      <c r="AO378" s="611"/>
      <c r="AP37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78" s="565">
        <f>WWWW[[#This Row],[%Equitable and continuous access to sufficient quantity of safe drinking water]]*WWWW[[#This Row],[Total PoP ]]</f>
        <v>0</v>
      </c>
      <c r="AR37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78" s="565">
        <f>WWWW[[#This Row],[% Access to unimproved water points]]*WWWW[[#This Row],[Total PoP ]]</f>
        <v>915</v>
      </c>
      <c r="AT37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7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915</v>
      </c>
      <c r="AV378" s="565">
        <f>WWWW[[#This Row],[HRP1]]/250</f>
        <v>3.66</v>
      </c>
      <c r="AW378" s="555">
        <f>1-WWWW[[#This Row],[% Equitable and continuous access to sufficient quantity of domestic water]]</f>
        <v>0</v>
      </c>
      <c r="AX378" s="565">
        <f>WWWW[[#This Row],[%equitable and continuous access to sufficient quantity of safe drinking and domestic water''s GAP]]*WWWW[[#This Row],[Total PoP ]]</f>
        <v>0</v>
      </c>
      <c r="AY378" s="557">
        <f>IF(WWWW[[#This Row],[Total required water points]]-WWWW[[#This Row],['#Water points coverage]]&lt;0,0,WWWW[[#This Row],[Total required water points]]-WWWW[[#This Row],['#Water points coverage]])</f>
        <v>0.33999999999999986</v>
      </c>
      <c r="AZ378" s="557">
        <f>ROUND(IF(WWWW[[#This Row],[Total PoP ]]&lt;250,1,WWWW[[#This Row],[Total PoP ]]/250),0)</f>
        <v>4</v>
      </c>
      <c r="BA378"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0.3846994535519126</v>
      </c>
      <c r="BB378" s="565">
        <f>WWWW[[#This Row],[% people access to functioning Latrine]]*WWWW[[#This Row],[Total PoP ]]</f>
        <v>352</v>
      </c>
      <c r="BC378" s="557">
        <f>WWWW[[#This Row],['#_of_Functioning_latrines_in_school]]*50</f>
        <v>100</v>
      </c>
      <c r="BD378" s="557">
        <f>ROUND((WWWW[[#This Row],[Total PoP ]]/6),0)</f>
        <v>153</v>
      </c>
      <c r="BE378" s="557">
        <f>IF(WWWW[[#This Row],[Total required Latrines]]-(WWWW[[#This Row],['#_of_sanitary_fly-proof_HH_latrines]])&lt;0,0,WWWW[[#This Row],[Total required Latrines]]-(WWWW[[#This Row],['#_of_sanitary_fly-proof_HH_latrines]]))</f>
        <v>111</v>
      </c>
      <c r="BF378" s="558">
        <f>1-WWWW[[#This Row],[% people access to functioning Latrine]]</f>
        <v>0.6153005464480874</v>
      </c>
      <c r="BG37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8" s="565">
        <f>IF(WWWW[[#This Row],['#_of_functional_handwashing_facilities_at_HH_level]]*6&gt;WWWW[[#This Row],[Total PoP ]],WWWW[[#This Row],[Total PoP ]],WWWW[[#This Row],['#_of_functional_handwashing_facilities_at_HH_level]]*6)</f>
        <v>0</v>
      </c>
      <c r="BI378" s="557">
        <f>IF(WWWW[[#This Row],['# people reached by regular dedicated hygiene promotion]]&gt;WWWW[[#This Row],['# People received regular supply of hygiene items]],WWWW[[#This Row],['# people reached by regular dedicated hygiene promotion]],WWWW[[#This Row],['# People received regular supply of hygiene items]])</f>
        <v>20</v>
      </c>
      <c r="BJ378" s="555">
        <f>IF(WWWW[[#This Row],[HRP3]]/WWWW[[#This Row],[Total PoP ]]&gt;100%,100%,WWWW[[#This Row],[HRP3]]/WWWW[[#This Row],[Total PoP ]])</f>
        <v>2.185792349726776E-2</v>
      </c>
      <c r="BK378" s="558">
        <f>1-WWWW[[#This Row],[Hygiene Coverage%]]</f>
        <v>0.97814207650273222</v>
      </c>
      <c r="BL378" s="556">
        <f>WWWW[[#This Row],['# people reached by regular dedicated hygiene promotion]]/WWWW[[#This Row],[Total PoP ]]</f>
        <v>2.185792349726776E-2</v>
      </c>
      <c r="BM37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8" s="557">
        <f>WWWW[[#This Row],['#_of_affected_women_and_girls_receiving_a_sufficient_quantity_of_sanitary_pads]]</f>
        <v>0</v>
      </c>
      <c r="BO378" s="611">
        <f>IF(WWWW[[#This Row],['# People with access to soap]]&gt;WWWW[[#This Row],['# People with access to Sanity Pads]],WWWW[[#This Row],['# People with access to soap]],WWWW[[#This Row],['# People with access to Sanity Pads]])</f>
        <v>0</v>
      </c>
      <c r="BP378" s="565" t="str">
        <f>IF(OR(WWWW[[#This Row],['#of students in school]]="",WWWW[[#This Row],['#of students in school]]=0),"No","Yes")</f>
        <v>Yes</v>
      </c>
      <c r="BQ378" s="559" t="str">
        <f>VLOOKUP(WWWW[[#This Row],[Village  Name]],SiteDB6[[Site Name]:[Location Type 1]],9,FALSE)</f>
        <v>Village</v>
      </c>
      <c r="BR378" s="559" t="str">
        <f>VLOOKUP(WWWW[[#This Row],[Village  Name]],SiteDB6[[Site Name]:[Type of Accommodation]],10,FALSE)</f>
        <v>Village</v>
      </c>
      <c r="BS378" s="559" t="str">
        <f>VLOOKUP(WWWW[[#This Row],[Village  Name]],SiteDB6[[Site Name]:[Ethnic or GCA/NGCA]],11,FALSE)</f>
        <v>Rakhine</v>
      </c>
      <c r="BT378" s="559">
        <f>VLOOKUP(WWWW[[#This Row],[Village  Name]],SiteDB6[[Site Name]:[Lat]],12,FALSE)</f>
        <v>20.786739350000001</v>
      </c>
      <c r="BU378" s="559">
        <f>VLOOKUP(WWWW[[#This Row],[Village  Name]],SiteDB6[[Site Name]:[Long]],13,FALSE)</f>
        <v>92.944313050000005</v>
      </c>
      <c r="BV378" s="559">
        <f>VLOOKUP(WWWW[[#This Row],[Village  Name]],SiteDB6[[Site Name]:[Pcode]],3,FALSE)</f>
        <v>196884</v>
      </c>
      <c r="BW378" s="559" t="str">
        <f t="shared" si="13"/>
        <v>Covered</v>
      </c>
      <c r="BX378" s="587"/>
    </row>
    <row r="379" spans="1:76">
      <c r="A379" s="612" t="s">
        <v>2381</v>
      </c>
      <c r="B379" s="612" t="s">
        <v>320</v>
      </c>
      <c r="C379" s="457" t="s">
        <v>320</v>
      </c>
      <c r="D379" s="457" t="s">
        <v>336</v>
      </c>
      <c r="E379" s="551" t="s">
        <v>2687</v>
      </c>
      <c r="F379" s="457" t="s">
        <v>304</v>
      </c>
      <c r="G379" s="551" t="str">
        <f>VLOOKUP(WWWW[[#This Row],[Village  Name]],SiteDB6[[Site Name]:[Location Type]],8,FALSE)</f>
        <v>Village</v>
      </c>
      <c r="H379" s="457" t="s">
        <v>598</v>
      </c>
      <c r="I379" s="611">
        <v>122</v>
      </c>
      <c r="J379" s="611">
        <v>486</v>
      </c>
      <c r="K379" s="461">
        <v>43678</v>
      </c>
      <c r="L379" s="55">
        <v>44043</v>
      </c>
      <c r="M379" s="611">
        <v>460</v>
      </c>
      <c r="N379" s="611">
        <v>31</v>
      </c>
      <c r="O379" s="611"/>
      <c r="P379" s="611"/>
      <c r="Q379" s="611">
        <v>3</v>
      </c>
      <c r="R379" s="611"/>
      <c r="S379" s="611"/>
      <c r="T379" s="643"/>
      <c r="U379" s="611">
        <v>32</v>
      </c>
      <c r="V379" s="611" t="s">
        <v>128</v>
      </c>
      <c r="W379" s="611"/>
      <c r="X379" s="611">
        <v>5</v>
      </c>
      <c r="Y379" s="611"/>
      <c r="Z379" s="611"/>
      <c r="AA379" s="611"/>
      <c r="AB379" s="643"/>
      <c r="AC379" s="611">
        <v>2</v>
      </c>
      <c r="AD379" s="611">
        <v>18</v>
      </c>
      <c r="AE379" s="611"/>
      <c r="AF379" s="611"/>
      <c r="AG379" s="611"/>
      <c r="AH379" s="611"/>
      <c r="AI379" s="611"/>
      <c r="AJ379" s="611"/>
      <c r="AK379" s="611"/>
      <c r="AL379" s="611"/>
      <c r="AM379" s="643"/>
      <c r="AN379" s="611"/>
      <c r="AO379" s="611"/>
      <c r="AP37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79" s="565">
        <f>WWWW[[#This Row],[%Equitable and continuous access to sufficient quantity of safe drinking water]]*WWWW[[#This Row],[Total PoP ]]</f>
        <v>0</v>
      </c>
      <c r="AR37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79" s="565">
        <f>WWWW[[#This Row],[% Access to unimproved water points]]*WWWW[[#This Row],[Total PoP ]]</f>
        <v>486</v>
      </c>
      <c r="AT37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7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486</v>
      </c>
      <c r="AV379" s="565">
        <f>WWWW[[#This Row],[HRP1]]/250</f>
        <v>1.944</v>
      </c>
      <c r="AW379" s="555">
        <f>1-WWWW[[#This Row],[% Equitable and continuous access to sufficient quantity of domestic water]]</f>
        <v>0</v>
      </c>
      <c r="AX379" s="565">
        <f>WWWW[[#This Row],[%equitable and continuous access to sufficient quantity of safe drinking and domestic water''s GAP]]*WWWW[[#This Row],[Total PoP ]]</f>
        <v>0</v>
      </c>
      <c r="AY379" s="557">
        <f>IF(WWWW[[#This Row],[Total required water points]]-WWWW[[#This Row],['#Water points coverage]]&lt;0,0,WWWW[[#This Row],[Total required water points]]-WWWW[[#This Row],['#Water points coverage]])</f>
        <v>5.600000000000005E-2</v>
      </c>
      <c r="AZ379" s="557">
        <f>ROUND(IF(WWWW[[#This Row],[Total PoP ]]&lt;250,1,WWWW[[#This Row],[Total PoP ]]/250),0)</f>
        <v>2</v>
      </c>
      <c r="BA37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0.39506172839506171</v>
      </c>
      <c r="BB379" s="565">
        <f>WWWW[[#This Row],[% people access to functioning Latrine]]*WWWW[[#This Row],[Total PoP ]]</f>
        <v>192</v>
      </c>
      <c r="BC379" s="557">
        <f>WWWW[[#This Row],['#_of_Functioning_latrines_in_school]]*50</f>
        <v>0</v>
      </c>
      <c r="BD379" s="557">
        <f>ROUND((WWWW[[#This Row],[Total PoP ]]/6),0)</f>
        <v>81</v>
      </c>
      <c r="BE379" s="557">
        <f>IF(WWWW[[#This Row],[Total required Latrines]]-(WWWW[[#This Row],['#_of_sanitary_fly-proof_HH_latrines]])&lt;0,0,WWWW[[#This Row],[Total required Latrines]]-(WWWW[[#This Row],['#_of_sanitary_fly-proof_HH_latrines]]))</f>
        <v>49</v>
      </c>
      <c r="BF379" s="558">
        <f>1-WWWW[[#This Row],[% people access to functioning Latrine]]</f>
        <v>0.60493827160493829</v>
      </c>
      <c r="BG37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H379" s="565">
        <f>IF(WWWW[[#This Row],['#_of_functional_handwashing_facilities_at_HH_level]]*6&gt;WWWW[[#This Row],[Total PoP ]],WWWW[[#This Row],[Total PoP ]],WWWW[[#This Row],['#_of_functional_handwashing_facilities_at_HH_level]]*6)</f>
        <v>0</v>
      </c>
      <c r="BI379" s="557">
        <f>IF(WWWW[[#This Row],['# people reached by regular dedicated hygiene promotion]]&gt;WWWW[[#This Row],['# People received regular supply of hygiene items]],WWWW[[#This Row],['# people reached by regular dedicated hygiene promotion]],WWWW[[#This Row],['# People received regular supply of hygiene items]])</f>
        <v>20</v>
      </c>
      <c r="BJ379" s="555">
        <f>IF(WWWW[[#This Row],[HRP3]]/WWWW[[#This Row],[Total PoP ]]&gt;100%,100%,WWWW[[#This Row],[HRP3]]/WWWW[[#This Row],[Total PoP ]])</f>
        <v>4.1152263374485597E-2</v>
      </c>
      <c r="BK379" s="558">
        <f>1-WWWW[[#This Row],[Hygiene Coverage%]]</f>
        <v>0.95884773662551437</v>
      </c>
      <c r="BL379" s="556">
        <f>WWWW[[#This Row],['# people reached by regular dedicated hygiene promotion]]/WWWW[[#This Row],[Total PoP ]]</f>
        <v>4.1152263374485597E-2</v>
      </c>
      <c r="BM37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79" s="557">
        <f>WWWW[[#This Row],['#_of_affected_women_and_girls_receiving_a_sufficient_quantity_of_sanitary_pads]]</f>
        <v>0</v>
      </c>
      <c r="BO379" s="611">
        <f>IF(WWWW[[#This Row],['# People with access to soap]]&gt;WWWW[[#This Row],['# People with access to Sanity Pads]],WWWW[[#This Row],['# People with access to soap]],WWWW[[#This Row],['# People with access to Sanity Pads]])</f>
        <v>0</v>
      </c>
      <c r="BP379" s="565" t="str">
        <f>IF(OR(WWWW[[#This Row],['#of students in school]]="",WWWW[[#This Row],['#of students in school]]=0),"No","Yes")</f>
        <v>Yes</v>
      </c>
      <c r="BQ379" s="559" t="str">
        <f>VLOOKUP(WWWW[[#This Row],[Village  Name]],SiteDB6[[Site Name]:[Location Type 1]],9,FALSE)</f>
        <v>Village</v>
      </c>
      <c r="BR379" s="559" t="str">
        <f>VLOOKUP(WWWW[[#This Row],[Village  Name]],SiteDB6[[Site Name]:[Type of Accommodation]],10,FALSE)</f>
        <v>Village</v>
      </c>
      <c r="BS379" s="559" t="str">
        <f>VLOOKUP(WWWW[[#This Row],[Village  Name]],SiteDB6[[Site Name]:[Ethnic or GCA/NGCA]],11,FALSE)</f>
        <v>Mro</v>
      </c>
      <c r="BT379" s="559">
        <f>VLOOKUP(WWWW[[#This Row],[Village  Name]],SiteDB6[[Site Name]:[Lat]],12,FALSE)</f>
        <v>20.785770419999999</v>
      </c>
      <c r="BU379" s="559">
        <f>VLOOKUP(WWWW[[#This Row],[Village  Name]],SiteDB6[[Site Name]:[Long]],13,FALSE)</f>
        <v>92.931426999999999</v>
      </c>
      <c r="BV379" s="559">
        <f>VLOOKUP(WWWW[[#This Row],[Village  Name]],SiteDB6[[Site Name]:[Pcode]],3,FALSE)</f>
        <v>196887</v>
      </c>
      <c r="BW379" s="559" t="str">
        <f t="shared" si="13"/>
        <v>Covered</v>
      </c>
      <c r="BX379" s="587"/>
    </row>
    <row r="380" spans="1:76">
      <c r="A380" s="612" t="s">
        <v>2381</v>
      </c>
      <c r="B380" s="612" t="s">
        <v>3036</v>
      </c>
      <c r="C380" s="612" t="s">
        <v>3036</v>
      </c>
      <c r="D380" s="457" t="s">
        <v>3037</v>
      </c>
      <c r="E380" s="457" t="s">
        <v>2687</v>
      </c>
      <c r="F380" s="457" t="s">
        <v>304</v>
      </c>
      <c r="G380" s="551" t="str">
        <f>VLOOKUP(WWWW[[#This Row],[Village  Name]],SiteDB6[[Site Name]:[Location Type]],8,FALSE)</f>
        <v>Village</v>
      </c>
      <c r="H380" s="457" t="s">
        <v>2247</v>
      </c>
      <c r="I380" s="611">
        <v>174</v>
      </c>
      <c r="J380" s="611">
        <v>665</v>
      </c>
      <c r="K380" s="461" t="s">
        <v>3039</v>
      </c>
      <c r="L380" s="55" t="s">
        <v>3040</v>
      </c>
      <c r="M380" s="611">
        <v>354</v>
      </c>
      <c r="N380" s="611"/>
      <c r="O380" s="611"/>
      <c r="P380" s="611"/>
      <c r="Q380" s="611">
        <v>3</v>
      </c>
      <c r="R380" s="611"/>
      <c r="S380" s="611">
        <v>1</v>
      </c>
      <c r="T380" s="643"/>
      <c r="U380" s="611">
        <v>7</v>
      </c>
      <c r="V380" s="611" t="s">
        <v>41</v>
      </c>
      <c r="W380" s="611">
        <v>4</v>
      </c>
      <c r="X380" s="611">
        <v>6</v>
      </c>
      <c r="Y380" s="611"/>
      <c r="Z380" s="611"/>
      <c r="AA380" s="611"/>
      <c r="AB380" s="643"/>
      <c r="AC380" s="611"/>
      <c r="AD380" s="611">
        <v>30</v>
      </c>
      <c r="AE380" s="611"/>
      <c r="AF380" s="611"/>
      <c r="AG380" s="611">
        <v>100</v>
      </c>
      <c r="AH380" s="611">
        <v>99</v>
      </c>
      <c r="AI380" s="611"/>
      <c r="AJ380" s="611">
        <v>1</v>
      </c>
      <c r="AK380" s="611"/>
      <c r="AL380" s="611"/>
      <c r="AM380" s="643"/>
      <c r="AN380" s="611"/>
      <c r="AO380" s="611"/>
      <c r="AP38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0.37593984962406013</v>
      </c>
      <c r="AQ380" s="565">
        <f>WWWW[[#This Row],[%Equitable and continuous access to sufficient quantity of safe drinking water]]*WWWW[[#This Row],[Total PoP ]]</f>
        <v>250</v>
      </c>
      <c r="AR38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80" s="565">
        <f>WWWW[[#This Row],[% Access to unimproved water points]]*WWWW[[#This Row],[Total PoP ]]</f>
        <v>665</v>
      </c>
      <c r="AT38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8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665</v>
      </c>
      <c r="AV380" s="565">
        <f>WWWW[[#This Row],[HRP1]]/250</f>
        <v>2.66</v>
      </c>
      <c r="AW380" s="555">
        <f>1-WWWW[[#This Row],[% Equitable and continuous access to sufficient quantity of domestic water]]</f>
        <v>0</v>
      </c>
      <c r="AX380" s="565">
        <f>WWWW[[#This Row],[%equitable and continuous access to sufficient quantity of safe drinking and domestic water''s GAP]]*WWWW[[#This Row],[Total PoP ]]</f>
        <v>0</v>
      </c>
      <c r="AY380" s="557">
        <f>IF(WWWW[[#This Row],[Total required water points]]-WWWW[[#This Row],['#Water points coverage]]&lt;0,0,WWWW[[#This Row],[Total required water points]]-WWWW[[#This Row],['#Water points coverage]])</f>
        <v>0.33999999999999986</v>
      </c>
      <c r="AZ380" s="557">
        <f>ROUND(IF(WWWW[[#This Row],[Total PoP ]]&lt;250,1,WWWW[[#This Row],[Total PoP ]]/250),0)</f>
        <v>3</v>
      </c>
      <c r="BA38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0.36390977443609024</v>
      </c>
      <c r="BB380" s="565">
        <f>WWWW[[#This Row],[% people access to functioning Latrine]]*WWWW[[#This Row],[Total PoP ]]</f>
        <v>242</v>
      </c>
      <c r="BC380" s="557">
        <f>WWWW[[#This Row],['#_of_Functioning_latrines_in_school]]*50</f>
        <v>200</v>
      </c>
      <c r="BD380" s="557">
        <f>ROUND((WWWW[[#This Row],[Total PoP ]]/6),0)</f>
        <v>111</v>
      </c>
      <c r="BE380" s="557">
        <f>IF(WWWW[[#This Row],[Total required Latrines]]-(WWWW[[#This Row],['#_of_sanitary_fly-proof_HH_latrines]])&lt;0,0,WWWW[[#This Row],[Total required Latrines]]-(WWWW[[#This Row],['#_of_sanitary_fly-proof_HH_latrines]]))</f>
        <v>104</v>
      </c>
      <c r="BF380" s="558">
        <f>1-WWWW[[#This Row],[% people access to functioning Latrine]]</f>
        <v>0.63609022556390982</v>
      </c>
      <c r="BG38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229</v>
      </c>
      <c r="BH380" s="565">
        <f>IF(WWWW[[#This Row],['#_of_functional_handwashing_facilities_at_HH_level]]*6&gt;WWWW[[#This Row],[Total PoP ]],WWWW[[#This Row],[Total PoP ]],WWWW[[#This Row],['#_of_functional_handwashing_facilities_at_HH_level]]*6)</f>
        <v>0</v>
      </c>
      <c r="BI380" s="557">
        <f>IF(WWWW[[#This Row],['# people reached by regular dedicated hygiene promotion]]&gt;WWWW[[#This Row],['# People received regular supply of hygiene items]],WWWW[[#This Row],['# people reached by regular dedicated hygiene promotion]],WWWW[[#This Row],['# People received regular supply of hygiene items]])</f>
        <v>229</v>
      </c>
      <c r="BJ380" s="555">
        <f>IF(WWWW[[#This Row],[HRP3]]/WWWW[[#This Row],[Total PoP ]]&gt;100%,100%,WWWW[[#This Row],[HRP3]]/WWWW[[#This Row],[Total PoP ]])</f>
        <v>0.34436090225563909</v>
      </c>
      <c r="BK380" s="558">
        <f>1-WWWW[[#This Row],[Hygiene Coverage%]]</f>
        <v>0.65563909774436091</v>
      </c>
      <c r="BL380" s="556">
        <f>WWWW[[#This Row],['# people reached by regular dedicated hygiene promotion]]/WWWW[[#This Row],[Total PoP ]]</f>
        <v>0.34436090225563909</v>
      </c>
      <c r="BM38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0" s="557">
        <f>WWWW[[#This Row],['#_of_affected_women_and_girls_receiving_a_sufficient_quantity_of_sanitary_pads]]</f>
        <v>0</v>
      </c>
      <c r="BO380" s="611">
        <f>IF(WWWW[[#This Row],['# People with access to soap]]&gt;WWWW[[#This Row],['# People with access to Sanity Pads]],WWWW[[#This Row],['# People with access to soap]],WWWW[[#This Row],['# People with access to Sanity Pads]])</f>
        <v>0</v>
      </c>
      <c r="BP380" s="565" t="str">
        <f>IF(OR(WWWW[[#This Row],['#of students in school]]="",WWWW[[#This Row],['#of students in school]]=0),"No","Yes")</f>
        <v>Yes</v>
      </c>
      <c r="BQ380" s="559" t="str">
        <f>VLOOKUP(WWWW[[#This Row],[Village  Name]],SiteDB6[[Site Name]:[Location Type 1]],9,FALSE)</f>
        <v>Village</v>
      </c>
      <c r="BR380" s="559" t="str">
        <f>VLOOKUP(WWWW[[#This Row],[Village  Name]],SiteDB6[[Site Name]:[Type of Accommodation]],10,FALSE)</f>
        <v>Village</v>
      </c>
      <c r="BS380" s="559">
        <f>VLOOKUP(WWWW[[#This Row],[Village  Name]],SiteDB6[[Site Name]:[Ethnic or GCA/NGCA]],11,FALSE)</f>
        <v>0</v>
      </c>
      <c r="BT380" s="559">
        <f>VLOOKUP(WWWW[[#This Row],[Village  Name]],SiteDB6[[Site Name]:[Lat]],12,FALSE)</f>
        <v>20.883239750000001</v>
      </c>
      <c r="BU380" s="559">
        <f>VLOOKUP(WWWW[[#This Row],[Village  Name]],SiteDB6[[Site Name]:[Long]],13,FALSE)</f>
        <v>92.936859130000002</v>
      </c>
      <c r="BV380" s="559">
        <f>VLOOKUP(WWWW[[#This Row],[Village  Name]],SiteDB6[[Site Name]:[Pcode]],3,FALSE)</f>
        <v>196813</v>
      </c>
      <c r="BW380" s="559" t="str">
        <f t="shared" ref="BW380:BW401" si="14">IF(C380="none","Notcovered","Covered")</f>
        <v>Covered</v>
      </c>
      <c r="BX380" s="587"/>
    </row>
    <row r="381" spans="1:76">
      <c r="A381" s="612" t="s">
        <v>2381</v>
      </c>
      <c r="B381" s="612" t="s">
        <v>3036</v>
      </c>
      <c r="C381" s="457" t="s">
        <v>233</v>
      </c>
      <c r="D381" s="457" t="s">
        <v>3038</v>
      </c>
      <c r="E381" s="457" t="s">
        <v>2687</v>
      </c>
      <c r="F381" s="457" t="s">
        <v>304</v>
      </c>
      <c r="G381" s="551" t="str">
        <f>VLOOKUP(WWWW[[#This Row],[Village  Name]],SiteDB6[[Site Name]:[Location Type]],8,FALSE)</f>
        <v>Village</v>
      </c>
      <c r="H381" s="457" t="s">
        <v>557</v>
      </c>
      <c r="I381" s="611">
        <v>293</v>
      </c>
      <c r="J381" s="611">
        <v>1503</v>
      </c>
      <c r="K381" s="461" t="s">
        <v>3041</v>
      </c>
      <c r="L381" s="55" t="s">
        <v>3042</v>
      </c>
      <c r="M381" s="611">
        <v>192</v>
      </c>
      <c r="N381" s="611">
        <v>31</v>
      </c>
      <c r="O381" s="611"/>
      <c r="P381" s="611"/>
      <c r="Q381" s="611">
        <v>2</v>
      </c>
      <c r="R381" s="611"/>
      <c r="S381" s="611">
        <v>1</v>
      </c>
      <c r="T381" s="643"/>
      <c r="U381" s="611">
        <v>182</v>
      </c>
      <c r="V381" s="611" t="s">
        <v>41</v>
      </c>
      <c r="W381" s="611">
        <v>4</v>
      </c>
      <c r="X381" s="611">
        <v>15</v>
      </c>
      <c r="Y381" s="611"/>
      <c r="Z381" s="611"/>
      <c r="AA381" s="611"/>
      <c r="AB381" s="643"/>
      <c r="AC381" s="611">
        <v>4</v>
      </c>
      <c r="AD381" s="611">
        <v>16</v>
      </c>
      <c r="AE381" s="611"/>
      <c r="AF381" s="611"/>
      <c r="AG381" s="611">
        <v>106</v>
      </c>
      <c r="AH381" s="611">
        <v>86</v>
      </c>
      <c r="AI381" s="611"/>
      <c r="AJ381" s="611">
        <v>1</v>
      </c>
      <c r="AK381" s="611"/>
      <c r="AL381" s="611"/>
      <c r="AM381" s="643"/>
      <c r="AN381" s="611"/>
      <c r="AO381" s="611"/>
      <c r="AP38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0.16633399866932802</v>
      </c>
      <c r="AQ381" s="565">
        <f>WWWW[[#This Row],[%Equitable and continuous access to sufficient quantity of safe drinking water]]*WWWW[[#This Row],[Total PoP ]]</f>
        <v>250.00000000000003</v>
      </c>
      <c r="AR38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81" s="565">
        <f>WWWW[[#This Row],[% Access to unimproved water points]]*WWWW[[#This Row],[Total PoP ]]</f>
        <v>1503</v>
      </c>
      <c r="AT38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8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1503</v>
      </c>
      <c r="AV381" s="565">
        <f>WWWW[[#This Row],[HRP1]]/250</f>
        <v>6.0119999999999996</v>
      </c>
      <c r="AW381" s="555">
        <f>1-WWWW[[#This Row],[% Equitable and continuous access to sufficient quantity of domestic water]]</f>
        <v>0</v>
      </c>
      <c r="AX381" s="565">
        <f>WWWW[[#This Row],[%equitable and continuous access to sufficient quantity of safe drinking and domestic water''s GAP]]*WWWW[[#This Row],[Total PoP ]]</f>
        <v>0</v>
      </c>
      <c r="AY381" s="557">
        <f>IF(WWWW[[#This Row],[Total required water points]]-WWWW[[#This Row],['#Water points coverage]]&lt;0,0,WWWW[[#This Row],[Total required water points]]-WWWW[[#This Row],['#Water points coverage]])</f>
        <v>0</v>
      </c>
      <c r="AZ381" s="557">
        <f>ROUND(IF(WWWW[[#This Row],[Total PoP ]]&lt;250,1,WWWW[[#This Row],[Total PoP ]]/250),0)</f>
        <v>6</v>
      </c>
      <c r="BA381"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0.85961410512308711</v>
      </c>
      <c r="BB381" s="565">
        <f>WWWW[[#This Row],[% people access to functioning Latrine]]*WWWW[[#This Row],[Total PoP ]]</f>
        <v>1292</v>
      </c>
      <c r="BC381" s="557">
        <f>WWWW[[#This Row],['#_of_Functioning_latrines_in_school]]*50</f>
        <v>200</v>
      </c>
      <c r="BD381" s="557">
        <f>ROUND((WWWW[[#This Row],[Total PoP ]]/6),0)</f>
        <v>251</v>
      </c>
      <c r="BE381" s="557">
        <f>IF(WWWW[[#This Row],[Total required Latrines]]-(WWWW[[#This Row],['#_of_sanitary_fly-proof_HH_latrines]])&lt;0,0,WWWW[[#This Row],[Total required Latrines]]-(WWWW[[#This Row],['#_of_sanitary_fly-proof_HH_latrines]]))</f>
        <v>69</v>
      </c>
      <c r="BF381" s="558">
        <f>1-WWWW[[#This Row],[% people access to functioning Latrine]]</f>
        <v>0.14038589487691289</v>
      </c>
      <c r="BG38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212</v>
      </c>
      <c r="BH381" s="565">
        <f>IF(WWWW[[#This Row],['#_of_functional_handwashing_facilities_at_HH_level]]*6&gt;WWWW[[#This Row],[Total PoP ]],WWWW[[#This Row],[Total PoP ]],WWWW[[#This Row],['#_of_functional_handwashing_facilities_at_HH_level]]*6)</f>
        <v>0</v>
      </c>
      <c r="BI381" s="557">
        <f>IF(WWWW[[#This Row],['# people reached by regular dedicated hygiene promotion]]&gt;WWWW[[#This Row],['# People received regular supply of hygiene items]],WWWW[[#This Row],['# people reached by regular dedicated hygiene promotion]],WWWW[[#This Row],['# People received regular supply of hygiene items]])</f>
        <v>212</v>
      </c>
      <c r="BJ381" s="555">
        <f>IF(WWWW[[#This Row],[HRP3]]/WWWW[[#This Row],[Total PoP ]]&gt;100%,100%,WWWW[[#This Row],[HRP3]]/WWWW[[#This Row],[Total PoP ]])</f>
        <v>0.14105123087159016</v>
      </c>
      <c r="BK381" s="558">
        <f>1-WWWW[[#This Row],[Hygiene Coverage%]]</f>
        <v>0.85894876912840989</v>
      </c>
      <c r="BL381" s="556">
        <f>WWWW[[#This Row],['# people reached by regular dedicated hygiene promotion]]/WWWW[[#This Row],[Total PoP ]]</f>
        <v>0.14105123087159016</v>
      </c>
      <c r="BM38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1" s="557">
        <f>WWWW[[#This Row],['#_of_affected_women_and_girls_receiving_a_sufficient_quantity_of_sanitary_pads]]</f>
        <v>0</v>
      </c>
      <c r="BO381" s="611">
        <f>IF(WWWW[[#This Row],['# People with access to soap]]&gt;WWWW[[#This Row],['# People with access to Sanity Pads]],WWWW[[#This Row],['# People with access to soap]],WWWW[[#This Row],['# People with access to Sanity Pads]])</f>
        <v>0</v>
      </c>
      <c r="BP381" s="565" t="str">
        <f>IF(OR(WWWW[[#This Row],['#of students in school]]="",WWWW[[#This Row],['#of students in school]]=0),"No","Yes")</f>
        <v>Yes</v>
      </c>
      <c r="BQ381" s="559" t="str">
        <f>VLOOKUP(WWWW[[#This Row],[Village  Name]],SiteDB6[[Site Name]:[Location Type 1]],9,FALSE)</f>
        <v>Village</v>
      </c>
      <c r="BR381" s="559" t="str">
        <f>VLOOKUP(WWWW[[#This Row],[Village  Name]],SiteDB6[[Site Name]:[Type of Accommodation]],10,FALSE)</f>
        <v>Village</v>
      </c>
      <c r="BS381" s="559" t="str">
        <f>VLOOKUP(WWWW[[#This Row],[Village  Name]],SiteDB6[[Site Name]:[Ethnic or GCA/NGCA]],11,FALSE)</f>
        <v>Rakhine</v>
      </c>
      <c r="BT381" s="559">
        <f>VLOOKUP(WWWW[[#This Row],[Village  Name]],SiteDB6[[Site Name]:[Lat]],12,FALSE)</f>
        <v>20.71134949</v>
      </c>
      <c r="BU381" s="559">
        <f>VLOOKUP(WWWW[[#This Row],[Village  Name]],SiteDB6[[Site Name]:[Long]],13,FALSE)</f>
        <v>92.980506899999995</v>
      </c>
      <c r="BV381" s="559">
        <f>VLOOKUP(WWWW[[#This Row],[Village  Name]],SiteDB6[[Site Name]:[Pcode]],3,FALSE)</f>
        <v>196944</v>
      </c>
      <c r="BW381" s="559" t="str">
        <f t="shared" si="14"/>
        <v>Covered</v>
      </c>
      <c r="BX381" s="587"/>
    </row>
    <row r="382" spans="1:76">
      <c r="A382" s="612" t="s">
        <v>2381</v>
      </c>
      <c r="B382" s="612" t="s">
        <v>233</v>
      </c>
      <c r="C382" s="457" t="s">
        <v>233</v>
      </c>
      <c r="D382" s="457" t="s">
        <v>3011</v>
      </c>
      <c r="E382" s="457" t="s">
        <v>2687</v>
      </c>
      <c r="F382" s="457" t="s">
        <v>304</v>
      </c>
      <c r="G382" s="551" t="str">
        <f>VLOOKUP(WWWW[[#This Row],[Village  Name]],SiteDB6[[Site Name]:[Location Type]],8,FALSE)</f>
        <v>Village</v>
      </c>
      <c r="H382" s="457" t="s">
        <v>3012</v>
      </c>
      <c r="I382" s="611"/>
      <c r="J382" s="611">
        <v>302</v>
      </c>
      <c r="K382" s="461">
        <v>42856</v>
      </c>
      <c r="L382" s="55">
        <v>43646</v>
      </c>
      <c r="M382" s="611">
        <v>302</v>
      </c>
      <c r="N382" s="611"/>
      <c r="O382" s="611"/>
      <c r="P382" s="611"/>
      <c r="Q382" s="611"/>
      <c r="R382" s="611"/>
      <c r="S382" s="611">
        <v>1</v>
      </c>
      <c r="T382" s="643"/>
      <c r="U382" s="611"/>
      <c r="V382" s="611" t="s">
        <v>41</v>
      </c>
      <c r="W382" s="611">
        <v>5</v>
      </c>
      <c r="X382" s="611"/>
      <c r="Y382" s="611"/>
      <c r="Z382" s="611"/>
      <c r="AA382" s="611"/>
      <c r="AB382" s="643"/>
      <c r="AC382" s="611"/>
      <c r="AD382" s="611"/>
      <c r="AE382" s="611"/>
      <c r="AF382" s="611"/>
      <c r="AG382" s="611">
        <v>149</v>
      </c>
      <c r="AH382" s="611">
        <v>153</v>
      </c>
      <c r="AI382" s="611"/>
      <c r="AJ382" s="611">
        <v>1</v>
      </c>
      <c r="AK382" s="611"/>
      <c r="AL382" s="611"/>
      <c r="AM382" s="643"/>
      <c r="AN382" s="611"/>
      <c r="AO382" s="611"/>
      <c r="AP38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0.82781456953642385</v>
      </c>
      <c r="AQ382" s="565">
        <f>WWWW[[#This Row],[%Equitable and continuous access to sufficient quantity of safe drinking water]]*WWWW[[#This Row],[Total PoP ]]</f>
        <v>250</v>
      </c>
      <c r="AR38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82" s="565">
        <f>WWWW[[#This Row],[% Access to unimproved water points]]*WWWW[[#This Row],[Total PoP ]]</f>
        <v>0</v>
      </c>
      <c r="AT38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0.82781456953642385</v>
      </c>
      <c r="AU38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V382" s="565">
        <f>WWWW[[#This Row],[HRP1]]/250</f>
        <v>1</v>
      </c>
      <c r="AW382" s="555">
        <f>1-WWWW[[#This Row],[% Equitable and continuous access to sufficient quantity of domestic water]]</f>
        <v>0.17218543046357615</v>
      </c>
      <c r="AX382" s="565">
        <f>WWWW[[#This Row],[%equitable and continuous access to sufficient quantity of safe drinking and domestic water''s GAP]]*WWWW[[#This Row],[Total PoP ]]</f>
        <v>52</v>
      </c>
      <c r="AY382" s="557">
        <f>IF(WWWW[[#This Row],[Total required water points]]-WWWW[[#This Row],['#Water points coverage]]&lt;0,0,WWWW[[#This Row],[Total required water points]]-WWWW[[#This Row],['#Water points coverage]])</f>
        <v>0</v>
      </c>
      <c r="AZ382" s="557">
        <f>ROUND(IF(WWWW[[#This Row],[Total PoP ]]&lt;250,1,WWWW[[#This Row],[Total PoP ]]/250),0)</f>
        <v>1</v>
      </c>
      <c r="BA382"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0.82781456953642385</v>
      </c>
      <c r="BB382" s="565">
        <f>WWWW[[#This Row],[% people access to functioning Latrine]]*WWWW[[#This Row],[Total PoP ]]</f>
        <v>250</v>
      </c>
      <c r="BC382" s="557">
        <f>WWWW[[#This Row],['#_of_Functioning_latrines_in_school]]*50</f>
        <v>250</v>
      </c>
      <c r="BD382" s="557">
        <f>ROUND((WWWW[[#This Row],[Total PoP ]]/6),0)</f>
        <v>50</v>
      </c>
      <c r="BE382" s="557">
        <f>IF(WWWW[[#This Row],[Total required Latrines]]-(WWWW[[#This Row],['#_of_sanitary_fly-proof_HH_latrines]])&lt;0,0,WWWW[[#This Row],[Total required Latrines]]-(WWWW[[#This Row],['#_of_sanitary_fly-proof_HH_latrines]]))</f>
        <v>50</v>
      </c>
      <c r="BF382" s="558">
        <f>1-WWWW[[#This Row],[% people access to functioning Latrine]]</f>
        <v>0.17218543046357615</v>
      </c>
      <c r="BG38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302</v>
      </c>
      <c r="BH382" s="565">
        <f>IF(WWWW[[#This Row],['#_of_functional_handwashing_facilities_at_HH_level]]*6&gt;WWWW[[#This Row],[Total PoP ]],WWWW[[#This Row],[Total PoP ]],WWWW[[#This Row],['#_of_functional_handwashing_facilities_at_HH_level]]*6)</f>
        <v>0</v>
      </c>
      <c r="BI382" s="557">
        <f>IF(WWWW[[#This Row],['# people reached by regular dedicated hygiene promotion]]&gt;WWWW[[#This Row],['# People received regular supply of hygiene items]],WWWW[[#This Row],['# people reached by regular dedicated hygiene promotion]],WWWW[[#This Row],['# People received regular supply of hygiene items]])</f>
        <v>302</v>
      </c>
      <c r="BJ382" s="555">
        <f>IF(WWWW[[#This Row],[HRP3]]/WWWW[[#This Row],[Total PoP ]]&gt;100%,100%,WWWW[[#This Row],[HRP3]]/WWWW[[#This Row],[Total PoP ]])</f>
        <v>1</v>
      </c>
      <c r="BK382" s="558">
        <f>1-WWWW[[#This Row],[Hygiene Coverage%]]</f>
        <v>0</v>
      </c>
      <c r="BL382" s="556">
        <f>WWWW[[#This Row],['# people reached by regular dedicated hygiene promotion]]/WWWW[[#This Row],[Total PoP ]]</f>
        <v>1</v>
      </c>
      <c r="BM38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2" s="557">
        <f>WWWW[[#This Row],['#_of_affected_women_and_girls_receiving_a_sufficient_quantity_of_sanitary_pads]]</f>
        <v>0</v>
      </c>
      <c r="BO382" s="611">
        <f>IF(WWWW[[#This Row],['# People with access to soap]]&gt;WWWW[[#This Row],['# People with access to Sanity Pads]],WWWW[[#This Row],['# People with access to soap]],WWWW[[#This Row],['# People with access to Sanity Pads]])</f>
        <v>0</v>
      </c>
      <c r="BP382" s="565" t="str">
        <f>IF(OR(WWWW[[#This Row],['#of students in school]]="",WWWW[[#This Row],['#of students in school]]=0),"No","Yes")</f>
        <v>Yes</v>
      </c>
      <c r="BQ382" s="559" t="str">
        <f>VLOOKUP(WWWW[[#This Row],[Village  Name]],SiteDB6[[Site Name]:[Location Type 1]],9,FALSE)</f>
        <v>Village</v>
      </c>
      <c r="BR382" s="559" t="str">
        <f>VLOOKUP(WWWW[[#This Row],[Village  Name]],SiteDB6[[Site Name]:[Type of Accommodation]],10,FALSE)</f>
        <v>Village</v>
      </c>
      <c r="BS382" s="559">
        <f>VLOOKUP(WWWW[[#This Row],[Village  Name]],SiteDB6[[Site Name]:[Ethnic or GCA/NGCA]],11,FALSE)</f>
        <v>0</v>
      </c>
      <c r="BT382" s="559">
        <f>VLOOKUP(WWWW[[#This Row],[Village  Name]],SiteDB6[[Site Name]:[Lat]],12,FALSE)</f>
        <v>0</v>
      </c>
      <c r="BU382" s="559">
        <f>VLOOKUP(WWWW[[#This Row],[Village  Name]],SiteDB6[[Site Name]:[Long]],13,FALSE)</f>
        <v>0</v>
      </c>
      <c r="BV382" s="559">
        <f>VLOOKUP(WWWW[[#This Row],[Village  Name]],SiteDB6[[Site Name]:[Pcode]],3,FALSE)</f>
        <v>0</v>
      </c>
      <c r="BW382" s="559" t="str">
        <f t="shared" si="14"/>
        <v>Covered</v>
      </c>
      <c r="BX382" s="587"/>
    </row>
    <row r="383" spans="1:76">
      <c r="A383" s="612" t="s">
        <v>2381</v>
      </c>
      <c r="B383" s="612" t="s">
        <v>3036</v>
      </c>
      <c r="C383" s="457" t="s">
        <v>233</v>
      </c>
      <c r="D383" s="457" t="s">
        <v>3037</v>
      </c>
      <c r="E383" s="457" t="s">
        <v>2687</v>
      </c>
      <c r="F383" s="457" t="s">
        <v>304</v>
      </c>
      <c r="G383" s="551" t="str">
        <f>VLOOKUP(WWWW[[#This Row],[Village  Name]],SiteDB6[[Site Name]:[Location Type]],8,FALSE)</f>
        <v>Village</v>
      </c>
      <c r="H383" s="457" t="s">
        <v>2250</v>
      </c>
      <c r="I383" s="611">
        <v>156</v>
      </c>
      <c r="J383" s="611">
        <v>813</v>
      </c>
      <c r="K383" s="461" t="s">
        <v>3043</v>
      </c>
      <c r="L383" s="55" t="s">
        <v>3040</v>
      </c>
      <c r="M383" s="611">
        <v>123</v>
      </c>
      <c r="N383" s="611"/>
      <c r="O383" s="611"/>
      <c r="P383" s="611"/>
      <c r="Q383" s="611">
        <v>2</v>
      </c>
      <c r="R383" s="611"/>
      <c r="S383" s="611">
        <v>1</v>
      </c>
      <c r="T383" s="643"/>
      <c r="U383" s="611">
        <v>40</v>
      </c>
      <c r="V383" s="611" t="s">
        <v>41</v>
      </c>
      <c r="W383" s="611">
        <v>3</v>
      </c>
      <c r="X383" s="611">
        <v>16</v>
      </c>
      <c r="Y383" s="611"/>
      <c r="Z383" s="611"/>
      <c r="AA383" s="611"/>
      <c r="AB383" s="643"/>
      <c r="AC383" s="611"/>
      <c r="AD383" s="611">
        <v>30</v>
      </c>
      <c r="AE383" s="611"/>
      <c r="AF383" s="611"/>
      <c r="AG383" s="611">
        <v>67</v>
      </c>
      <c r="AH383" s="611">
        <v>56</v>
      </c>
      <c r="AI383" s="611"/>
      <c r="AJ383" s="611">
        <v>1</v>
      </c>
      <c r="AK383" s="611"/>
      <c r="AL383" s="611"/>
      <c r="AM383" s="643"/>
      <c r="AN383" s="611"/>
      <c r="AO383" s="611"/>
      <c r="AP38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0.30750307503075031</v>
      </c>
      <c r="AQ383" s="565">
        <f>WWWW[[#This Row],[%Equitable and continuous access to sufficient quantity of safe drinking water]]*WWWW[[#This Row],[Total PoP ]]</f>
        <v>250</v>
      </c>
      <c r="AR38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383" s="565">
        <f>WWWW[[#This Row],[% Access to unimproved water points]]*WWWW[[#This Row],[Total PoP ]]</f>
        <v>813</v>
      </c>
      <c r="AT38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8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813</v>
      </c>
      <c r="AV383" s="565">
        <f>WWWW[[#This Row],[HRP1]]/250</f>
        <v>3.2519999999999998</v>
      </c>
      <c r="AW383" s="555">
        <f>1-WWWW[[#This Row],[% Equitable and continuous access to sufficient quantity of domestic water]]</f>
        <v>0</v>
      </c>
      <c r="AX383" s="565">
        <f>WWWW[[#This Row],[%equitable and continuous access to sufficient quantity of safe drinking and domestic water''s GAP]]*WWWW[[#This Row],[Total PoP ]]</f>
        <v>0</v>
      </c>
      <c r="AY383" s="557">
        <f>IF(WWWW[[#This Row],[Total required water points]]-WWWW[[#This Row],['#Water points coverage]]&lt;0,0,WWWW[[#This Row],[Total required water points]]-WWWW[[#This Row],['#Water points coverage]])</f>
        <v>0</v>
      </c>
      <c r="AZ383" s="557">
        <f>ROUND(IF(WWWW[[#This Row],[Total PoP ]]&lt;250,1,WWWW[[#This Row],[Total PoP ]]/250),0)</f>
        <v>3</v>
      </c>
      <c r="BA383"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0.47970479704797048</v>
      </c>
      <c r="BB383" s="565">
        <f>WWWW[[#This Row],[% people access to functioning Latrine]]*WWWW[[#This Row],[Total PoP ]]</f>
        <v>390</v>
      </c>
      <c r="BC383" s="557">
        <f>WWWW[[#This Row],['#_of_Functioning_latrines_in_school]]*50</f>
        <v>150</v>
      </c>
      <c r="BD383" s="557">
        <f>ROUND((WWWW[[#This Row],[Total PoP ]]/6),0)</f>
        <v>136</v>
      </c>
      <c r="BE383" s="557">
        <f>IF(WWWW[[#This Row],[Total required Latrines]]-(WWWW[[#This Row],['#_of_sanitary_fly-proof_HH_latrines]])&lt;0,0,WWWW[[#This Row],[Total required Latrines]]-(WWWW[[#This Row],['#_of_sanitary_fly-proof_HH_latrines]]))</f>
        <v>96</v>
      </c>
      <c r="BF383" s="558">
        <f>1-WWWW[[#This Row],[% people access to functioning Latrine]]</f>
        <v>0.52029520295202958</v>
      </c>
      <c r="BG38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153</v>
      </c>
      <c r="BH383" s="565">
        <f>IF(WWWW[[#This Row],['#_of_functional_handwashing_facilities_at_HH_level]]*6&gt;WWWW[[#This Row],[Total PoP ]],WWWW[[#This Row],[Total PoP ]],WWWW[[#This Row],['#_of_functional_handwashing_facilities_at_HH_level]]*6)</f>
        <v>0</v>
      </c>
      <c r="BI383" s="557">
        <f>IF(WWWW[[#This Row],['# people reached by regular dedicated hygiene promotion]]&gt;WWWW[[#This Row],['# People received regular supply of hygiene items]],WWWW[[#This Row],['# people reached by regular dedicated hygiene promotion]],WWWW[[#This Row],['# People received regular supply of hygiene items]])</f>
        <v>153</v>
      </c>
      <c r="BJ383" s="555">
        <f>IF(WWWW[[#This Row],[HRP3]]/WWWW[[#This Row],[Total PoP ]]&gt;100%,100%,WWWW[[#This Row],[HRP3]]/WWWW[[#This Row],[Total PoP ]])</f>
        <v>0.18819188191881919</v>
      </c>
      <c r="BK383" s="558">
        <f>1-WWWW[[#This Row],[Hygiene Coverage%]]</f>
        <v>0.81180811808118081</v>
      </c>
      <c r="BL383" s="556">
        <f>WWWW[[#This Row],['# people reached by regular dedicated hygiene promotion]]/WWWW[[#This Row],[Total PoP ]]</f>
        <v>0.18819188191881919</v>
      </c>
      <c r="BM38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3" s="557">
        <f>WWWW[[#This Row],['#_of_affected_women_and_girls_receiving_a_sufficient_quantity_of_sanitary_pads]]</f>
        <v>0</v>
      </c>
      <c r="BO383" s="611">
        <f>IF(WWWW[[#This Row],['# People with access to soap]]&gt;WWWW[[#This Row],['# People with access to Sanity Pads]],WWWW[[#This Row],['# People with access to soap]],WWWW[[#This Row],['# People with access to Sanity Pads]])</f>
        <v>0</v>
      </c>
      <c r="BP383" s="565" t="str">
        <f>IF(OR(WWWW[[#This Row],['#of students in school]]="",WWWW[[#This Row],['#of students in school]]=0),"No","Yes")</f>
        <v>Yes</v>
      </c>
      <c r="BQ383" s="559" t="str">
        <f>VLOOKUP(WWWW[[#This Row],[Village  Name]],SiteDB6[[Site Name]:[Location Type 1]],9,FALSE)</f>
        <v>Village</v>
      </c>
      <c r="BR383" s="559" t="str">
        <f>VLOOKUP(WWWW[[#This Row],[Village  Name]],SiteDB6[[Site Name]:[Type of Accommodation]],10,FALSE)</f>
        <v>Village</v>
      </c>
      <c r="BS383" s="559">
        <f>VLOOKUP(WWWW[[#This Row],[Village  Name]],SiteDB6[[Site Name]:[Ethnic or GCA/NGCA]],11,FALSE)</f>
        <v>0</v>
      </c>
      <c r="BT383" s="559">
        <f>VLOOKUP(WWWW[[#This Row],[Village  Name]],SiteDB6[[Site Name]:[Lat]],12,FALSE)</f>
        <v>20.760820389999999</v>
      </c>
      <c r="BU383" s="559">
        <f>VLOOKUP(WWWW[[#This Row],[Village  Name]],SiteDB6[[Site Name]:[Long]],13,FALSE)</f>
        <v>92.960083010000005</v>
      </c>
      <c r="BV383" s="559">
        <f>VLOOKUP(WWWW[[#This Row],[Village  Name]],SiteDB6[[Site Name]:[Pcode]],3,FALSE)</f>
        <v>196893</v>
      </c>
      <c r="BW383" s="559" t="str">
        <f t="shared" si="14"/>
        <v>Covered</v>
      </c>
      <c r="BX383" s="587"/>
    </row>
    <row r="384" spans="1:76">
      <c r="A384" s="612" t="s">
        <v>2381</v>
      </c>
      <c r="B384" s="612" t="s">
        <v>233</v>
      </c>
      <c r="C384" s="457" t="s">
        <v>233</v>
      </c>
      <c r="D384" s="457" t="s">
        <v>3011</v>
      </c>
      <c r="E384" s="457" t="s">
        <v>2687</v>
      </c>
      <c r="F384" s="457" t="s">
        <v>304</v>
      </c>
      <c r="G384" s="551" t="str">
        <f>VLOOKUP(WWWW[[#This Row],[Village  Name]],SiteDB6[[Site Name]:[Location Type]],8,FALSE)</f>
        <v>Village</v>
      </c>
      <c r="H384" s="457" t="s">
        <v>3013</v>
      </c>
      <c r="I384" s="611"/>
      <c r="J384" s="611">
        <v>302</v>
      </c>
      <c r="K384" s="461">
        <v>42856</v>
      </c>
      <c r="L384" s="55">
        <v>43646</v>
      </c>
      <c r="M384" s="611">
        <v>302</v>
      </c>
      <c r="N384" s="611"/>
      <c r="O384" s="611"/>
      <c r="P384" s="611"/>
      <c r="Q384" s="611"/>
      <c r="R384" s="611"/>
      <c r="S384" s="611">
        <v>1</v>
      </c>
      <c r="T384" s="643"/>
      <c r="U384" s="611"/>
      <c r="V384" s="611" t="s">
        <v>41</v>
      </c>
      <c r="W384" s="611">
        <v>4</v>
      </c>
      <c r="X384" s="611"/>
      <c r="Y384" s="611"/>
      <c r="Z384" s="611"/>
      <c r="AA384" s="611"/>
      <c r="AB384" s="643"/>
      <c r="AC384" s="611"/>
      <c r="AD384" s="611"/>
      <c r="AE384" s="611"/>
      <c r="AF384" s="611"/>
      <c r="AG384" s="611">
        <v>150</v>
      </c>
      <c r="AH384" s="611">
        <v>152</v>
      </c>
      <c r="AI384" s="611"/>
      <c r="AJ384" s="611">
        <v>1</v>
      </c>
      <c r="AK384" s="611"/>
      <c r="AL384" s="611"/>
      <c r="AM384" s="643"/>
      <c r="AN384" s="611"/>
      <c r="AO384" s="611"/>
      <c r="AP38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0.82781456953642385</v>
      </c>
      <c r="AQ384" s="565">
        <f>WWWW[[#This Row],[%Equitable and continuous access to sufficient quantity of safe drinking water]]*WWWW[[#This Row],[Total PoP ]]</f>
        <v>250</v>
      </c>
      <c r="AR38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84" s="565">
        <f>WWWW[[#This Row],[% Access to unimproved water points]]*WWWW[[#This Row],[Total PoP ]]</f>
        <v>0</v>
      </c>
      <c r="AT38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0.82781456953642385</v>
      </c>
      <c r="AU38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V384" s="565">
        <f>WWWW[[#This Row],[HRP1]]/250</f>
        <v>1</v>
      </c>
      <c r="AW384" s="555">
        <f>1-WWWW[[#This Row],[% Equitable and continuous access to sufficient quantity of domestic water]]</f>
        <v>0.17218543046357615</v>
      </c>
      <c r="AX384" s="565">
        <f>WWWW[[#This Row],[%equitable and continuous access to sufficient quantity of safe drinking and domestic water''s GAP]]*WWWW[[#This Row],[Total PoP ]]</f>
        <v>52</v>
      </c>
      <c r="AY384" s="557">
        <f>IF(WWWW[[#This Row],[Total required water points]]-WWWW[[#This Row],['#Water points coverage]]&lt;0,0,WWWW[[#This Row],[Total required water points]]-WWWW[[#This Row],['#Water points coverage]])</f>
        <v>0</v>
      </c>
      <c r="AZ384" s="557">
        <f>ROUND(IF(WWWW[[#This Row],[Total PoP ]]&lt;250,1,WWWW[[#This Row],[Total PoP ]]/250),0)</f>
        <v>1</v>
      </c>
      <c r="BA384"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0.66225165562913912</v>
      </c>
      <c r="BB384" s="565">
        <f>WWWW[[#This Row],[% people access to functioning Latrine]]*WWWW[[#This Row],[Total PoP ]]</f>
        <v>200.00000000000003</v>
      </c>
      <c r="BC384" s="557">
        <f>WWWW[[#This Row],['#_of_Functioning_latrines_in_school]]*50</f>
        <v>200</v>
      </c>
      <c r="BD384" s="557">
        <f>ROUND((WWWW[[#This Row],[Total PoP ]]/6),0)</f>
        <v>50</v>
      </c>
      <c r="BE384" s="557">
        <f>IF(WWWW[[#This Row],[Total required Latrines]]-(WWWW[[#This Row],['#_of_sanitary_fly-proof_HH_latrines]])&lt;0,0,WWWW[[#This Row],[Total required Latrines]]-(WWWW[[#This Row],['#_of_sanitary_fly-proof_HH_latrines]]))</f>
        <v>50</v>
      </c>
      <c r="BF384" s="558">
        <f>1-WWWW[[#This Row],[% people access to functioning Latrine]]</f>
        <v>0.33774834437086088</v>
      </c>
      <c r="BG38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302</v>
      </c>
      <c r="BH384" s="565">
        <f>IF(WWWW[[#This Row],['#_of_functional_handwashing_facilities_at_HH_level]]*6&gt;WWWW[[#This Row],[Total PoP ]],WWWW[[#This Row],[Total PoP ]],WWWW[[#This Row],['#_of_functional_handwashing_facilities_at_HH_level]]*6)</f>
        <v>0</v>
      </c>
      <c r="BI384" s="557">
        <f>IF(WWWW[[#This Row],['# people reached by regular dedicated hygiene promotion]]&gt;WWWW[[#This Row],['# People received regular supply of hygiene items]],WWWW[[#This Row],['# people reached by regular dedicated hygiene promotion]],WWWW[[#This Row],['# People received regular supply of hygiene items]])</f>
        <v>302</v>
      </c>
      <c r="BJ384" s="555">
        <f>IF(WWWW[[#This Row],[HRP3]]/WWWW[[#This Row],[Total PoP ]]&gt;100%,100%,WWWW[[#This Row],[HRP3]]/WWWW[[#This Row],[Total PoP ]])</f>
        <v>1</v>
      </c>
      <c r="BK384" s="558">
        <f>1-WWWW[[#This Row],[Hygiene Coverage%]]</f>
        <v>0</v>
      </c>
      <c r="BL384" s="556">
        <f>WWWW[[#This Row],['# people reached by regular dedicated hygiene promotion]]/WWWW[[#This Row],[Total PoP ]]</f>
        <v>1</v>
      </c>
      <c r="BM38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4" s="557">
        <f>WWWW[[#This Row],['#_of_affected_women_and_girls_receiving_a_sufficient_quantity_of_sanitary_pads]]</f>
        <v>0</v>
      </c>
      <c r="BO384" s="611">
        <f>IF(WWWW[[#This Row],['# People with access to soap]]&gt;WWWW[[#This Row],['# People with access to Sanity Pads]],WWWW[[#This Row],['# People with access to soap]],WWWW[[#This Row],['# People with access to Sanity Pads]])</f>
        <v>0</v>
      </c>
      <c r="BP384" s="565" t="str">
        <f>IF(OR(WWWW[[#This Row],['#of students in school]]="",WWWW[[#This Row],['#of students in school]]=0),"No","Yes")</f>
        <v>Yes</v>
      </c>
      <c r="BQ384" s="559" t="str">
        <f>VLOOKUP(WWWW[[#This Row],[Village  Name]],SiteDB6[[Site Name]:[Location Type 1]],9,FALSE)</f>
        <v>Village</v>
      </c>
      <c r="BR384" s="559" t="str">
        <f>VLOOKUP(WWWW[[#This Row],[Village  Name]],SiteDB6[[Site Name]:[Type of Accommodation]],10,FALSE)</f>
        <v>Village</v>
      </c>
      <c r="BS384" s="559">
        <f>VLOOKUP(WWWW[[#This Row],[Village  Name]],SiteDB6[[Site Name]:[Ethnic or GCA/NGCA]],11,FALSE)</f>
        <v>0</v>
      </c>
      <c r="BT384" s="559">
        <f>VLOOKUP(WWWW[[#This Row],[Village  Name]],SiteDB6[[Site Name]:[Lat]],12,FALSE)</f>
        <v>0</v>
      </c>
      <c r="BU384" s="559">
        <f>VLOOKUP(WWWW[[#This Row],[Village  Name]],SiteDB6[[Site Name]:[Long]],13,FALSE)</f>
        <v>0</v>
      </c>
      <c r="BV384" s="559">
        <f>VLOOKUP(WWWW[[#This Row],[Village  Name]],SiteDB6[[Site Name]:[Pcode]],3,FALSE)</f>
        <v>0</v>
      </c>
      <c r="BW384" s="559" t="str">
        <f t="shared" si="14"/>
        <v>Covered</v>
      </c>
      <c r="BX384" s="587"/>
    </row>
    <row r="385" spans="1:76">
      <c r="A385" s="612" t="s">
        <v>2381</v>
      </c>
      <c r="B385" s="612" t="s">
        <v>233</v>
      </c>
      <c r="C385" s="457" t="s">
        <v>233</v>
      </c>
      <c r="D385" s="457" t="s">
        <v>3011</v>
      </c>
      <c r="E385" s="457" t="s">
        <v>2687</v>
      </c>
      <c r="F385" s="457" t="s">
        <v>304</v>
      </c>
      <c r="G385" s="551" t="str">
        <f>VLOOKUP(WWWW[[#This Row],[Village  Name]],SiteDB6[[Site Name]:[Location Type]],8,FALSE)</f>
        <v>Village</v>
      </c>
      <c r="H385" s="457" t="s">
        <v>946</v>
      </c>
      <c r="I385" s="611"/>
      <c r="J385" s="611">
        <v>382</v>
      </c>
      <c r="K385" s="461">
        <v>42856</v>
      </c>
      <c r="L385" s="55">
        <v>43646</v>
      </c>
      <c r="M385" s="611">
        <v>382</v>
      </c>
      <c r="N385" s="611"/>
      <c r="O385" s="611"/>
      <c r="P385" s="611"/>
      <c r="Q385" s="611"/>
      <c r="R385" s="611"/>
      <c r="S385" s="611">
        <v>1</v>
      </c>
      <c r="T385" s="643"/>
      <c r="U385" s="611"/>
      <c r="V385" s="611" t="s">
        <v>41</v>
      </c>
      <c r="W385" s="611">
        <v>5</v>
      </c>
      <c r="X385" s="611"/>
      <c r="Y385" s="611"/>
      <c r="Z385" s="611"/>
      <c r="AA385" s="611"/>
      <c r="AB385" s="643"/>
      <c r="AC385" s="611"/>
      <c r="AD385" s="611"/>
      <c r="AE385" s="611"/>
      <c r="AF385" s="611"/>
      <c r="AG385" s="611">
        <v>190</v>
      </c>
      <c r="AH385" s="611">
        <v>192</v>
      </c>
      <c r="AI385" s="611"/>
      <c r="AJ385" s="611">
        <v>1</v>
      </c>
      <c r="AK385" s="611"/>
      <c r="AL385" s="611"/>
      <c r="AM385" s="643"/>
      <c r="AN385" s="611"/>
      <c r="AO385" s="611"/>
      <c r="AP38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0.65445026178010468</v>
      </c>
      <c r="AQ385" s="565">
        <f>WWWW[[#This Row],[%Equitable and continuous access to sufficient quantity of safe drinking water]]*WWWW[[#This Row],[Total PoP ]]</f>
        <v>250</v>
      </c>
      <c r="AR38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85" s="565">
        <f>WWWW[[#This Row],[% Access to unimproved water points]]*WWWW[[#This Row],[Total PoP ]]</f>
        <v>0</v>
      </c>
      <c r="AT38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0.65445026178010468</v>
      </c>
      <c r="AU38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V385" s="565">
        <f>WWWW[[#This Row],[HRP1]]/250</f>
        <v>1</v>
      </c>
      <c r="AW385" s="555">
        <f>1-WWWW[[#This Row],[% Equitable and continuous access to sufficient quantity of domestic water]]</f>
        <v>0.34554973821989532</v>
      </c>
      <c r="AX385" s="565">
        <f>WWWW[[#This Row],[%equitable and continuous access to sufficient quantity of safe drinking and domestic water''s GAP]]*WWWW[[#This Row],[Total PoP ]]</f>
        <v>132</v>
      </c>
      <c r="AY385" s="557">
        <f>IF(WWWW[[#This Row],[Total required water points]]-WWWW[[#This Row],['#Water points coverage]]&lt;0,0,WWWW[[#This Row],[Total required water points]]-WWWW[[#This Row],['#Water points coverage]])</f>
        <v>1</v>
      </c>
      <c r="AZ385" s="557">
        <f>ROUND(IF(WWWW[[#This Row],[Total PoP ]]&lt;250,1,WWWW[[#This Row],[Total PoP ]]/250),0)</f>
        <v>2</v>
      </c>
      <c r="BA385"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0.65445026178010468</v>
      </c>
      <c r="BB385" s="565">
        <f>WWWW[[#This Row],[% people access to functioning Latrine]]*WWWW[[#This Row],[Total PoP ]]</f>
        <v>250</v>
      </c>
      <c r="BC385" s="557">
        <f>WWWW[[#This Row],['#_of_Functioning_latrines_in_school]]*50</f>
        <v>250</v>
      </c>
      <c r="BD385" s="557">
        <f>ROUND((WWWW[[#This Row],[Total PoP ]]/6),0)</f>
        <v>64</v>
      </c>
      <c r="BE385" s="557">
        <f>IF(WWWW[[#This Row],[Total required Latrines]]-(WWWW[[#This Row],['#_of_sanitary_fly-proof_HH_latrines]])&lt;0,0,WWWW[[#This Row],[Total required Latrines]]-(WWWW[[#This Row],['#_of_sanitary_fly-proof_HH_latrines]]))</f>
        <v>64</v>
      </c>
      <c r="BF385" s="558">
        <f>1-WWWW[[#This Row],[% people access to functioning Latrine]]</f>
        <v>0.34554973821989532</v>
      </c>
      <c r="BG38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382</v>
      </c>
      <c r="BH385" s="565">
        <f>IF(WWWW[[#This Row],['#_of_functional_handwashing_facilities_at_HH_level]]*6&gt;WWWW[[#This Row],[Total PoP ]],WWWW[[#This Row],[Total PoP ]],WWWW[[#This Row],['#_of_functional_handwashing_facilities_at_HH_level]]*6)</f>
        <v>0</v>
      </c>
      <c r="BI385" s="557">
        <f>IF(WWWW[[#This Row],['# people reached by regular dedicated hygiene promotion]]&gt;WWWW[[#This Row],['# People received regular supply of hygiene items]],WWWW[[#This Row],['# people reached by regular dedicated hygiene promotion]],WWWW[[#This Row],['# People received regular supply of hygiene items]])</f>
        <v>382</v>
      </c>
      <c r="BJ385" s="555">
        <f>IF(WWWW[[#This Row],[HRP3]]/WWWW[[#This Row],[Total PoP ]]&gt;100%,100%,WWWW[[#This Row],[HRP3]]/WWWW[[#This Row],[Total PoP ]])</f>
        <v>1</v>
      </c>
      <c r="BK385" s="558">
        <f>1-WWWW[[#This Row],[Hygiene Coverage%]]</f>
        <v>0</v>
      </c>
      <c r="BL385" s="556">
        <f>WWWW[[#This Row],['# people reached by regular dedicated hygiene promotion]]/WWWW[[#This Row],[Total PoP ]]</f>
        <v>1</v>
      </c>
      <c r="BM38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5" s="557">
        <f>WWWW[[#This Row],['#_of_affected_women_and_girls_receiving_a_sufficient_quantity_of_sanitary_pads]]</f>
        <v>0</v>
      </c>
      <c r="BO385" s="611">
        <f>IF(WWWW[[#This Row],['# People with access to soap]]&gt;WWWW[[#This Row],['# People with access to Sanity Pads]],WWWW[[#This Row],['# People with access to soap]],WWWW[[#This Row],['# People with access to Sanity Pads]])</f>
        <v>0</v>
      </c>
      <c r="BP385" s="565" t="str">
        <f>IF(OR(WWWW[[#This Row],['#of students in school]]="",WWWW[[#This Row],['#of students in school]]=0),"No","Yes")</f>
        <v>Yes</v>
      </c>
      <c r="BQ385" s="559" t="str">
        <f>VLOOKUP(WWWW[[#This Row],[Village  Name]],SiteDB6[[Site Name]:[Location Type 1]],9,FALSE)</f>
        <v>Village</v>
      </c>
      <c r="BR385" s="559" t="str">
        <f>VLOOKUP(WWWW[[#This Row],[Village  Name]],SiteDB6[[Site Name]:[Type of Accommodation]],10,FALSE)</f>
        <v>Returned</v>
      </c>
      <c r="BS385" s="559" t="str">
        <f>VLOOKUP(WWWW[[#This Row],[Village  Name]],SiteDB6[[Site Name]:[Ethnic or GCA/NGCA]],11,FALSE)</f>
        <v>Muslim</v>
      </c>
      <c r="BT385" s="559">
        <f>VLOOKUP(WWWW[[#This Row],[Village  Name]],SiteDB6[[Site Name]:[Lat]],12,FALSE)</f>
        <v>20.896740000000001</v>
      </c>
      <c r="BU385" s="559">
        <f>VLOOKUP(WWWW[[#This Row],[Village  Name]],SiteDB6[[Site Name]:[Long]],13,FALSE)</f>
        <v>93.014349999999993</v>
      </c>
      <c r="BV385" s="559" t="str">
        <f>VLOOKUP(WWWW[[#This Row],[Village  Name]],SiteDB6[[Site Name]:[Pcode]],3,FALSE)</f>
        <v>MMR012CMP025</v>
      </c>
      <c r="BW385" s="559" t="str">
        <f t="shared" si="14"/>
        <v>Covered</v>
      </c>
      <c r="BX385" s="587"/>
    </row>
    <row r="386" spans="1:76">
      <c r="A386" s="612" t="s">
        <v>2381</v>
      </c>
      <c r="B386" s="612" t="s">
        <v>233</v>
      </c>
      <c r="C386" s="457" t="s">
        <v>233</v>
      </c>
      <c r="D386" s="457" t="s">
        <v>3011</v>
      </c>
      <c r="E386" s="457" t="s">
        <v>2687</v>
      </c>
      <c r="F386" s="457" t="s">
        <v>304</v>
      </c>
      <c r="G386" s="551" t="str">
        <f>VLOOKUP(WWWW[[#This Row],[Village  Name]],SiteDB6[[Site Name]:[Location Type]],8,FALSE)</f>
        <v>Village</v>
      </c>
      <c r="H386" s="457" t="s">
        <v>3033</v>
      </c>
      <c r="I386" s="611"/>
      <c r="J386" s="611">
        <v>120</v>
      </c>
      <c r="K386" s="461">
        <v>42856</v>
      </c>
      <c r="L386" s="55">
        <v>43646</v>
      </c>
      <c r="M386" s="611">
        <v>120</v>
      </c>
      <c r="N386" s="611"/>
      <c r="O386" s="611"/>
      <c r="P386" s="611"/>
      <c r="Q386" s="611"/>
      <c r="R386" s="611"/>
      <c r="S386" s="611">
        <v>1</v>
      </c>
      <c r="T386" s="643"/>
      <c r="U386" s="611"/>
      <c r="V386" s="611" t="s">
        <v>41</v>
      </c>
      <c r="W386" s="611">
        <v>2</v>
      </c>
      <c r="X386" s="611"/>
      <c r="Y386" s="611"/>
      <c r="Z386" s="611"/>
      <c r="AA386" s="611"/>
      <c r="AB386" s="643"/>
      <c r="AC386" s="611"/>
      <c r="AD386" s="611"/>
      <c r="AE386" s="611"/>
      <c r="AF386" s="611"/>
      <c r="AG386" s="611">
        <v>70</v>
      </c>
      <c r="AH386" s="611">
        <v>50</v>
      </c>
      <c r="AI386" s="611"/>
      <c r="AJ386" s="611">
        <v>1</v>
      </c>
      <c r="AK386" s="611"/>
      <c r="AL386" s="611"/>
      <c r="AM386" s="643"/>
      <c r="AN386" s="611"/>
      <c r="AO386" s="611"/>
      <c r="AP38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86" s="565">
        <f>WWWW[[#This Row],[%Equitable and continuous access to sufficient quantity of safe drinking water]]*WWWW[[#This Row],[Total PoP ]]</f>
        <v>120</v>
      </c>
      <c r="AR38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86" s="565">
        <f>WWWW[[#This Row],[% Access to unimproved water points]]*WWWW[[#This Row],[Total PoP ]]</f>
        <v>0</v>
      </c>
      <c r="AT38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8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AV386" s="565">
        <f>WWWW[[#This Row],[HRP1]]/250</f>
        <v>0.48</v>
      </c>
      <c r="AW386" s="555">
        <f>1-WWWW[[#This Row],[% Equitable and continuous access to sufficient quantity of domestic water]]</f>
        <v>0</v>
      </c>
      <c r="AX386" s="565">
        <f>WWWW[[#This Row],[%equitable and continuous access to sufficient quantity of safe drinking and domestic water''s GAP]]*WWWW[[#This Row],[Total PoP ]]</f>
        <v>0</v>
      </c>
      <c r="AY386" s="557">
        <f>IF(WWWW[[#This Row],[Total required water points]]-WWWW[[#This Row],['#Water points coverage]]&lt;0,0,WWWW[[#This Row],[Total required water points]]-WWWW[[#This Row],['#Water points coverage]])</f>
        <v>0.52</v>
      </c>
      <c r="AZ386" s="557">
        <f>ROUND(IF(WWWW[[#This Row],[Total PoP ]]&lt;250,1,WWWW[[#This Row],[Total PoP ]]/250),0)</f>
        <v>1</v>
      </c>
      <c r="BA386"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0.83333333333333337</v>
      </c>
      <c r="BB386" s="565">
        <f>WWWW[[#This Row],[% people access to functioning Latrine]]*WWWW[[#This Row],[Total PoP ]]</f>
        <v>100</v>
      </c>
      <c r="BC386" s="557">
        <f>WWWW[[#This Row],['#_of_Functioning_latrines_in_school]]*50</f>
        <v>100</v>
      </c>
      <c r="BD386" s="557">
        <f>ROUND((WWWW[[#This Row],[Total PoP ]]/6),0)</f>
        <v>20</v>
      </c>
      <c r="BE386" s="557">
        <f>IF(WWWW[[#This Row],[Total required Latrines]]-(WWWW[[#This Row],['#_of_sanitary_fly-proof_HH_latrines]])&lt;0,0,WWWW[[#This Row],[Total required Latrines]]-(WWWW[[#This Row],['#_of_sanitary_fly-proof_HH_latrines]]))</f>
        <v>20</v>
      </c>
      <c r="BF386" s="558">
        <f>1-WWWW[[#This Row],[% people access to functioning Latrine]]</f>
        <v>0.16666666666666663</v>
      </c>
      <c r="BG38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120</v>
      </c>
      <c r="BH386" s="565">
        <f>IF(WWWW[[#This Row],['#_of_functional_handwashing_facilities_at_HH_level]]*6&gt;WWWW[[#This Row],[Total PoP ]],WWWW[[#This Row],[Total PoP ]],WWWW[[#This Row],['#_of_functional_handwashing_facilities_at_HH_level]]*6)</f>
        <v>0</v>
      </c>
      <c r="BI386" s="557">
        <f>IF(WWWW[[#This Row],['# people reached by regular dedicated hygiene promotion]]&gt;WWWW[[#This Row],['# People received regular supply of hygiene items]],WWWW[[#This Row],['# people reached by regular dedicated hygiene promotion]],WWWW[[#This Row],['# People received regular supply of hygiene items]])</f>
        <v>120</v>
      </c>
      <c r="BJ386" s="555">
        <f>IF(WWWW[[#This Row],[HRP3]]/WWWW[[#This Row],[Total PoP ]]&gt;100%,100%,WWWW[[#This Row],[HRP3]]/WWWW[[#This Row],[Total PoP ]])</f>
        <v>1</v>
      </c>
      <c r="BK386" s="558">
        <f>1-WWWW[[#This Row],[Hygiene Coverage%]]</f>
        <v>0</v>
      </c>
      <c r="BL386" s="556">
        <f>WWWW[[#This Row],['# people reached by regular dedicated hygiene promotion]]/WWWW[[#This Row],[Total PoP ]]</f>
        <v>1</v>
      </c>
      <c r="BM38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6" s="557">
        <f>WWWW[[#This Row],['#_of_affected_women_and_girls_receiving_a_sufficient_quantity_of_sanitary_pads]]</f>
        <v>0</v>
      </c>
      <c r="BO386" s="611">
        <f>IF(WWWW[[#This Row],['# People with access to soap]]&gt;WWWW[[#This Row],['# People with access to Sanity Pads]],WWWW[[#This Row],['# People with access to soap]],WWWW[[#This Row],['# People with access to Sanity Pads]])</f>
        <v>0</v>
      </c>
      <c r="BP386" s="565" t="str">
        <f>IF(OR(WWWW[[#This Row],['#of students in school]]="",WWWW[[#This Row],['#of students in school]]=0),"No","Yes")</f>
        <v>Yes</v>
      </c>
      <c r="BQ386" s="559" t="str">
        <f>VLOOKUP(WWWW[[#This Row],[Village  Name]],SiteDB6[[Site Name]:[Location Type 1]],9,FALSE)</f>
        <v>Village</v>
      </c>
      <c r="BR386" s="559" t="str">
        <f>VLOOKUP(WWWW[[#This Row],[Village  Name]],SiteDB6[[Site Name]:[Type of Accommodation]],10,FALSE)</f>
        <v>Village</v>
      </c>
      <c r="BS386" s="559">
        <f>VLOOKUP(WWWW[[#This Row],[Village  Name]],SiteDB6[[Site Name]:[Ethnic or GCA/NGCA]],11,FALSE)</f>
        <v>0</v>
      </c>
      <c r="BT386" s="559">
        <f>VLOOKUP(WWWW[[#This Row],[Village  Name]],SiteDB6[[Site Name]:[Lat]],12,FALSE)</f>
        <v>20.7181205749512</v>
      </c>
      <c r="BU386" s="559">
        <f>VLOOKUP(WWWW[[#This Row],[Village  Name]],SiteDB6[[Site Name]:[Long]],13,FALSE)</f>
        <v>92.965950012207003</v>
      </c>
      <c r="BV386" s="559">
        <f>VLOOKUP(WWWW[[#This Row],[Village  Name]],SiteDB6[[Site Name]:[Pcode]],3,FALSE)</f>
        <v>196947</v>
      </c>
      <c r="BW386" s="559" t="str">
        <f t="shared" si="14"/>
        <v>Covered</v>
      </c>
      <c r="BX386" s="587"/>
    </row>
    <row r="387" spans="1:76">
      <c r="A387" s="612" t="s">
        <v>2381</v>
      </c>
      <c r="B387" s="612" t="s">
        <v>233</v>
      </c>
      <c r="C387" s="457" t="s">
        <v>233</v>
      </c>
      <c r="D387" s="457" t="s">
        <v>3011</v>
      </c>
      <c r="E387" s="457" t="s">
        <v>2687</v>
      </c>
      <c r="F387" s="457" t="s">
        <v>297</v>
      </c>
      <c r="G387" s="551" t="str">
        <f>VLOOKUP(WWWW[[#This Row],[Village  Name]],SiteDB6[[Site Name]:[Location Type]],8,FALSE)</f>
        <v>Village</v>
      </c>
      <c r="H387" s="457" t="s">
        <v>3014</v>
      </c>
      <c r="I387" s="611"/>
      <c r="J387" s="611">
        <v>112</v>
      </c>
      <c r="K387" s="461">
        <v>42856</v>
      </c>
      <c r="L387" s="55">
        <v>43646</v>
      </c>
      <c r="M387" s="611">
        <v>112</v>
      </c>
      <c r="N387" s="611"/>
      <c r="O387" s="611"/>
      <c r="P387" s="611"/>
      <c r="Q387" s="611"/>
      <c r="R387" s="611"/>
      <c r="S387" s="611">
        <v>1</v>
      </c>
      <c r="T387" s="643"/>
      <c r="U387" s="611"/>
      <c r="V387" s="611" t="s">
        <v>128</v>
      </c>
      <c r="W387" s="611">
        <v>0</v>
      </c>
      <c r="X387" s="611"/>
      <c r="Y387" s="611"/>
      <c r="Z387" s="611"/>
      <c r="AA387" s="611"/>
      <c r="AB387" s="643"/>
      <c r="AC387" s="611"/>
      <c r="AD387" s="611"/>
      <c r="AE387" s="611"/>
      <c r="AF387" s="611"/>
      <c r="AG387" s="611">
        <v>55</v>
      </c>
      <c r="AH387" s="611">
        <v>57</v>
      </c>
      <c r="AI387" s="611"/>
      <c r="AJ387" s="611">
        <v>1</v>
      </c>
      <c r="AK387" s="611"/>
      <c r="AL387" s="611"/>
      <c r="AM387" s="643"/>
      <c r="AN387" s="611"/>
      <c r="AO387" s="611"/>
      <c r="AP38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87" s="565">
        <f>WWWW[[#This Row],[%Equitable and continuous access to sufficient quantity of safe drinking water]]*WWWW[[#This Row],[Total PoP ]]</f>
        <v>112</v>
      </c>
      <c r="AR38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87" s="565">
        <f>WWWW[[#This Row],[% Access to unimproved water points]]*WWWW[[#This Row],[Total PoP ]]</f>
        <v>0</v>
      </c>
      <c r="AT38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8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112</v>
      </c>
      <c r="AV387" s="565">
        <f>WWWW[[#This Row],[HRP1]]/250</f>
        <v>0.44800000000000001</v>
      </c>
      <c r="AW387" s="555">
        <f>1-WWWW[[#This Row],[% Equitable and continuous access to sufficient quantity of domestic water]]</f>
        <v>0</v>
      </c>
      <c r="AX387" s="565">
        <f>WWWW[[#This Row],[%equitable and continuous access to sufficient quantity of safe drinking and domestic water''s GAP]]*WWWW[[#This Row],[Total PoP ]]</f>
        <v>0</v>
      </c>
      <c r="AY387" s="557">
        <f>IF(WWWW[[#This Row],[Total required water points]]-WWWW[[#This Row],['#Water points coverage]]&lt;0,0,WWWW[[#This Row],[Total required water points]]-WWWW[[#This Row],['#Water points coverage]])</f>
        <v>0.55200000000000005</v>
      </c>
      <c r="AZ387" s="557">
        <f>ROUND(IF(WWWW[[#This Row],[Total PoP ]]&lt;250,1,WWWW[[#This Row],[Total PoP ]]/250),0)</f>
        <v>1</v>
      </c>
      <c r="BA38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87" s="565">
        <f>WWWW[[#This Row],[% people access to functioning Latrine]]*WWWW[[#This Row],[Total PoP ]]</f>
        <v>0</v>
      </c>
      <c r="BC387" s="557">
        <f>WWWW[[#This Row],['#_of_Functioning_latrines_in_school]]*50</f>
        <v>0</v>
      </c>
      <c r="BD387" s="557">
        <f>ROUND((WWWW[[#This Row],[Total PoP ]]/6),0)</f>
        <v>19</v>
      </c>
      <c r="BE387" s="557">
        <f>IF(WWWW[[#This Row],[Total required Latrines]]-(WWWW[[#This Row],['#_of_sanitary_fly-proof_HH_latrines]])&lt;0,0,WWWW[[#This Row],[Total required Latrines]]-(WWWW[[#This Row],['#_of_sanitary_fly-proof_HH_latrines]]))</f>
        <v>19</v>
      </c>
      <c r="BF387" s="558">
        <f>1-WWWW[[#This Row],[% people access to functioning Latrine]]</f>
        <v>1</v>
      </c>
      <c r="BG38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112</v>
      </c>
      <c r="BH387" s="565">
        <f>IF(WWWW[[#This Row],['#_of_functional_handwashing_facilities_at_HH_level]]*6&gt;WWWW[[#This Row],[Total PoP ]],WWWW[[#This Row],[Total PoP ]],WWWW[[#This Row],['#_of_functional_handwashing_facilities_at_HH_level]]*6)</f>
        <v>0</v>
      </c>
      <c r="BI387" s="557">
        <f>IF(WWWW[[#This Row],['# people reached by regular dedicated hygiene promotion]]&gt;WWWW[[#This Row],['# People received regular supply of hygiene items]],WWWW[[#This Row],['# people reached by regular dedicated hygiene promotion]],WWWW[[#This Row],['# People received regular supply of hygiene items]])</f>
        <v>112</v>
      </c>
      <c r="BJ387" s="555">
        <f>IF(WWWW[[#This Row],[HRP3]]/WWWW[[#This Row],[Total PoP ]]&gt;100%,100%,WWWW[[#This Row],[HRP3]]/WWWW[[#This Row],[Total PoP ]])</f>
        <v>1</v>
      </c>
      <c r="BK387" s="558">
        <f>1-WWWW[[#This Row],[Hygiene Coverage%]]</f>
        <v>0</v>
      </c>
      <c r="BL387" s="556">
        <f>WWWW[[#This Row],['# people reached by regular dedicated hygiene promotion]]/WWWW[[#This Row],[Total PoP ]]</f>
        <v>1</v>
      </c>
      <c r="BM38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7" s="557">
        <f>WWWW[[#This Row],['#_of_affected_women_and_girls_receiving_a_sufficient_quantity_of_sanitary_pads]]</f>
        <v>0</v>
      </c>
      <c r="BO387" s="611">
        <f>IF(WWWW[[#This Row],['# People with access to soap]]&gt;WWWW[[#This Row],['# People with access to Sanity Pads]],WWWW[[#This Row],['# People with access to soap]],WWWW[[#This Row],['# People with access to Sanity Pads]])</f>
        <v>0</v>
      </c>
      <c r="BP387" s="565" t="str">
        <f>IF(OR(WWWW[[#This Row],['#of students in school]]="",WWWW[[#This Row],['#of students in school]]=0),"No","Yes")</f>
        <v>Yes</v>
      </c>
      <c r="BQ387" s="559" t="str">
        <f>VLOOKUP(WWWW[[#This Row],[Village  Name]],SiteDB6[[Site Name]:[Location Type 1]],9,FALSE)</f>
        <v>Village</v>
      </c>
      <c r="BR387" s="559" t="str">
        <f>VLOOKUP(WWWW[[#This Row],[Village  Name]],SiteDB6[[Site Name]:[Type of Accommodation]],10,FALSE)</f>
        <v>Village</v>
      </c>
      <c r="BS387" s="559">
        <f>VLOOKUP(WWWW[[#This Row],[Village  Name]],SiteDB6[[Site Name]:[Ethnic or GCA/NGCA]],11,FALSE)</f>
        <v>0</v>
      </c>
      <c r="BT387" s="559">
        <f>VLOOKUP(WWWW[[#This Row],[Village  Name]],SiteDB6[[Site Name]:[Lat]],12,FALSE)</f>
        <v>20.219699859619102</v>
      </c>
      <c r="BU387" s="559">
        <f>VLOOKUP(WWWW[[#This Row],[Village  Name]],SiteDB6[[Site Name]:[Long]],13,FALSE)</f>
        <v>92.851379394531307</v>
      </c>
      <c r="BV387" s="559">
        <f>VLOOKUP(WWWW[[#This Row],[Village  Name]],SiteDB6[[Site Name]:[Pcode]],3,FALSE)</f>
        <v>196153</v>
      </c>
      <c r="BW387" s="559" t="str">
        <f t="shared" si="14"/>
        <v>Covered</v>
      </c>
      <c r="BX387" s="587"/>
    </row>
    <row r="388" spans="1:76">
      <c r="A388" s="612" t="s">
        <v>2381</v>
      </c>
      <c r="B388" s="612" t="s">
        <v>233</v>
      </c>
      <c r="C388" s="457" t="s">
        <v>233</v>
      </c>
      <c r="D388" s="457" t="s">
        <v>3011</v>
      </c>
      <c r="E388" s="457" t="s">
        <v>2687</v>
      </c>
      <c r="F388" s="457" t="s">
        <v>297</v>
      </c>
      <c r="G388" s="551" t="str">
        <f>VLOOKUP(WWWW[[#This Row],[Village  Name]],SiteDB6[[Site Name]:[Location Type]],8,FALSE)</f>
        <v>Village</v>
      </c>
      <c r="H388" s="457" t="s">
        <v>3018</v>
      </c>
      <c r="I388" s="611"/>
      <c r="J388" s="611">
        <v>120</v>
      </c>
      <c r="K388" s="461">
        <v>42856</v>
      </c>
      <c r="L388" s="55">
        <v>43646</v>
      </c>
      <c r="M388" s="611">
        <v>120</v>
      </c>
      <c r="N388" s="611"/>
      <c r="O388" s="611"/>
      <c r="P388" s="611"/>
      <c r="Q388" s="611"/>
      <c r="R388" s="611"/>
      <c r="S388" s="611">
        <v>1</v>
      </c>
      <c r="T388" s="643"/>
      <c r="U388" s="611"/>
      <c r="V388" s="611" t="s">
        <v>128</v>
      </c>
      <c r="W388" s="611">
        <v>0</v>
      </c>
      <c r="X388" s="611"/>
      <c r="Y388" s="611"/>
      <c r="Z388" s="611"/>
      <c r="AA388" s="611"/>
      <c r="AB388" s="643"/>
      <c r="AC388" s="611"/>
      <c r="AD388" s="611"/>
      <c r="AE388" s="611"/>
      <c r="AF388" s="611"/>
      <c r="AG388" s="611">
        <v>68</v>
      </c>
      <c r="AH388" s="611">
        <v>52</v>
      </c>
      <c r="AI388" s="611"/>
      <c r="AJ388" s="611">
        <v>1</v>
      </c>
      <c r="AK388" s="611"/>
      <c r="AL388" s="611"/>
      <c r="AM388" s="643"/>
      <c r="AN388" s="611"/>
      <c r="AO388" s="611"/>
      <c r="AP38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88" s="565">
        <f>WWWW[[#This Row],[%Equitable and continuous access to sufficient quantity of safe drinking water]]*WWWW[[#This Row],[Total PoP ]]</f>
        <v>120</v>
      </c>
      <c r="AR38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88" s="565">
        <f>WWWW[[#This Row],[% Access to unimproved water points]]*WWWW[[#This Row],[Total PoP ]]</f>
        <v>0</v>
      </c>
      <c r="AT38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8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AV388" s="565">
        <f>WWWW[[#This Row],[HRP1]]/250</f>
        <v>0.48</v>
      </c>
      <c r="AW388" s="555">
        <f>1-WWWW[[#This Row],[% Equitable and continuous access to sufficient quantity of domestic water]]</f>
        <v>0</v>
      </c>
      <c r="AX388" s="565">
        <f>WWWW[[#This Row],[%equitable and continuous access to sufficient quantity of safe drinking and domestic water''s GAP]]*WWWW[[#This Row],[Total PoP ]]</f>
        <v>0</v>
      </c>
      <c r="AY388" s="557">
        <f>IF(WWWW[[#This Row],[Total required water points]]-WWWW[[#This Row],['#Water points coverage]]&lt;0,0,WWWW[[#This Row],[Total required water points]]-WWWW[[#This Row],['#Water points coverage]])</f>
        <v>0.52</v>
      </c>
      <c r="AZ388" s="557">
        <f>ROUND(IF(WWWW[[#This Row],[Total PoP ]]&lt;250,1,WWWW[[#This Row],[Total PoP ]]/250),0)</f>
        <v>1</v>
      </c>
      <c r="BA38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88" s="565">
        <f>WWWW[[#This Row],[% people access to functioning Latrine]]*WWWW[[#This Row],[Total PoP ]]</f>
        <v>0</v>
      </c>
      <c r="BC388" s="557">
        <f>WWWW[[#This Row],['#_of_Functioning_latrines_in_school]]*50</f>
        <v>0</v>
      </c>
      <c r="BD388" s="557">
        <f>ROUND((WWWW[[#This Row],[Total PoP ]]/6),0)</f>
        <v>20</v>
      </c>
      <c r="BE388" s="557">
        <f>IF(WWWW[[#This Row],[Total required Latrines]]-(WWWW[[#This Row],['#_of_sanitary_fly-proof_HH_latrines]])&lt;0,0,WWWW[[#This Row],[Total required Latrines]]-(WWWW[[#This Row],['#_of_sanitary_fly-proof_HH_latrines]]))</f>
        <v>20</v>
      </c>
      <c r="BF388" s="558">
        <f>1-WWWW[[#This Row],[% people access to functioning Latrine]]</f>
        <v>1</v>
      </c>
      <c r="BG38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120</v>
      </c>
      <c r="BH388" s="565">
        <f>IF(WWWW[[#This Row],['#_of_functional_handwashing_facilities_at_HH_level]]*6&gt;WWWW[[#This Row],[Total PoP ]],WWWW[[#This Row],[Total PoP ]],WWWW[[#This Row],['#_of_functional_handwashing_facilities_at_HH_level]]*6)</f>
        <v>0</v>
      </c>
      <c r="BI388" s="557">
        <f>IF(WWWW[[#This Row],['# people reached by regular dedicated hygiene promotion]]&gt;WWWW[[#This Row],['# People received regular supply of hygiene items]],WWWW[[#This Row],['# people reached by regular dedicated hygiene promotion]],WWWW[[#This Row],['# People received regular supply of hygiene items]])</f>
        <v>120</v>
      </c>
      <c r="BJ388" s="555">
        <f>IF(WWWW[[#This Row],[HRP3]]/WWWW[[#This Row],[Total PoP ]]&gt;100%,100%,WWWW[[#This Row],[HRP3]]/WWWW[[#This Row],[Total PoP ]])</f>
        <v>1</v>
      </c>
      <c r="BK388" s="558">
        <f>1-WWWW[[#This Row],[Hygiene Coverage%]]</f>
        <v>0</v>
      </c>
      <c r="BL388" s="556">
        <f>WWWW[[#This Row],['# people reached by regular dedicated hygiene promotion]]/WWWW[[#This Row],[Total PoP ]]</f>
        <v>1</v>
      </c>
      <c r="BM38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8" s="557">
        <f>WWWW[[#This Row],['#_of_affected_women_and_girls_receiving_a_sufficient_quantity_of_sanitary_pads]]</f>
        <v>0</v>
      </c>
      <c r="BO388" s="611">
        <f>IF(WWWW[[#This Row],['# People with access to soap]]&gt;WWWW[[#This Row],['# People with access to Sanity Pads]],WWWW[[#This Row],['# People with access to soap]],WWWW[[#This Row],['# People with access to Sanity Pads]])</f>
        <v>0</v>
      </c>
      <c r="BP388" s="565" t="str">
        <f>IF(OR(WWWW[[#This Row],['#of students in school]]="",WWWW[[#This Row],['#of students in school]]=0),"No","Yes")</f>
        <v>Yes</v>
      </c>
      <c r="BQ388" s="559" t="str">
        <f>VLOOKUP(WWWW[[#This Row],[Village  Name]],SiteDB6[[Site Name]:[Location Type 1]],9,FALSE)</f>
        <v>Village</v>
      </c>
      <c r="BR388" s="559" t="str">
        <f>VLOOKUP(WWWW[[#This Row],[Village  Name]],SiteDB6[[Site Name]:[Type of Accommodation]],10,FALSE)</f>
        <v>Village</v>
      </c>
      <c r="BS388" s="559">
        <f>VLOOKUP(WWWW[[#This Row],[Village  Name]],SiteDB6[[Site Name]:[Ethnic or GCA/NGCA]],11,FALSE)</f>
        <v>0</v>
      </c>
      <c r="BT388" s="559">
        <f>VLOOKUP(WWWW[[#This Row],[Village  Name]],SiteDB6[[Site Name]:[Lat]],12,FALSE)</f>
        <v>0</v>
      </c>
      <c r="BU388" s="559">
        <f>VLOOKUP(WWWW[[#This Row],[Village  Name]],SiteDB6[[Site Name]:[Long]],13,FALSE)</f>
        <v>0</v>
      </c>
      <c r="BV388" s="559" t="str">
        <f>VLOOKUP(WWWW[[#This Row],[Village  Name]],SiteDB6[[Site Name]:[Pcode]],3,FALSE)</f>
        <v>MMR012001701508</v>
      </c>
      <c r="BW388" s="559" t="str">
        <f t="shared" si="14"/>
        <v>Covered</v>
      </c>
      <c r="BX388" s="587"/>
    </row>
    <row r="389" spans="1:76">
      <c r="A389" s="612" t="s">
        <v>2381</v>
      </c>
      <c r="B389" s="612" t="s">
        <v>233</v>
      </c>
      <c r="C389" s="457" t="s">
        <v>233</v>
      </c>
      <c r="D389" s="457" t="s">
        <v>3011</v>
      </c>
      <c r="E389" s="457" t="s">
        <v>2687</v>
      </c>
      <c r="F389" s="457" t="s">
        <v>297</v>
      </c>
      <c r="G389" s="551" t="str">
        <f>VLOOKUP(WWWW[[#This Row],[Village  Name]],SiteDB6[[Site Name]:[Location Type]],8,FALSE)</f>
        <v>Village</v>
      </c>
      <c r="H389" s="457" t="s">
        <v>1750</v>
      </c>
      <c r="I389" s="611"/>
      <c r="J389" s="611">
        <v>110</v>
      </c>
      <c r="K389" s="461">
        <v>42856</v>
      </c>
      <c r="L389" s="55">
        <v>43646</v>
      </c>
      <c r="M389" s="611">
        <v>110</v>
      </c>
      <c r="N389" s="611"/>
      <c r="O389" s="611"/>
      <c r="P389" s="611"/>
      <c r="Q389" s="611"/>
      <c r="R389" s="611"/>
      <c r="S389" s="611">
        <v>1</v>
      </c>
      <c r="T389" s="643"/>
      <c r="U389" s="611"/>
      <c r="V389" s="611" t="s">
        <v>41</v>
      </c>
      <c r="W389" s="611">
        <v>2</v>
      </c>
      <c r="X389" s="611"/>
      <c r="Y389" s="611"/>
      <c r="Z389" s="611"/>
      <c r="AA389" s="611"/>
      <c r="AB389" s="643"/>
      <c r="AC389" s="611"/>
      <c r="AD389" s="611"/>
      <c r="AE389" s="611"/>
      <c r="AF389" s="611"/>
      <c r="AG389" s="611">
        <v>69</v>
      </c>
      <c r="AH389" s="611">
        <v>41</v>
      </c>
      <c r="AI389" s="611"/>
      <c r="AJ389" s="611">
        <v>1</v>
      </c>
      <c r="AK389" s="611"/>
      <c r="AL389" s="611"/>
      <c r="AM389" s="643"/>
      <c r="AN389" s="611"/>
      <c r="AO389" s="611"/>
      <c r="AP38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89" s="565">
        <f>WWWW[[#This Row],[%Equitable and continuous access to sufficient quantity of safe drinking water]]*WWWW[[#This Row],[Total PoP ]]</f>
        <v>110</v>
      </c>
      <c r="AR38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89" s="565">
        <f>WWWW[[#This Row],[% Access to unimproved water points]]*WWWW[[#This Row],[Total PoP ]]</f>
        <v>0</v>
      </c>
      <c r="AT38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8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v>
      </c>
      <c r="AV389" s="565">
        <f>WWWW[[#This Row],[HRP1]]/250</f>
        <v>0.44</v>
      </c>
      <c r="AW389" s="555">
        <f>1-WWWW[[#This Row],[% Equitable and continuous access to sufficient quantity of domestic water]]</f>
        <v>0</v>
      </c>
      <c r="AX389" s="565">
        <f>WWWW[[#This Row],[%equitable and continuous access to sufficient quantity of safe drinking and domestic water''s GAP]]*WWWW[[#This Row],[Total PoP ]]</f>
        <v>0</v>
      </c>
      <c r="AY389" s="557">
        <f>IF(WWWW[[#This Row],[Total required water points]]-WWWW[[#This Row],['#Water points coverage]]&lt;0,0,WWWW[[#This Row],[Total required water points]]-WWWW[[#This Row],['#Water points coverage]])</f>
        <v>0.56000000000000005</v>
      </c>
      <c r="AZ389" s="557">
        <f>ROUND(IF(WWWW[[#This Row],[Total PoP ]]&lt;250,1,WWWW[[#This Row],[Total PoP ]]/250),0)</f>
        <v>1</v>
      </c>
      <c r="BA389"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0.90909090909090906</v>
      </c>
      <c r="BB389" s="565">
        <f>WWWW[[#This Row],[% people access to functioning Latrine]]*WWWW[[#This Row],[Total PoP ]]</f>
        <v>100</v>
      </c>
      <c r="BC389" s="557">
        <f>WWWW[[#This Row],['#_of_Functioning_latrines_in_school]]*50</f>
        <v>100</v>
      </c>
      <c r="BD389" s="557">
        <f>ROUND((WWWW[[#This Row],[Total PoP ]]/6),0)</f>
        <v>18</v>
      </c>
      <c r="BE389" s="557">
        <f>IF(WWWW[[#This Row],[Total required Latrines]]-(WWWW[[#This Row],['#_of_sanitary_fly-proof_HH_latrines]])&lt;0,0,WWWW[[#This Row],[Total required Latrines]]-(WWWW[[#This Row],['#_of_sanitary_fly-proof_HH_latrines]]))</f>
        <v>18</v>
      </c>
      <c r="BF389" s="558">
        <f>1-WWWW[[#This Row],[% people access to functioning Latrine]]</f>
        <v>9.0909090909090939E-2</v>
      </c>
      <c r="BG38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110</v>
      </c>
      <c r="BH389" s="565">
        <f>IF(WWWW[[#This Row],['#_of_functional_handwashing_facilities_at_HH_level]]*6&gt;WWWW[[#This Row],[Total PoP ]],WWWW[[#This Row],[Total PoP ]],WWWW[[#This Row],['#_of_functional_handwashing_facilities_at_HH_level]]*6)</f>
        <v>0</v>
      </c>
      <c r="BI389" s="557">
        <f>IF(WWWW[[#This Row],['# people reached by regular dedicated hygiene promotion]]&gt;WWWW[[#This Row],['# People received regular supply of hygiene items]],WWWW[[#This Row],['# people reached by regular dedicated hygiene promotion]],WWWW[[#This Row],['# People received regular supply of hygiene items]])</f>
        <v>110</v>
      </c>
      <c r="BJ389" s="555">
        <f>IF(WWWW[[#This Row],[HRP3]]/WWWW[[#This Row],[Total PoP ]]&gt;100%,100%,WWWW[[#This Row],[HRP3]]/WWWW[[#This Row],[Total PoP ]])</f>
        <v>1</v>
      </c>
      <c r="BK389" s="558">
        <f>1-WWWW[[#This Row],[Hygiene Coverage%]]</f>
        <v>0</v>
      </c>
      <c r="BL389" s="556">
        <f>WWWW[[#This Row],['# people reached by regular dedicated hygiene promotion]]/WWWW[[#This Row],[Total PoP ]]</f>
        <v>1</v>
      </c>
      <c r="BM38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89" s="557">
        <f>WWWW[[#This Row],['#_of_affected_women_and_girls_receiving_a_sufficient_quantity_of_sanitary_pads]]</f>
        <v>0</v>
      </c>
      <c r="BO389" s="611">
        <f>IF(WWWW[[#This Row],['# People with access to soap]]&gt;WWWW[[#This Row],['# People with access to Sanity Pads]],WWWW[[#This Row],['# People with access to soap]],WWWW[[#This Row],['# People with access to Sanity Pads]])</f>
        <v>0</v>
      </c>
      <c r="BP389" s="565" t="str">
        <f>IF(OR(WWWW[[#This Row],['#of students in school]]="",WWWW[[#This Row],['#of students in school]]=0),"No","Yes")</f>
        <v>Yes</v>
      </c>
      <c r="BQ389" s="559" t="str">
        <f>VLOOKUP(WWWW[[#This Row],[Village  Name]],SiteDB6[[Site Name]:[Location Type 1]],9,FALSE)</f>
        <v>Village</v>
      </c>
      <c r="BR389" s="559" t="str">
        <f>VLOOKUP(WWWW[[#This Row],[Village  Name]],SiteDB6[[Site Name]:[Type of Accommodation]],10,FALSE)</f>
        <v>Village</v>
      </c>
      <c r="BS389" s="559">
        <f>VLOOKUP(WWWW[[#This Row],[Village  Name]],SiteDB6[[Site Name]:[Ethnic or GCA/NGCA]],11,FALSE)</f>
        <v>0</v>
      </c>
      <c r="BT389" s="559">
        <f>VLOOKUP(WWWW[[#This Row],[Village  Name]],SiteDB6[[Site Name]:[Lat]],12,FALSE)</f>
        <v>0</v>
      </c>
      <c r="BU389" s="559">
        <f>VLOOKUP(WWWW[[#This Row],[Village  Name]],SiteDB6[[Site Name]:[Long]],13,FALSE)</f>
        <v>0</v>
      </c>
      <c r="BV389" s="559" t="str">
        <f>VLOOKUP(WWWW[[#This Row],[Village  Name]],SiteDB6[[Site Name]:[Pcode]],3,FALSE)</f>
        <v>MMR012001701522</v>
      </c>
      <c r="BW389" s="559" t="str">
        <f t="shared" si="14"/>
        <v>Covered</v>
      </c>
      <c r="BX389" s="587"/>
    </row>
    <row r="390" spans="1:76">
      <c r="A390" s="612" t="s">
        <v>2381</v>
      </c>
      <c r="B390" s="612" t="s">
        <v>233</v>
      </c>
      <c r="C390" s="457" t="s">
        <v>233</v>
      </c>
      <c r="D390" s="457" t="s">
        <v>3011</v>
      </c>
      <c r="E390" s="457" t="s">
        <v>2687</v>
      </c>
      <c r="F390" s="457" t="s">
        <v>297</v>
      </c>
      <c r="G390" s="551" t="str">
        <f>VLOOKUP(WWWW[[#This Row],[Village  Name]],SiteDB6[[Site Name]:[Location Type]],8,FALSE)</f>
        <v>Village</v>
      </c>
      <c r="H390" s="457" t="s">
        <v>3021</v>
      </c>
      <c r="I390" s="611"/>
      <c r="J390" s="611">
        <v>199</v>
      </c>
      <c r="K390" s="461">
        <v>42856</v>
      </c>
      <c r="L390" s="55">
        <v>43646</v>
      </c>
      <c r="M390" s="611">
        <v>199</v>
      </c>
      <c r="N390" s="611"/>
      <c r="O390" s="611"/>
      <c r="P390" s="611"/>
      <c r="Q390" s="611"/>
      <c r="R390" s="611"/>
      <c r="S390" s="611">
        <v>1</v>
      </c>
      <c r="T390" s="643"/>
      <c r="U390" s="611"/>
      <c r="V390" s="611" t="s">
        <v>41</v>
      </c>
      <c r="W390" s="611">
        <v>4</v>
      </c>
      <c r="X390" s="611"/>
      <c r="Y390" s="611"/>
      <c r="Z390" s="611"/>
      <c r="AA390" s="611"/>
      <c r="AB390" s="643"/>
      <c r="AC390" s="611"/>
      <c r="AD390" s="611"/>
      <c r="AE390" s="611"/>
      <c r="AF390" s="611"/>
      <c r="AG390" s="611">
        <v>113</v>
      </c>
      <c r="AH390" s="611">
        <v>86</v>
      </c>
      <c r="AI390" s="611"/>
      <c r="AJ390" s="611">
        <v>1</v>
      </c>
      <c r="AK390" s="611"/>
      <c r="AL390" s="611"/>
      <c r="AM390" s="643"/>
      <c r="AN390" s="611"/>
      <c r="AO390" s="611"/>
      <c r="AP39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90" s="565">
        <f>WWWW[[#This Row],[%Equitable and continuous access to sufficient quantity of safe drinking water]]*WWWW[[#This Row],[Total PoP ]]</f>
        <v>199</v>
      </c>
      <c r="AR39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0" s="565">
        <f>WWWW[[#This Row],[% Access to unimproved water points]]*WWWW[[#This Row],[Total PoP ]]</f>
        <v>0</v>
      </c>
      <c r="AT39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9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199</v>
      </c>
      <c r="AV390" s="565">
        <f>WWWW[[#This Row],[HRP1]]/250</f>
        <v>0.79600000000000004</v>
      </c>
      <c r="AW390" s="555">
        <f>1-WWWW[[#This Row],[% Equitable and continuous access to sufficient quantity of domestic water]]</f>
        <v>0</v>
      </c>
      <c r="AX390" s="565">
        <f>WWWW[[#This Row],[%equitable and continuous access to sufficient quantity of safe drinking and domestic water''s GAP]]*WWWW[[#This Row],[Total PoP ]]</f>
        <v>0</v>
      </c>
      <c r="AY390" s="557">
        <f>IF(WWWW[[#This Row],[Total required water points]]-WWWW[[#This Row],['#Water points coverage]]&lt;0,0,WWWW[[#This Row],[Total required water points]]-WWWW[[#This Row],['#Water points coverage]])</f>
        <v>0.20399999999999996</v>
      </c>
      <c r="AZ390" s="557">
        <f>ROUND(IF(WWWW[[#This Row],[Total PoP ]]&lt;250,1,WWWW[[#This Row],[Total PoP ]]/250),0)</f>
        <v>1</v>
      </c>
      <c r="BA39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90" s="565">
        <f>WWWW[[#This Row],[% people access to functioning Latrine]]*WWWW[[#This Row],[Total PoP ]]</f>
        <v>199</v>
      </c>
      <c r="BC390" s="557">
        <f>WWWW[[#This Row],['#_of_Functioning_latrines_in_school]]*50</f>
        <v>200</v>
      </c>
      <c r="BD390" s="557">
        <f>ROUND((WWWW[[#This Row],[Total PoP ]]/6),0)</f>
        <v>33</v>
      </c>
      <c r="BE390" s="557">
        <f>IF(WWWW[[#This Row],[Total required Latrines]]-(WWWW[[#This Row],['#_of_sanitary_fly-proof_HH_latrines]])&lt;0,0,WWWW[[#This Row],[Total required Latrines]]-(WWWW[[#This Row],['#_of_sanitary_fly-proof_HH_latrines]]))</f>
        <v>33</v>
      </c>
      <c r="BF390" s="558">
        <f>1-WWWW[[#This Row],[% people access to functioning Latrine]]</f>
        <v>0</v>
      </c>
      <c r="BG39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199</v>
      </c>
      <c r="BH390" s="565">
        <f>IF(WWWW[[#This Row],['#_of_functional_handwashing_facilities_at_HH_level]]*6&gt;WWWW[[#This Row],[Total PoP ]],WWWW[[#This Row],[Total PoP ]],WWWW[[#This Row],['#_of_functional_handwashing_facilities_at_HH_level]]*6)</f>
        <v>0</v>
      </c>
      <c r="BI390" s="557">
        <f>IF(WWWW[[#This Row],['# people reached by regular dedicated hygiene promotion]]&gt;WWWW[[#This Row],['# People received regular supply of hygiene items]],WWWW[[#This Row],['# people reached by regular dedicated hygiene promotion]],WWWW[[#This Row],['# People received regular supply of hygiene items]])</f>
        <v>199</v>
      </c>
      <c r="BJ390" s="555">
        <f>IF(WWWW[[#This Row],[HRP3]]/WWWW[[#This Row],[Total PoP ]]&gt;100%,100%,WWWW[[#This Row],[HRP3]]/WWWW[[#This Row],[Total PoP ]])</f>
        <v>1</v>
      </c>
      <c r="BK390" s="558">
        <f>1-WWWW[[#This Row],[Hygiene Coverage%]]</f>
        <v>0</v>
      </c>
      <c r="BL390" s="556">
        <f>WWWW[[#This Row],['# people reached by regular dedicated hygiene promotion]]/WWWW[[#This Row],[Total PoP ]]</f>
        <v>1</v>
      </c>
      <c r="BM39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0" s="557">
        <f>WWWW[[#This Row],['#_of_affected_women_and_girls_receiving_a_sufficient_quantity_of_sanitary_pads]]</f>
        <v>0</v>
      </c>
      <c r="BO390" s="611">
        <f>IF(WWWW[[#This Row],['# People with access to soap]]&gt;WWWW[[#This Row],['# People with access to Sanity Pads]],WWWW[[#This Row],['# People with access to soap]],WWWW[[#This Row],['# People with access to Sanity Pads]])</f>
        <v>0</v>
      </c>
      <c r="BP390" s="565" t="str">
        <f>IF(OR(WWWW[[#This Row],['#of students in school]]="",WWWW[[#This Row],['#of students in school]]=0),"No","Yes")</f>
        <v>Yes</v>
      </c>
      <c r="BQ390" s="559" t="str">
        <f>VLOOKUP(WWWW[[#This Row],[Village  Name]],SiteDB6[[Site Name]:[Location Type 1]],9,FALSE)</f>
        <v>Village</v>
      </c>
      <c r="BR390" s="559" t="str">
        <f>VLOOKUP(WWWW[[#This Row],[Village  Name]],SiteDB6[[Site Name]:[Type of Accommodation]],10,FALSE)</f>
        <v>Village</v>
      </c>
      <c r="BS390" s="559">
        <f>VLOOKUP(WWWW[[#This Row],[Village  Name]],SiteDB6[[Site Name]:[Ethnic or GCA/NGCA]],11,FALSE)</f>
        <v>0</v>
      </c>
      <c r="BT390" s="559">
        <f>VLOOKUP(WWWW[[#This Row],[Village  Name]],SiteDB6[[Site Name]:[Lat]],12,FALSE)</f>
        <v>0</v>
      </c>
      <c r="BU390" s="559">
        <f>VLOOKUP(WWWW[[#This Row],[Village  Name]],SiteDB6[[Site Name]:[Long]],13,FALSE)</f>
        <v>0</v>
      </c>
      <c r="BV390" s="559" t="str">
        <f>VLOOKUP(WWWW[[#This Row],[Village  Name]],SiteDB6[[Site Name]:[Pcode]],3,FALSE)</f>
        <v>MMR012001701530</v>
      </c>
      <c r="BW390" s="559" t="str">
        <f t="shared" si="14"/>
        <v>Covered</v>
      </c>
      <c r="BX390" s="587"/>
    </row>
    <row r="391" spans="1:76">
      <c r="A391" s="612" t="s">
        <v>2381</v>
      </c>
      <c r="B391" s="612" t="s">
        <v>233</v>
      </c>
      <c r="C391" s="457" t="s">
        <v>233</v>
      </c>
      <c r="D391" s="457" t="s">
        <v>3011</v>
      </c>
      <c r="E391" s="457" t="s">
        <v>2687</v>
      </c>
      <c r="F391" s="457" t="s">
        <v>297</v>
      </c>
      <c r="G391" s="551" t="str">
        <f>VLOOKUP(WWWW[[#This Row],[Village  Name]],SiteDB6[[Site Name]:[Location Type]],8,FALSE)</f>
        <v>Village</v>
      </c>
      <c r="H391" s="457" t="s">
        <v>3015</v>
      </c>
      <c r="I391" s="611"/>
      <c r="J391" s="611">
        <v>249</v>
      </c>
      <c r="K391" s="461">
        <v>42856</v>
      </c>
      <c r="L391" s="55">
        <v>43646</v>
      </c>
      <c r="M391" s="611">
        <v>249</v>
      </c>
      <c r="N391" s="611"/>
      <c r="O391" s="611"/>
      <c r="P391" s="611"/>
      <c r="Q391" s="611"/>
      <c r="R391" s="611"/>
      <c r="S391" s="611">
        <v>1</v>
      </c>
      <c r="T391" s="643"/>
      <c r="U391" s="611"/>
      <c r="V391" s="611" t="s">
        <v>128</v>
      </c>
      <c r="W391" s="611">
        <v>0</v>
      </c>
      <c r="X391" s="611"/>
      <c r="Y391" s="611"/>
      <c r="Z391" s="611"/>
      <c r="AA391" s="611"/>
      <c r="AB391" s="643"/>
      <c r="AC391" s="611"/>
      <c r="AD391" s="611"/>
      <c r="AE391" s="611"/>
      <c r="AF391" s="611"/>
      <c r="AG391" s="611">
        <v>121</v>
      </c>
      <c r="AH391" s="611">
        <v>128</v>
      </c>
      <c r="AI391" s="611"/>
      <c r="AJ391" s="611">
        <v>1</v>
      </c>
      <c r="AK391" s="611"/>
      <c r="AL391" s="611"/>
      <c r="AM391" s="643"/>
      <c r="AN391" s="611"/>
      <c r="AO391" s="611"/>
      <c r="AP39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91" s="565">
        <f>WWWW[[#This Row],[%Equitable and continuous access to sufficient quantity of safe drinking water]]*WWWW[[#This Row],[Total PoP ]]</f>
        <v>249</v>
      </c>
      <c r="AR39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1" s="565">
        <f>WWWW[[#This Row],[% Access to unimproved water points]]*WWWW[[#This Row],[Total PoP ]]</f>
        <v>0</v>
      </c>
      <c r="AT39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9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V391" s="565">
        <f>WWWW[[#This Row],[HRP1]]/250</f>
        <v>0.996</v>
      </c>
      <c r="AW391" s="555">
        <f>1-WWWW[[#This Row],[% Equitable and continuous access to sufficient quantity of domestic water]]</f>
        <v>0</v>
      </c>
      <c r="AX391" s="565">
        <f>WWWW[[#This Row],[%equitable and continuous access to sufficient quantity of safe drinking and domestic water''s GAP]]*WWWW[[#This Row],[Total PoP ]]</f>
        <v>0</v>
      </c>
      <c r="AY391" s="557">
        <f>IF(WWWW[[#This Row],[Total required water points]]-WWWW[[#This Row],['#Water points coverage]]&lt;0,0,WWWW[[#This Row],[Total required water points]]-WWWW[[#This Row],['#Water points coverage]])</f>
        <v>4.0000000000000036E-3</v>
      </c>
      <c r="AZ391" s="557">
        <f>ROUND(IF(WWWW[[#This Row],[Total PoP ]]&lt;250,1,WWWW[[#This Row],[Total PoP ]]/250),0)</f>
        <v>1</v>
      </c>
      <c r="BA39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91" s="565">
        <f>WWWW[[#This Row],[% people access to functioning Latrine]]*WWWW[[#This Row],[Total PoP ]]</f>
        <v>0</v>
      </c>
      <c r="BC391" s="557">
        <f>WWWW[[#This Row],['#_of_Functioning_latrines_in_school]]*50</f>
        <v>0</v>
      </c>
      <c r="BD391" s="557">
        <f>ROUND((WWWW[[#This Row],[Total PoP ]]/6),0)</f>
        <v>42</v>
      </c>
      <c r="BE391" s="557">
        <f>IF(WWWW[[#This Row],[Total required Latrines]]-(WWWW[[#This Row],['#_of_sanitary_fly-proof_HH_latrines]])&lt;0,0,WWWW[[#This Row],[Total required Latrines]]-(WWWW[[#This Row],['#_of_sanitary_fly-proof_HH_latrines]]))</f>
        <v>42</v>
      </c>
      <c r="BF391" s="558">
        <f>1-WWWW[[#This Row],[% people access to functioning Latrine]]</f>
        <v>1</v>
      </c>
      <c r="BG39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249</v>
      </c>
      <c r="BH391" s="565">
        <f>IF(WWWW[[#This Row],['#_of_functional_handwashing_facilities_at_HH_level]]*6&gt;WWWW[[#This Row],[Total PoP ]],WWWW[[#This Row],[Total PoP ]],WWWW[[#This Row],['#_of_functional_handwashing_facilities_at_HH_level]]*6)</f>
        <v>0</v>
      </c>
      <c r="BI391" s="557">
        <f>IF(WWWW[[#This Row],['# people reached by regular dedicated hygiene promotion]]&gt;WWWW[[#This Row],['# People received regular supply of hygiene items]],WWWW[[#This Row],['# people reached by regular dedicated hygiene promotion]],WWWW[[#This Row],['# People received regular supply of hygiene items]])</f>
        <v>249</v>
      </c>
      <c r="BJ391" s="555">
        <f>IF(WWWW[[#This Row],[HRP3]]/WWWW[[#This Row],[Total PoP ]]&gt;100%,100%,WWWW[[#This Row],[HRP3]]/WWWW[[#This Row],[Total PoP ]])</f>
        <v>1</v>
      </c>
      <c r="BK391" s="558">
        <f>1-WWWW[[#This Row],[Hygiene Coverage%]]</f>
        <v>0</v>
      </c>
      <c r="BL391" s="556">
        <f>WWWW[[#This Row],['# people reached by regular dedicated hygiene promotion]]/WWWW[[#This Row],[Total PoP ]]</f>
        <v>1</v>
      </c>
      <c r="BM39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1" s="557">
        <f>WWWW[[#This Row],['#_of_affected_women_and_girls_receiving_a_sufficient_quantity_of_sanitary_pads]]</f>
        <v>0</v>
      </c>
      <c r="BO391" s="611">
        <f>IF(WWWW[[#This Row],['# People with access to soap]]&gt;WWWW[[#This Row],['# People with access to Sanity Pads]],WWWW[[#This Row],['# People with access to soap]],WWWW[[#This Row],['# People with access to Sanity Pads]])</f>
        <v>0</v>
      </c>
      <c r="BP391" s="565" t="str">
        <f>IF(OR(WWWW[[#This Row],['#of students in school]]="",WWWW[[#This Row],['#of students in school]]=0),"No","Yes")</f>
        <v>Yes</v>
      </c>
      <c r="BQ391" s="559" t="str">
        <f>VLOOKUP(WWWW[[#This Row],[Village  Name]],SiteDB6[[Site Name]:[Location Type 1]],9,FALSE)</f>
        <v>Village</v>
      </c>
      <c r="BR391" s="559" t="str">
        <f>VLOOKUP(WWWW[[#This Row],[Village  Name]],SiteDB6[[Site Name]:[Type of Accommodation]],10,FALSE)</f>
        <v>Village</v>
      </c>
      <c r="BS391" s="559">
        <f>VLOOKUP(WWWW[[#This Row],[Village  Name]],SiteDB6[[Site Name]:[Ethnic or GCA/NGCA]],11,FALSE)</f>
        <v>0</v>
      </c>
      <c r="BT391" s="559">
        <f>VLOOKUP(WWWW[[#This Row],[Village  Name]],SiteDB6[[Site Name]:[Lat]],12,FALSE)</f>
        <v>0</v>
      </c>
      <c r="BU391" s="559">
        <f>VLOOKUP(WWWW[[#This Row],[Village  Name]],SiteDB6[[Site Name]:[Long]],13,FALSE)</f>
        <v>0</v>
      </c>
      <c r="BV391" s="559">
        <f>VLOOKUP(WWWW[[#This Row],[Village  Name]],SiteDB6[[Site Name]:[Pcode]],3,FALSE)</f>
        <v>0</v>
      </c>
      <c r="BW391" s="559" t="str">
        <f t="shared" si="14"/>
        <v>Covered</v>
      </c>
      <c r="BX391" s="587"/>
    </row>
    <row r="392" spans="1:76">
      <c r="A392" s="612" t="s">
        <v>2381</v>
      </c>
      <c r="B392" s="612" t="s">
        <v>3048</v>
      </c>
      <c r="C392" s="457" t="s">
        <v>233</v>
      </c>
      <c r="D392" s="457" t="s">
        <v>3011</v>
      </c>
      <c r="E392" s="457" t="s">
        <v>2687</v>
      </c>
      <c r="F392" s="457" t="s">
        <v>297</v>
      </c>
      <c r="G392" s="551" t="str">
        <f>VLOOKUP(WWWW[[#This Row],[Village  Name]],SiteDB6[[Site Name]:[Location Type]],8,FALSE)</f>
        <v>Village</v>
      </c>
      <c r="H392" s="457" t="s">
        <v>438</v>
      </c>
      <c r="I392" s="611"/>
      <c r="J392" s="611">
        <v>86502</v>
      </c>
      <c r="K392" s="461">
        <v>42856</v>
      </c>
      <c r="L392" s="55">
        <v>43646</v>
      </c>
      <c r="M392" s="611">
        <v>86502</v>
      </c>
      <c r="N392" s="611"/>
      <c r="O392" s="611"/>
      <c r="P392" s="611"/>
      <c r="Q392" s="611"/>
      <c r="R392" s="611"/>
      <c r="S392" s="611">
        <v>3</v>
      </c>
      <c r="T392" s="643"/>
      <c r="U392" s="611"/>
      <c r="V392" s="611" t="s">
        <v>41</v>
      </c>
      <c r="W392" s="611">
        <v>4</v>
      </c>
      <c r="X392" s="611"/>
      <c r="Y392" s="611"/>
      <c r="Z392" s="611"/>
      <c r="AA392" s="611"/>
      <c r="AB392" s="643"/>
      <c r="AC392" s="611"/>
      <c r="AD392" s="611"/>
      <c r="AE392" s="611"/>
      <c r="AF392" s="611"/>
      <c r="AG392" s="611">
        <v>412</v>
      </c>
      <c r="AH392" s="611">
        <v>238</v>
      </c>
      <c r="AI392" s="611"/>
      <c r="AJ392" s="611">
        <v>1</v>
      </c>
      <c r="AK392" s="611"/>
      <c r="AL392" s="611"/>
      <c r="AM392" s="643"/>
      <c r="AN392" s="611"/>
      <c r="AO392" s="611"/>
      <c r="AP39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8.6703197613928005E-3</v>
      </c>
      <c r="AQ392" s="565">
        <f>WWWW[[#This Row],[%Equitable and continuous access to sufficient quantity of safe drinking water]]*WWWW[[#This Row],[Total PoP ]]</f>
        <v>750</v>
      </c>
      <c r="AR39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2" s="565">
        <f>WWWW[[#This Row],[% Access to unimproved water points]]*WWWW[[#This Row],[Total PoP ]]</f>
        <v>0</v>
      </c>
      <c r="AT39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8.6703197613928005E-3</v>
      </c>
      <c r="AU39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750</v>
      </c>
      <c r="AV392" s="565">
        <f>WWWW[[#This Row],[HRP1]]/250</f>
        <v>3</v>
      </c>
      <c r="AW392" s="555">
        <f>1-WWWW[[#This Row],[% Equitable and continuous access to sufficient quantity of domestic water]]</f>
        <v>0.99132968023860724</v>
      </c>
      <c r="AX392" s="565">
        <f>WWWW[[#This Row],[%equitable and continuous access to sufficient quantity of safe drinking and domestic water''s GAP]]*WWWW[[#This Row],[Total PoP ]]</f>
        <v>85752</v>
      </c>
      <c r="AY392" s="557">
        <f>IF(WWWW[[#This Row],[Total required water points]]-WWWW[[#This Row],['#Water points coverage]]&lt;0,0,WWWW[[#This Row],[Total required water points]]-WWWW[[#This Row],['#Water points coverage]])</f>
        <v>343</v>
      </c>
      <c r="AZ392" s="557">
        <f>ROUND(IF(WWWW[[#This Row],[Total PoP ]]&lt;250,1,WWWW[[#This Row],[Total PoP ]]/250),0)</f>
        <v>346</v>
      </c>
      <c r="BA392"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2.3120852697047466E-3</v>
      </c>
      <c r="BB392" s="565">
        <f>WWWW[[#This Row],[% people access to functioning Latrine]]*WWWW[[#This Row],[Total PoP ]]</f>
        <v>200</v>
      </c>
      <c r="BC392" s="557">
        <f>WWWW[[#This Row],['#_of_Functioning_latrines_in_school]]*50</f>
        <v>200</v>
      </c>
      <c r="BD392" s="557">
        <f>ROUND((WWWW[[#This Row],[Total PoP ]]/6),0)</f>
        <v>14417</v>
      </c>
      <c r="BE392" s="557">
        <f>IF(WWWW[[#This Row],[Total required Latrines]]-(WWWW[[#This Row],['#_of_sanitary_fly-proof_HH_latrines]])&lt;0,0,WWWW[[#This Row],[Total required Latrines]]-(WWWW[[#This Row],['#_of_sanitary_fly-proof_HH_latrines]]))</f>
        <v>14417</v>
      </c>
      <c r="BF392" s="558">
        <f>1-WWWW[[#This Row],[% people access to functioning Latrine]]</f>
        <v>0.99768791473029528</v>
      </c>
      <c r="BG39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650</v>
      </c>
      <c r="BH392" s="565">
        <f>IF(WWWW[[#This Row],['#_of_functional_handwashing_facilities_at_HH_level]]*6&gt;WWWW[[#This Row],[Total PoP ]],WWWW[[#This Row],[Total PoP ]],WWWW[[#This Row],['#_of_functional_handwashing_facilities_at_HH_level]]*6)</f>
        <v>0</v>
      </c>
      <c r="BI392" s="557">
        <f>IF(WWWW[[#This Row],['# people reached by regular dedicated hygiene promotion]]&gt;WWWW[[#This Row],['# People received regular supply of hygiene items]],WWWW[[#This Row],['# people reached by regular dedicated hygiene promotion]],WWWW[[#This Row],['# People received regular supply of hygiene items]])</f>
        <v>650</v>
      </c>
      <c r="BJ392" s="555">
        <f>IF(WWWW[[#This Row],[HRP3]]/WWWW[[#This Row],[Total PoP ]]&gt;100%,100%,WWWW[[#This Row],[HRP3]]/WWWW[[#This Row],[Total PoP ]])</f>
        <v>7.5142771265404272E-3</v>
      </c>
      <c r="BK392" s="558">
        <f>1-WWWW[[#This Row],[Hygiene Coverage%]]</f>
        <v>0.9924857228734596</v>
      </c>
      <c r="BL392" s="556">
        <f>WWWW[[#This Row],['# people reached by regular dedicated hygiene promotion]]/WWWW[[#This Row],[Total PoP ]]</f>
        <v>7.5142771265404272E-3</v>
      </c>
      <c r="BM39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2" s="557">
        <f>WWWW[[#This Row],['#_of_affected_women_and_girls_receiving_a_sufficient_quantity_of_sanitary_pads]]</f>
        <v>0</v>
      </c>
      <c r="BO392" s="611">
        <f>IF(WWWW[[#This Row],['# People with access to soap]]&gt;WWWW[[#This Row],['# People with access to Sanity Pads]],WWWW[[#This Row],['# People with access to soap]],WWWW[[#This Row],['# People with access to Sanity Pads]])</f>
        <v>0</v>
      </c>
      <c r="BP392" s="565" t="str">
        <f>IF(OR(WWWW[[#This Row],['#of students in school]]="",WWWW[[#This Row],['#of students in school]]=0),"No","Yes")</f>
        <v>Yes</v>
      </c>
      <c r="BQ392" s="559" t="str">
        <f>VLOOKUP(WWWW[[#This Row],[Village  Name]],SiteDB6[[Site Name]:[Location Type 1]],9,FALSE)</f>
        <v>Village</v>
      </c>
      <c r="BR392" s="559" t="str">
        <f>VLOOKUP(WWWW[[#This Row],[Village  Name]],SiteDB6[[Site Name]:[Type of Accommodation]],10,FALSE)</f>
        <v>Village</v>
      </c>
      <c r="BS392" s="559" t="str">
        <f>VLOOKUP(WWWW[[#This Row],[Village  Name]],SiteDB6[[Site Name]:[Ethnic or GCA/NGCA]],11,FALSE)</f>
        <v>Muslim</v>
      </c>
      <c r="BT392" s="559">
        <f>VLOOKUP(WWWW[[#This Row],[Village  Name]],SiteDB6[[Site Name]:[Lat]],12,FALSE)</f>
        <v>20.197549819999999</v>
      </c>
      <c r="BU392" s="559">
        <f>VLOOKUP(WWWW[[#This Row],[Village  Name]],SiteDB6[[Site Name]:[Long]],13,FALSE)</f>
        <v>92.785682679999994</v>
      </c>
      <c r="BV392" s="559">
        <f>VLOOKUP(WWWW[[#This Row],[Village  Name]],SiteDB6[[Site Name]:[Pcode]],3,FALSE)</f>
        <v>196156</v>
      </c>
      <c r="BW392" s="559" t="str">
        <f t="shared" si="14"/>
        <v>Covered</v>
      </c>
      <c r="BX392" s="587"/>
    </row>
    <row r="393" spans="1:76">
      <c r="A393" s="612" t="s">
        <v>2381</v>
      </c>
      <c r="B393" s="612" t="s">
        <v>233</v>
      </c>
      <c r="C393" s="457" t="s">
        <v>233</v>
      </c>
      <c r="D393" s="457" t="s">
        <v>3011</v>
      </c>
      <c r="E393" s="457" t="s">
        <v>2687</v>
      </c>
      <c r="F393" s="457" t="s">
        <v>297</v>
      </c>
      <c r="G393" s="551" t="str">
        <f>VLOOKUP(WWWW[[#This Row],[Village  Name]],SiteDB6[[Site Name]:[Location Type]],8,FALSE)</f>
        <v>Village</v>
      </c>
      <c r="H393" s="457" t="s">
        <v>457</v>
      </c>
      <c r="I393" s="611"/>
      <c r="J393" s="611">
        <v>102</v>
      </c>
      <c r="K393" s="461">
        <v>42856</v>
      </c>
      <c r="L393" s="55">
        <v>43646</v>
      </c>
      <c r="M393" s="611">
        <v>102</v>
      </c>
      <c r="N393" s="611"/>
      <c r="O393" s="611"/>
      <c r="P393" s="611"/>
      <c r="Q393" s="611"/>
      <c r="R393" s="611"/>
      <c r="S393" s="611">
        <v>0</v>
      </c>
      <c r="T393" s="643"/>
      <c r="U393" s="611"/>
      <c r="V393" s="611" t="s">
        <v>41</v>
      </c>
      <c r="W393" s="611">
        <v>2</v>
      </c>
      <c r="X393" s="611"/>
      <c r="Y393" s="611"/>
      <c r="Z393" s="611"/>
      <c r="AA393" s="611"/>
      <c r="AB393" s="643"/>
      <c r="AC393" s="611"/>
      <c r="AD393" s="611"/>
      <c r="AE393" s="611"/>
      <c r="AF393" s="611"/>
      <c r="AG393" s="611">
        <v>65</v>
      </c>
      <c r="AH393" s="611">
        <v>37</v>
      </c>
      <c r="AI393" s="611"/>
      <c r="AJ393" s="611">
        <v>1</v>
      </c>
      <c r="AK393" s="611"/>
      <c r="AL393" s="611"/>
      <c r="AM393" s="643"/>
      <c r="AN393" s="611"/>
      <c r="AO393" s="611"/>
      <c r="AP39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393" s="565">
        <f>WWWW[[#This Row],[%Equitable and continuous access to sufficient quantity of safe drinking water]]*WWWW[[#This Row],[Total PoP ]]</f>
        <v>0</v>
      </c>
      <c r="AR39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3" s="565">
        <f>WWWW[[#This Row],[% Access to unimproved water points]]*WWWW[[#This Row],[Total PoP ]]</f>
        <v>0</v>
      </c>
      <c r="AT39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39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393" s="565">
        <f>WWWW[[#This Row],[HRP1]]/250</f>
        <v>0</v>
      </c>
      <c r="AW393" s="555">
        <f>1-WWWW[[#This Row],[% Equitable and continuous access to sufficient quantity of domestic water]]</f>
        <v>1</v>
      </c>
      <c r="AX393" s="565">
        <f>WWWW[[#This Row],[%equitable and continuous access to sufficient quantity of safe drinking and domestic water''s GAP]]*WWWW[[#This Row],[Total PoP ]]</f>
        <v>102</v>
      </c>
      <c r="AY393" s="557">
        <f>IF(WWWW[[#This Row],[Total required water points]]-WWWW[[#This Row],['#Water points coverage]]&lt;0,0,WWWW[[#This Row],[Total required water points]]-WWWW[[#This Row],['#Water points coverage]])</f>
        <v>1</v>
      </c>
      <c r="AZ393" s="557">
        <f>ROUND(IF(WWWW[[#This Row],[Total PoP ]]&lt;250,1,WWWW[[#This Row],[Total PoP ]]/250),0)</f>
        <v>1</v>
      </c>
      <c r="BA393"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0.98039215686274506</v>
      </c>
      <c r="BB393" s="565">
        <f>WWWW[[#This Row],[% people access to functioning Latrine]]*WWWW[[#This Row],[Total PoP ]]</f>
        <v>100</v>
      </c>
      <c r="BC393" s="557">
        <f>WWWW[[#This Row],['#_of_Functioning_latrines_in_school]]*50</f>
        <v>100</v>
      </c>
      <c r="BD393" s="557">
        <f>ROUND((WWWW[[#This Row],[Total PoP ]]/6),0)</f>
        <v>17</v>
      </c>
      <c r="BE393" s="557">
        <f>IF(WWWW[[#This Row],[Total required Latrines]]-(WWWW[[#This Row],['#_of_sanitary_fly-proof_HH_latrines]])&lt;0,0,WWWW[[#This Row],[Total required Latrines]]-(WWWW[[#This Row],['#_of_sanitary_fly-proof_HH_latrines]]))</f>
        <v>17</v>
      </c>
      <c r="BF393" s="558">
        <f>1-WWWW[[#This Row],[% people access to functioning Latrine]]</f>
        <v>1.9607843137254943E-2</v>
      </c>
      <c r="BG39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102</v>
      </c>
      <c r="BH393" s="565">
        <f>IF(WWWW[[#This Row],['#_of_functional_handwashing_facilities_at_HH_level]]*6&gt;WWWW[[#This Row],[Total PoP ]],WWWW[[#This Row],[Total PoP ]],WWWW[[#This Row],['#_of_functional_handwashing_facilities_at_HH_level]]*6)</f>
        <v>0</v>
      </c>
      <c r="BI393" s="557">
        <f>IF(WWWW[[#This Row],['# people reached by regular dedicated hygiene promotion]]&gt;WWWW[[#This Row],['# People received regular supply of hygiene items]],WWWW[[#This Row],['# people reached by regular dedicated hygiene promotion]],WWWW[[#This Row],['# People received regular supply of hygiene items]])</f>
        <v>102</v>
      </c>
      <c r="BJ393" s="555">
        <f>IF(WWWW[[#This Row],[HRP3]]/WWWW[[#This Row],[Total PoP ]]&gt;100%,100%,WWWW[[#This Row],[HRP3]]/WWWW[[#This Row],[Total PoP ]])</f>
        <v>1</v>
      </c>
      <c r="BK393" s="558">
        <f>1-WWWW[[#This Row],[Hygiene Coverage%]]</f>
        <v>0</v>
      </c>
      <c r="BL393" s="556">
        <f>WWWW[[#This Row],['# people reached by regular dedicated hygiene promotion]]/WWWW[[#This Row],[Total PoP ]]</f>
        <v>1</v>
      </c>
      <c r="BM39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3" s="557">
        <f>WWWW[[#This Row],['#_of_affected_women_and_girls_receiving_a_sufficient_quantity_of_sanitary_pads]]</f>
        <v>0</v>
      </c>
      <c r="BO393" s="611">
        <f>IF(WWWW[[#This Row],['# People with access to soap]]&gt;WWWW[[#This Row],['# People with access to Sanity Pads]],WWWW[[#This Row],['# People with access to soap]],WWWW[[#This Row],['# People with access to Sanity Pads]])</f>
        <v>0</v>
      </c>
      <c r="BP393" s="565" t="str">
        <f>IF(OR(WWWW[[#This Row],['#of students in school]]="",WWWW[[#This Row],['#of students in school]]=0),"No","Yes")</f>
        <v>Yes</v>
      </c>
      <c r="BQ393" s="559" t="str">
        <f>VLOOKUP(WWWW[[#This Row],[Village  Name]],SiteDB6[[Site Name]:[Location Type 1]],9,FALSE)</f>
        <v>Village</v>
      </c>
      <c r="BR393" s="559" t="str">
        <f>VLOOKUP(WWWW[[#This Row],[Village  Name]],SiteDB6[[Site Name]:[Type of Accommodation]],10,FALSE)</f>
        <v>Village</v>
      </c>
      <c r="BS393" s="559" t="str">
        <f>VLOOKUP(WWWW[[#This Row],[Village  Name]],SiteDB6[[Site Name]:[Ethnic or GCA/NGCA]],11,FALSE)</f>
        <v>Rakhine</v>
      </c>
      <c r="BT393" s="559">
        <f>VLOOKUP(WWWW[[#This Row],[Village  Name]],SiteDB6[[Site Name]:[Lat]],12,FALSE)</f>
        <v>20.286720280000001</v>
      </c>
      <c r="BU393" s="559">
        <f>VLOOKUP(WWWW[[#This Row],[Village  Name]],SiteDB6[[Site Name]:[Long]],13,FALSE)</f>
        <v>92.882843019999996</v>
      </c>
      <c r="BV393" s="559">
        <f>VLOOKUP(WWWW[[#This Row],[Village  Name]],SiteDB6[[Site Name]:[Pcode]],3,FALSE)</f>
        <v>196172</v>
      </c>
      <c r="BW393" s="559" t="str">
        <f t="shared" si="14"/>
        <v>Covered</v>
      </c>
      <c r="BX393" s="587"/>
    </row>
    <row r="394" spans="1:76">
      <c r="A394" s="612" t="s">
        <v>2381</v>
      </c>
      <c r="B394" s="612" t="s">
        <v>233</v>
      </c>
      <c r="C394" s="457" t="s">
        <v>233</v>
      </c>
      <c r="D394" s="457" t="s">
        <v>3011</v>
      </c>
      <c r="E394" s="457" t="s">
        <v>2687</v>
      </c>
      <c r="F394" s="457" t="s">
        <v>297</v>
      </c>
      <c r="G394" s="551" t="str">
        <f>VLOOKUP(WWWW[[#This Row],[Village  Name]],SiteDB6[[Site Name]:[Location Type]],8,FALSE)</f>
        <v>Village</v>
      </c>
      <c r="H394" s="457" t="s">
        <v>3016</v>
      </c>
      <c r="I394" s="611"/>
      <c r="J394" s="611">
        <v>134</v>
      </c>
      <c r="K394" s="461">
        <v>42856</v>
      </c>
      <c r="L394" s="55">
        <v>43646</v>
      </c>
      <c r="M394" s="611">
        <v>134</v>
      </c>
      <c r="N394" s="611"/>
      <c r="O394" s="611"/>
      <c r="P394" s="611">
        <v>1</v>
      </c>
      <c r="Q394" s="611"/>
      <c r="R394" s="611"/>
      <c r="S394" s="611">
        <v>2</v>
      </c>
      <c r="T394" s="643"/>
      <c r="U394" s="611"/>
      <c r="V394" s="611" t="s">
        <v>41</v>
      </c>
      <c r="W394" s="611">
        <v>3</v>
      </c>
      <c r="X394" s="611"/>
      <c r="Y394" s="611"/>
      <c r="Z394" s="611"/>
      <c r="AA394" s="611"/>
      <c r="AB394" s="643"/>
      <c r="AC394" s="611"/>
      <c r="AD394" s="611"/>
      <c r="AE394" s="611"/>
      <c r="AF394" s="611"/>
      <c r="AG394" s="611">
        <v>82</v>
      </c>
      <c r="AH394" s="611">
        <v>52</v>
      </c>
      <c r="AI394" s="611"/>
      <c r="AJ394" s="611">
        <v>1</v>
      </c>
      <c r="AK394" s="611"/>
      <c r="AL394" s="611"/>
      <c r="AM394" s="643"/>
      <c r="AN394" s="611"/>
      <c r="AO394" s="611"/>
      <c r="AP39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94" s="565">
        <f>WWWW[[#This Row],[%Equitable and continuous access to sufficient quantity of safe drinking water]]*WWWW[[#This Row],[Total PoP ]]</f>
        <v>134</v>
      </c>
      <c r="AR39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4" s="565">
        <f>WWWW[[#This Row],[% Access to unimproved water points]]*WWWW[[#This Row],[Total PoP ]]</f>
        <v>0</v>
      </c>
      <c r="AT39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9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134</v>
      </c>
      <c r="AV394" s="565">
        <f>WWWW[[#This Row],[HRP1]]/250</f>
        <v>0.53600000000000003</v>
      </c>
      <c r="AW394" s="555">
        <f>1-WWWW[[#This Row],[% Equitable and continuous access to sufficient quantity of domestic water]]</f>
        <v>0</v>
      </c>
      <c r="AX394" s="565">
        <f>WWWW[[#This Row],[%equitable and continuous access to sufficient quantity of safe drinking and domestic water''s GAP]]*WWWW[[#This Row],[Total PoP ]]</f>
        <v>0</v>
      </c>
      <c r="AY394" s="557">
        <f>IF(WWWW[[#This Row],[Total required water points]]-WWWW[[#This Row],['#Water points coverage]]&lt;0,0,WWWW[[#This Row],[Total required water points]]-WWWW[[#This Row],['#Water points coverage]])</f>
        <v>0.46399999999999997</v>
      </c>
      <c r="AZ394" s="557">
        <f>ROUND(IF(WWWW[[#This Row],[Total PoP ]]&lt;250,1,WWWW[[#This Row],[Total PoP ]]/250),0)</f>
        <v>1</v>
      </c>
      <c r="BA394"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394" s="565">
        <f>WWWW[[#This Row],[% people access to functioning Latrine]]*WWWW[[#This Row],[Total PoP ]]</f>
        <v>134</v>
      </c>
      <c r="BC394" s="557">
        <f>WWWW[[#This Row],['#_of_Functioning_latrines_in_school]]*50</f>
        <v>150</v>
      </c>
      <c r="BD394" s="557">
        <f>ROUND((WWWW[[#This Row],[Total PoP ]]/6),0)</f>
        <v>22</v>
      </c>
      <c r="BE394" s="557">
        <f>IF(WWWW[[#This Row],[Total required Latrines]]-(WWWW[[#This Row],['#_of_sanitary_fly-proof_HH_latrines]])&lt;0,0,WWWW[[#This Row],[Total required Latrines]]-(WWWW[[#This Row],['#_of_sanitary_fly-proof_HH_latrines]]))</f>
        <v>22</v>
      </c>
      <c r="BF394" s="558">
        <f>1-WWWW[[#This Row],[% people access to functioning Latrine]]</f>
        <v>0</v>
      </c>
      <c r="BG39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134</v>
      </c>
      <c r="BH394" s="565">
        <f>IF(WWWW[[#This Row],['#_of_functional_handwashing_facilities_at_HH_level]]*6&gt;WWWW[[#This Row],[Total PoP ]],WWWW[[#This Row],[Total PoP ]],WWWW[[#This Row],['#_of_functional_handwashing_facilities_at_HH_level]]*6)</f>
        <v>0</v>
      </c>
      <c r="BI394" s="557">
        <f>IF(WWWW[[#This Row],['# people reached by regular dedicated hygiene promotion]]&gt;WWWW[[#This Row],['# People received regular supply of hygiene items]],WWWW[[#This Row],['# people reached by regular dedicated hygiene promotion]],WWWW[[#This Row],['# People received regular supply of hygiene items]])</f>
        <v>134</v>
      </c>
      <c r="BJ394" s="555">
        <f>IF(WWWW[[#This Row],[HRP3]]/WWWW[[#This Row],[Total PoP ]]&gt;100%,100%,WWWW[[#This Row],[HRP3]]/WWWW[[#This Row],[Total PoP ]])</f>
        <v>1</v>
      </c>
      <c r="BK394" s="558">
        <f>1-WWWW[[#This Row],[Hygiene Coverage%]]</f>
        <v>0</v>
      </c>
      <c r="BL394" s="556">
        <f>WWWW[[#This Row],['# people reached by regular dedicated hygiene promotion]]/WWWW[[#This Row],[Total PoP ]]</f>
        <v>1</v>
      </c>
      <c r="BM39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4" s="557">
        <f>WWWW[[#This Row],['#_of_affected_women_and_girls_receiving_a_sufficient_quantity_of_sanitary_pads]]</f>
        <v>0</v>
      </c>
      <c r="BO394" s="611">
        <f>IF(WWWW[[#This Row],['# People with access to soap]]&gt;WWWW[[#This Row],['# People with access to Sanity Pads]],WWWW[[#This Row],['# People with access to soap]],WWWW[[#This Row],['# People with access to Sanity Pads]])</f>
        <v>0</v>
      </c>
      <c r="BP394" s="565" t="str">
        <f>IF(OR(WWWW[[#This Row],['#of students in school]]="",WWWW[[#This Row],['#of students in school]]=0),"No","Yes")</f>
        <v>Yes</v>
      </c>
      <c r="BQ394" s="559" t="str">
        <f>VLOOKUP(WWWW[[#This Row],[Village  Name]],SiteDB6[[Site Name]:[Location Type 1]],9,FALSE)</f>
        <v>Village</v>
      </c>
      <c r="BR394" s="559" t="str">
        <f>VLOOKUP(WWWW[[#This Row],[Village  Name]],SiteDB6[[Site Name]:[Type of Accommodation]],10,FALSE)</f>
        <v>Village</v>
      </c>
      <c r="BS394" s="559">
        <f>VLOOKUP(WWWW[[#This Row],[Village  Name]],SiteDB6[[Site Name]:[Ethnic or GCA/NGCA]],11,FALSE)</f>
        <v>0</v>
      </c>
      <c r="BT394" s="559">
        <f>VLOOKUP(WWWW[[#This Row],[Village  Name]],SiteDB6[[Site Name]:[Lat]],12,FALSE)</f>
        <v>0</v>
      </c>
      <c r="BU394" s="559">
        <f>VLOOKUP(WWWW[[#This Row],[Village  Name]],SiteDB6[[Site Name]:[Long]],13,FALSE)</f>
        <v>0</v>
      </c>
      <c r="BV394" s="559" t="str">
        <f>VLOOKUP(WWWW[[#This Row],[Village  Name]],SiteDB6[[Site Name]:[Pcode]],3,FALSE)</f>
        <v>MMR012001701532</v>
      </c>
      <c r="BW394" s="559" t="str">
        <f t="shared" si="14"/>
        <v>Covered</v>
      </c>
      <c r="BX394" s="587"/>
    </row>
    <row r="395" spans="1:76">
      <c r="A395" s="612" t="s">
        <v>2381</v>
      </c>
      <c r="B395" s="612" t="s">
        <v>233</v>
      </c>
      <c r="C395" s="457" t="s">
        <v>233</v>
      </c>
      <c r="D395" s="457" t="s">
        <v>3011</v>
      </c>
      <c r="E395" s="457" t="s">
        <v>2687</v>
      </c>
      <c r="F395" s="457" t="s">
        <v>473</v>
      </c>
      <c r="G395" s="551" t="str">
        <f>VLOOKUP(WWWW[[#This Row],[Village  Name]],SiteDB6[[Site Name]:[Location Type]],8,FALSE)</f>
        <v>Village</v>
      </c>
      <c r="H395" s="457" t="s">
        <v>3017</v>
      </c>
      <c r="I395" s="611"/>
      <c r="J395" s="611">
        <v>151</v>
      </c>
      <c r="K395" s="461">
        <v>42856</v>
      </c>
      <c r="L395" s="55">
        <v>43646</v>
      </c>
      <c r="M395" s="611">
        <v>151</v>
      </c>
      <c r="N395" s="611"/>
      <c r="O395" s="611"/>
      <c r="P395" s="611"/>
      <c r="Q395" s="611"/>
      <c r="R395" s="611"/>
      <c r="S395" s="611">
        <v>1</v>
      </c>
      <c r="T395" s="643"/>
      <c r="U395" s="611"/>
      <c r="V395" s="611" t="s">
        <v>41</v>
      </c>
      <c r="W395" s="611">
        <v>2</v>
      </c>
      <c r="X395" s="611"/>
      <c r="Y395" s="611"/>
      <c r="Z395" s="611"/>
      <c r="AA395" s="611"/>
      <c r="AB395" s="643"/>
      <c r="AC395" s="611"/>
      <c r="AD395" s="611"/>
      <c r="AE395" s="611"/>
      <c r="AF395" s="611"/>
      <c r="AG395" s="611">
        <v>85</v>
      </c>
      <c r="AH395" s="611">
        <v>66</v>
      </c>
      <c r="AI395" s="611"/>
      <c r="AJ395" s="611">
        <v>1</v>
      </c>
      <c r="AK395" s="611"/>
      <c r="AL395" s="611"/>
      <c r="AM395" s="643"/>
      <c r="AN395" s="611"/>
      <c r="AO395" s="611"/>
      <c r="AP39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95" s="565">
        <f>WWWW[[#This Row],[%Equitable and continuous access to sufficient quantity of safe drinking water]]*WWWW[[#This Row],[Total PoP ]]</f>
        <v>151</v>
      </c>
      <c r="AR39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5" s="565">
        <f>WWWW[[#This Row],[% Access to unimproved water points]]*WWWW[[#This Row],[Total PoP ]]</f>
        <v>0</v>
      </c>
      <c r="AT39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9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151</v>
      </c>
      <c r="AV395" s="565">
        <f>WWWW[[#This Row],[HRP1]]/250</f>
        <v>0.60399999999999998</v>
      </c>
      <c r="AW395" s="555">
        <f>1-WWWW[[#This Row],[% Equitable and continuous access to sufficient quantity of domestic water]]</f>
        <v>0</v>
      </c>
      <c r="AX395" s="565">
        <f>WWWW[[#This Row],[%equitable and continuous access to sufficient quantity of safe drinking and domestic water''s GAP]]*WWWW[[#This Row],[Total PoP ]]</f>
        <v>0</v>
      </c>
      <c r="AY395" s="557">
        <f>IF(WWWW[[#This Row],[Total required water points]]-WWWW[[#This Row],['#Water points coverage]]&lt;0,0,WWWW[[#This Row],[Total required water points]]-WWWW[[#This Row],['#Water points coverage]])</f>
        <v>0.39600000000000002</v>
      </c>
      <c r="AZ395" s="557">
        <f>ROUND(IF(WWWW[[#This Row],[Total PoP ]]&lt;250,1,WWWW[[#This Row],[Total PoP ]]/250),0)</f>
        <v>1</v>
      </c>
      <c r="BA395"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0.66225165562913912</v>
      </c>
      <c r="BB395" s="565">
        <f>WWWW[[#This Row],[% people access to functioning Latrine]]*WWWW[[#This Row],[Total PoP ]]</f>
        <v>100.00000000000001</v>
      </c>
      <c r="BC395" s="557">
        <f>WWWW[[#This Row],['#_of_Functioning_latrines_in_school]]*50</f>
        <v>100</v>
      </c>
      <c r="BD395" s="557">
        <f>ROUND((WWWW[[#This Row],[Total PoP ]]/6),0)</f>
        <v>25</v>
      </c>
      <c r="BE395" s="557">
        <f>IF(WWWW[[#This Row],[Total required Latrines]]-(WWWW[[#This Row],['#_of_sanitary_fly-proof_HH_latrines]])&lt;0,0,WWWW[[#This Row],[Total required Latrines]]-(WWWW[[#This Row],['#_of_sanitary_fly-proof_HH_latrines]]))</f>
        <v>25</v>
      </c>
      <c r="BF395" s="558">
        <f>1-WWWW[[#This Row],[% people access to functioning Latrine]]</f>
        <v>0.33774834437086088</v>
      </c>
      <c r="BG39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151</v>
      </c>
      <c r="BH395" s="565">
        <f>IF(WWWW[[#This Row],['#_of_functional_handwashing_facilities_at_HH_level]]*6&gt;WWWW[[#This Row],[Total PoP ]],WWWW[[#This Row],[Total PoP ]],WWWW[[#This Row],['#_of_functional_handwashing_facilities_at_HH_level]]*6)</f>
        <v>0</v>
      </c>
      <c r="BI395" s="557">
        <f>IF(WWWW[[#This Row],['# people reached by regular dedicated hygiene promotion]]&gt;WWWW[[#This Row],['# People received regular supply of hygiene items]],WWWW[[#This Row],['# people reached by regular dedicated hygiene promotion]],WWWW[[#This Row],['# People received regular supply of hygiene items]])</f>
        <v>151</v>
      </c>
      <c r="BJ395" s="555">
        <f>IF(WWWW[[#This Row],[HRP3]]/WWWW[[#This Row],[Total PoP ]]&gt;100%,100%,WWWW[[#This Row],[HRP3]]/WWWW[[#This Row],[Total PoP ]])</f>
        <v>1</v>
      </c>
      <c r="BK395" s="558">
        <f>1-WWWW[[#This Row],[Hygiene Coverage%]]</f>
        <v>0</v>
      </c>
      <c r="BL395" s="556">
        <f>WWWW[[#This Row],['# people reached by regular dedicated hygiene promotion]]/WWWW[[#This Row],[Total PoP ]]</f>
        <v>1</v>
      </c>
      <c r="BM39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5" s="557">
        <f>WWWW[[#This Row],['#_of_affected_women_and_girls_receiving_a_sufficient_quantity_of_sanitary_pads]]</f>
        <v>0</v>
      </c>
      <c r="BO395" s="611">
        <f>IF(WWWW[[#This Row],['# People with access to soap]]&gt;WWWW[[#This Row],['# People with access to Sanity Pads]],WWWW[[#This Row],['# People with access to soap]],WWWW[[#This Row],['# People with access to Sanity Pads]])</f>
        <v>0</v>
      </c>
      <c r="BP395" s="565" t="str">
        <f>IF(OR(WWWW[[#This Row],['#of students in school]]="",WWWW[[#This Row],['#of students in school]]=0),"No","Yes")</f>
        <v>Yes</v>
      </c>
      <c r="BQ395" s="559" t="str">
        <f>VLOOKUP(WWWW[[#This Row],[Village  Name]],SiteDB6[[Site Name]:[Location Type 1]],9,FALSE)</f>
        <v>Village</v>
      </c>
      <c r="BR395" s="559" t="str">
        <f>VLOOKUP(WWWW[[#This Row],[Village  Name]],SiteDB6[[Site Name]:[Type of Accommodation]],10,FALSE)</f>
        <v>Village</v>
      </c>
      <c r="BS395" s="559">
        <f>VLOOKUP(WWWW[[#This Row],[Village  Name]],SiteDB6[[Site Name]:[Ethnic or GCA/NGCA]],11,FALSE)</f>
        <v>0</v>
      </c>
      <c r="BT395" s="559">
        <f>VLOOKUP(WWWW[[#This Row],[Village  Name]],SiteDB6[[Site Name]:[Lat]],12,FALSE)</f>
        <v>20.4424648284912</v>
      </c>
      <c r="BU395" s="559">
        <f>VLOOKUP(WWWW[[#This Row],[Village  Name]],SiteDB6[[Site Name]:[Long]],13,FALSE)</f>
        <v>93.2396240234375</v>
      </c>
      <c r="BV395" s="559">
        <f>VLOOKUP(WWWW[[#This Row],[Village  Name]],SiteDB6[[Site Name]:[Pcode]],3,FALSE)</f>
        <v>196533</v>
      </c>
      <c r="BW395" s="559" t="str">
        <f t="shared" si="14"/>
        <v>Covered</v>
      </c>
      <c r="BX395" s="587"/>
    </row>
    <row r="396" spans="1:76">
      <c r="A396" s="612" t="s">
        <v>2381</v>
      </c>
      <c r="B396" s="612" t="s">
        <v>233</v>
      </c>
      <c r="C396" s="457" t="s">
        <v>233</v>
      </c>
      <c r="D396" s="457" t="s">
        <v>3011</v>
      </c>
      <c r="E396" s="457" t="s">
        <v>2687</v>
      </c>
      <c r="F396" s="457" t="s">
        <v>473</v>
      </c>
      <c r="G396" s="551" t="str">
        <f>VLOOKUP(WWWW[[#This Row],[Village  Name]],SiteDB6[[Site Name]:[Location Type]],8,FALSE)</f>
        <v>Village</v>
      </c>
      <c r="H396" s="457" t="s">
        <v>3028</v>
      </c>
      <c r="I396" s="611"/>
      <c r="J396" s="611">
        <v>129</v>
      </c>
      <c r="K396" s="461">
        <v>42856</v>
      </c>
      <c r="L396" s="55">
        <v>43646</v>
      </c>
      <c r="M396" s="611">
        <v>129</v>
      </c>
      <c r="N396" s="611"/>
      <c r="O396" s="611"/>
      <c r="P396" s="611"/>
      <c r="Q396" s="611"/>
      <c r="R396" s="611"/>
      <c r="S396" s="611">
        <v>1</v>
      </c>
      <c r="T396" s="643"/>
      <c r="U396" s="611"/>
      <c r="V396" s="611" t="s">
        <v>128</v>
      </c>
      <c r="W396" s="611">
        <v>0</v>
      </c>
      <c r="X396" s="611"/>
      <c r="Y396" s="611"/>
      <c r="Z396" s="611"/>
      <c r="AA396" s="611"/>
      <c r="AB396" s="643"/>
      <c r="AC396" s="611"/>
      <c r="AD396" s="611"/>
      <c r="AE396" s="611"/>
      <c r="AF396" s="611"/>
      <c r="AG396" s="611">
        <v>64</v>
      </c>
      <c r="AH396" s="611">
        <v>65</v>
      </c>
      <c r="AI396" s="611"/>
      <c r="AJ396" s="611">
        <v>1</v>
      </c>
      <c r="AK396" s="611"/>
      <c r="AL396" s="611"/>
      <c r="AM396" s="643"/>
      <c r="AN396" s="611"/>
      <c r="AO396" s="611"/>
      <c r="AP39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96" s="565">
        <f>WWWW[[#This Row],[%Equitable and continuous access to sufficient quantity of safe drinking water]]*WWWW[[#This Row],[Total PoP ]]</f>
        <v>129</v>
      </c>
      <c r="AR39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6" s="565">
        <f>WWWW[[#This Row],[% Access to unimproved water points]]*WWWW[[#This Row],[Total PoP ]]</f>
        <v>0</v>
      </c>
      <c r="AT39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9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v>
      </c>
      <c r="AV396" s="565">
        <f>WWWW[[#This Row],[HRP1]]/250</f>
        <v>0.51600000000000001</v>
      </c>
      <c r="AW396" s="555">
        <f>1-WWWW[[#This Row],[% Equitable and continuous access to sufficient quantity of domestic water]]</f>
        <v>0</v>
      </c>
      <c r="AX396" s="565">
        <f>WWWW[[#This Row],[%equitable and continuous access to sufficient quantity of safe drinking and domestic water''s GAP]]*WWWW[[#This Row],[Total PoP ]]</f>
        <v>0</v>
      </c>
      <c r="AY396" s="557">
        <f>IF(WWWW[[#This Row],[Total required water points]]-WWWW[[#This Row],['#Water points coverage]]&lt;0,0,WWWW[[#This Row],[Total required water points]]-WWWW[[#This Row],['#Water points coverage]])</f>
        <v>0.48399999999999999</v>
      </c>
      <c r="AZ396" s="557">
        <f>ROUND(IF(WWWW[[#This Row],[Total PoP ]]&lt;250,1,WWWW[[#This Row],[Total PoP ]]/250),0)</f>
        <v>1</v>
      </c>
      <c r="BA39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396" s="565">
        <f>WWWW[[#This Row],[% people access to functioning Latrine]]*WWWW[[#This Row],[Total PoP ]]</f>
        <v>0</v>
      </c>
      <c r="BC396" s="557">
        <f>WWWW[[#This Row],['#_of_Functioning_latrines_in_school]]*50</f>
        <v>0</v>
      </c>
      <c r="BD396" s="557">
        <f>ROUND((WWWW[[#This Row],[Total PoP ]]/6),0)</f>
        <v>22</v>
      </c>
      <c r="BE396" s="557">
        <f>IF(WWWW[[#This Row],[Total required Latrines]]-(WWWW[[#This Row],['#_of_sanitary_fly-proof_HH_latrines]])&lt;0,0,WWWW[[#This Row],[Total required Latrines]]-(WWWW[[#This Row],['#_of_sanitary_fly-proof_HH_latrines]]))</f>
        <v>22</v>
      </c>
      <c r="BF396" s="558">
        <f>1-WWWW[[#This Row],[% people access to functioning Latrine]]</f>
        <v>1</v>
      </c>
      <c r="BG39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129</v>
      </c>
      <c r="BH396" s="565">
        <f>IF(WWWW[[#This Row],['#_of_functional_handwashing_facilities_at_HH_level]]*6&gt;WWWW[[#This Row],[Total PoP ]],WWWW[[#This Row],[Total PoP ]],WWWW[[#This Row],['#_of_functional_handwashing_facilities_at_HH_level]]*6)</f>
        <v>0</v>
      </c>
      <c r="BI396" s="557">
        <f>IF(WWWW[[#This Row],['# people reached by regular dedicated hygiene promotion]]&gt;WWWW[[#This Row],['# People received regular supply of hygiene items]],WWWW[[#This Row],['# people reached by regular dedicated hygiene promotion]],WWWW[[#This Row],['# People received regular supply of hygiene items]])</f>
        <v>129</v>
      </c>
      <c r="BJ396" s="555">
        <f>IF(WWWW[[#This Row],[HRP3]]/WWWW[[#This Row],[Total PoP ]]&gt;100%,100%,WWWW[[#This Row],[HRP3]]/WWWW[[#This Row],[Total PoP ]])</f>
        <v>1</v>
      </c>
      <c r="BK396" s="558">
        <f>1-WWWW[[#This Row],[Hygiene Coverage%]]</f>
        <v>0</v>
      </c>
      <c r="BL396" s="556">
        <f>WWWW[[#This Row],['# people reached by regular dedicated hygiene promotion]]/WWWW[[#This Row],[Total PoP ]]</f>
        <v>1</v>
      </c>
      <c r="BM39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6" s="557">
        <f>WWWW[[#This Row],['#_of_affected_women_and_girls_receiving_a_sufficient_quantity_of_sanitary_pads]]</f>
        <v>0</v>
      </c>
      <c r="BO396" s="611">
        <f>IF(WWWW[[#This Row],['# People with access to soap]]&gt;WWWW[[#This Row],['# People with access to Sanity Pads]],WWWW[[#This Row],['# People with access to soap]],WWWW[[#This Row],['# People with access to Sanity Pads]])</f>
        <v>0</v>
      </c>
      <c r="BP396" s="565" t="str">
        <f>IF(OR(WWWW[[#This Row],['#of students in school]]="",WWWW[[#This Row],['#of students in school]]=0),"No","Yes")</f>
        <v>Yes</v>
      </c>
      <c r="BQ396" s="559" t="str">
        <f>VLOOKUP(WWWW[[#This Row],[Village  Name]],SiteDB6[[Site Name]:[Location Type 1]],9,FALSE)</f>
        <v>Village</v>
      </c>
      <c r="BR396" s="559" t="str">
        <f>VLOOKUP(WWWW[[#This Row],[Village  Name]],SiteDB6[[Site Name]:[Type of Accommodation]],10,FALSE)</f>
        <v>Village</v>
      </c>
      <c r="BS396" s="559">
        <f>VLOOKUP(WWWW[[#This Row],[Village  Name]],SiteDB6[[Site Name]:[Ethnic or GCA/NGCA]],11,FALSE)</f>
        <v>0</v>
      </c>
      <c r="BT396" s="559">
        <f>VLOOKUP(WWWW[[#This Row],[Village  Name]],SiteDB6[[Site Name]:[Lat]],12,FALSE)</f>
        <v>20.5348205566406</v>
      </c>
      <c r="BU396" s="559">
        <f>VLOOKUP(WWWW[[#This Row],[Village  Name]],SiteDB6[[Site Name]:[Long]],13,FALSE)</f>
        <v>93.253181457519503</v>
      </c>
      <c r="BV396" s="559">
        <f>VLOOKUP(WWWW[[#This Row],[Village  Name]],SiteDB6[[Site Name]:[Pcode]],3,FALSE)</f>
        <v>196483</v>
      </c>
      <c r="BW396" s="559" t="str">
        <f t="shared" si="14"/>
        <v>Covered</v>
      </c>
      <c r="BX396" s="587"/>
    </row>
    <row r="397" spans="1:76">
      <c r="A397" s="612" t="s">
        <v>2381</v>
      </c>
      <c r="B397" s="612" t="s">
        <v>233</v>
      </c>
      <c r="C397" s="457" t="s">
        <v>233</v>
      </c>
      <c r="D397" s="457" t="s">
        <v>3011</v>
      </c>
      <c r="E397" s="457" t="s">
        <v>2687</v>
      </c>
      <c r="F397" s="457" t="s">
        <v>473</v>
      </c>
      <c r="G397" s="551" t="str">
        <f>VLOOKUP(WWWW[[#This Row],[Village  Name]],SiteDB6[[Site Name]:[Location Type]],8,FALSE)</f>
        <v>Village</v>
      </c>
      <c r="H397" s="457" t="s">
        <v>3029</v>
      </c>
      <c r="I397" s="611"/>
      <c r="J397" s="611">
        <v>203</v>
      </c>
      <c r="K397" s="461">
        <v>42856</v>
      </c>
      <c r="L397" s="55">
        <v>43646</v>
      </c>
      <c r="M397" s="611">
        <v>203</v>
      </c>
      <c r="N397" s="611"/>
      <c r="O397" s="611"/>
      <c r="P397" s="611"/>
      <c r="Q397" s="611"/>
      <c r="R397" s="611"/>
      <c r="S397" s="611">
        <v>1</v>
      </c>
      <c r="T397" s="643"/>
      <c r="U397" s="611"/>
      <c r="V397" s="611" t="s">
        <v>41</v>
      </c>
      <c r="W397" s="611">
        <v>2</v>
      </c>
      <c r="X397" s="611"/>
      <c r="Y397" s="611"/>
      <c r="Z397" s="611"/>
      <c r="AA397" s="611"/>
      <c r="AB397" s="643"/>
      <c r="AC397" s="611"/>
      <c r="AD397" s="611"/>
      <c r="AE397" s="611"/>
      <c r="AF397" s="611"/>
      <c r="AG397" s="611">
        <v>109</v>
      </c>
      <c r="AH397" s="611">
        <v>94</v>
      </c>
      <c r="AI397" s="611"/>
      <c r="AJ397" s="611">
        <v>1</v>
      </c>
      <c r="AK397" s="611"/>
      <c r="AL397" s="611"/>
      <c r="AM397" s="643"/>
      <c r="AN397" s="611"/>
      <c r="AO397" s="611"/>
      <c r="AP39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97" s="565">
        <f>WWWW[[#This Row],[%Equitable and continuous access to sufficient quantity of safe drinking water]]*WWWW[[#This Row],[Total PoP ]]</f>
        <v>203</v>
      </c>
      <c r="AR39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7" s="565">
        <f>WWWW[[#This Row],[% Access to unimproved water points]]*WWWW[[#This Row],[Total PoP ]]</f>
        <v>0</v>
      </c>
      <c r="AT39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9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AV397" s="565">
        <f>WWWW[[#This Row],[HRP1]]/250</f>
        <v>0.81200000000000006</v>
      </c>
      <c r="AW397" s="555">
        <f>1-WWWW[[#This Row],[% Equitable and continuous access to sufficient quantity of domestic water]]</f>
        <v>0</v>
      </c>
      <c r="AX397" s="565">
        <f>WWWW[[#This Row],[%equitable and continuous access to sufficient quantity of safe drinking and domestic water''s GAP]]*WWWW[[#This Row],[Total PoP ]]</f>
        <v>0</v>
      </c>
      <c r="AY397" s="557">
        <f>IF(WWWW[[#This Row],[Total required water points]]-WWWW[[#This Row],['#Water points coverage]]&lt;0,0,WWWW[[#This Row],[Total required water points]]-WWWW[[#This Row],['#Water points coverage]])</f>
        <v>0.18799999999999994</v>
      </c>
      <c r="AZ397" s="557">
        <f>ROUND(IF(WWWW[[#This Row],[Total PoP ]]&lt;250,1,WWWW[[#This Row],[Total PoP ]]/250),0)</f>
        <v>1</v>
      </c>
      <c r="BA397"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0.49261083743842365</v>
      </c>
      <c r="BB397" s="565">
        <f>WWWW[[#This Row],[% people access to functioning Latrine]]*WWWW[[#This Row],[Total PoP ]]</f>
        <v>100</v>
      </c>
      <c r="BC397" s="557">
        <f>WWWW[[#This Row],['#_of_Functioning_latrines_in_school]]*50</f>
        <v>100</v>
      </c>
      <c r="BD397" s="557">
        <f>ROUND((WWWW[[#This Row],[Total PoP ]]/6),0)</f>
        <v>34</v>
      </c>
      <c r="BE397" s="557">
        <f>IF(WWWW[[#This Row],[Total required Latrines]]-(WWWW[[#This Row],['#_of_sanitary_fly-proof_HH_latrines]])&lt;0,0,WWWW[[#This Row],[Total required Latrines]]-(WWWW[[#This Row],['#_of_sanitary_fly-proof_HH_latrines]]))</f>
        <v>34</v>
      </c>
      <c r="BF397" s="558">
        <f>1-WWWW[[#This Row],[% people access to functioning Latrine]]</f>
        <v>0.50738916256157629</v>
      </c>
      <c r="BG39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203</v>
      </c>
      <c r="BH397" s="565">
        <f>IF(WWWW[[#This Row],['#_of_functional_handwashing_facilities_at_HH_level]]*6&gt;WWWW[[#This Row],[Total PoP ]],WWWW[[#This Row],[Total PoP ]],WWWW[[#This Row],['#_of_functional_handwashing_facilities_at_HH_level]]*6)</f>
        <v>0</v>
      </c>
      <c r="BI397" s="557">
        <f>IF(WWWW[[#This Row],['# people reached by regular dedicated hygiene promotion]]&gt;WWWW[[#This Row],['# People received regular supply of hygiene items]],WWWW[[#This Row],['# people reached by regular dedicated hygiene promotion]],WWWW[[#This Row],['# People received regular supply of hygiene items]])</f>
        <v>203</v>
      </c>
      <c r="BJ397" s="555">
        <f>IF(WWWW[[#This Row],[HRP3]]/WWWW[[#This Row],[Total PoP ]]&gt;100%,100%,WWWW[[#This Row],[HRP3]]/WWWW[[#This Row],[Total PoP ]])</f>
        <v>1</v>
      </c>
      <c r="BK397" s="558">
        <f>1-WWWW[[#This Row],[Hygiene Coverage%]]</f>
        <v>0</v>
      </c>
      <c r="BL397" s="556">
        <f>WWWW[[#This Row],['# people reached by regular dedicated hygiene promotion]]/WWWW[[#This Row],[Total PoP ]]</f>
        <v>1</v>
      </c>
      <c r="BM39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7" s="557">
        <f>WWWW[[#This Row],['#_of_affected_women_and_girls_receiving_a_sufficient_quantity_of_sanitary_pads]]</f>
        <v>0</v>
      </c>
      <c r="BO397" s="611">
        <f>IF(WWWW[[#This Row],['# People with access to soap]]&gt;WWWW[[#This Row],['# People with access to Sanity Pads]],WWWW[[#This Row],['# People with access to soap]],WWWW[[#This Row],['# People with access to Sanity Pads]])</f>
        <v>0</v>
      </c>
      <c r="BP397" s="565" t="str">
        <f>IF(OR(WWWW[[#This Row],['#of students in school]]="",WWWW[[#This Row],['#of students in school]]=0),"No","Yes")</f>
        <v>Yes</v>
      </c>
      <c r="BQ397" s="559" t="str">
        <f>VLOOKUP(WWWW[[#This Row],[Village  Name]],SiteDB6[[Site Name]:[Location Type 1]],9,FALSE)</f>
        <v>Village</v>
      </c>
      <c r="BR397" s="559" t="str">
        <f>VLOOKUP(WWWW[[#This Row],[Village  Name]],SiteDB6[[Site Name]:[Type of Accommodation]],10,FALSE)</f>
        <v>Village</v>
      </c>
      <c r="BS397" s="559">
        <f>VLOOKUP(WWWW[[#This Row],[Village  Name]],SiteDB6[[Site Name]:[Ethnic or GCA/NGCA]],11,FALSE)</f>
        <v>0</v>
      </c>
      <c r="BT397" s="559">
        <f>VLOOKUP(WWWW[[#This Row],[Village  Name]],SiteDB6[[Site Name]:[Lat]],12,FALSE)</f>
        <v>20.840990066528299</v>
      </c>
      <c r="BU397" s="559">
        <f>VLOOKUP(WWWW[[#This Row],[Village  Name]],SiteDB6[[Site Name]:[Long]],13,FALSE)</f>
        <v>93.072242736816406</v>
      </c>
      <c r="BV397" s="559">
        <f>VLOOKUP(WWWW[[#This Row],[Village  Name]],SiteDB6[[Site Name]:[Pcode]],3,FALSE)</f>
        <v>196657</v>
      </c>
      <c r="BW397" s="559" t="str">
        <f t="shared" si="14"/>
        <v>Covered</v>
      </c>
      <c r="BX397" s="587"/>
    </row>
    <row r="398" spans="1:76">
      <c r="A398" s="612" t="s">
        <v>2381</v>
      </c>
      <c r="B398" s="612" t="s">
        <v>233</v>
      </c>
      <c r="C398" s="457" t="s">
        <v>233</v>
      </c>
      <c r="D398" s="457" t="s">
        <v>3011</v>
      </c>
      <c r="E398" s="457" t="s">
        <v>2687</v>
      </c>
      <c r="F398" s="457" t="s">
        <v>473</v>
      </c>
      <c r="G398" s="551" t="str">
        <f>VLOOKUP(WWWW[[#This Row],[Village  Name]],SiteDB6[[Site Name]:[Location Type]],8,FALSE)</f>
        <v>Village</v>
      </c>
      <c r="H398" s="457" t="s">
        <v>3030</v>
      </c>
      <c r="I398" s="611"/>
      <c r="J398" s="611">
        <v>350</v>
      </c>
      <c r="K398" s="461">
        <v>42856</v>
      </c>
      <c r="L398" s="55">
        <v>43646</v>
      </c>
      <c r="M398" s="611">
        <v>350</v>
      </c>
      <c r="N398" s="611"/>
      <c r="O398" s="611"/>
      <c r="P398" s="611"/>
      <c r="Q398" s="611"/>
      <c r="R398" s="611"/>
      <c r="S398" s="611">
        <v>1</v>
      </c>
      <c r="T398" s="643"/>
      <c r="U398" s="611"/>
      <c r="V398" s="611" t="s">
        <v>41</v>
      </c>
      <c r="W398" s="611">
        <v>3</v>
      </c>
      <c r="X398" s="611"/>
      <c r="Y398" s="611"/>
      <c r="Z398" s="611"/>
      <c r="AA398" s="611"/>
      <c r="AB398" s="643"/>
      <c r="AC398" s="611"/>
      <c r="AD398" s="611"/>
      <c r="AE398" s="611"/>
      <c r="AF398" s="611"/>
      <c r="AG398" s="611">
        <v>173</v>
      </c>
      <c r="AH398" s="611">
        <v>177</v>
      </c>
      <c r="AI398" s="611"/>
      <c r="AJ398" s="611">
        <v>1</v>
      </c>
      <c r="AK398" s="611"/>
      <c r="AL398" s="611"/>
      <c r="AM398" s="643"/>
      <c r="AN398" s="611"/>
      <c r="AO398" s="611"/>
      <c r="AP39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0.7142857142857143</v>
      </c>
      <c r="AQ398" s="565">
        <f>WWWW[[#This Row],[%Equitable and continuous access to sufficient quantity of safe drinking water]]*WWWW[[#This Row],[Total PoP ]]</f>
        <v>250</v>
      </c>
      <c r="AR39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8" s="565">
        <f>WWWW[[#This Row],[% Access to unimproved water points]]*WWWW[[#This Row],[Total PoP ]]</f>
        <v>0</v>
      </c>
      <c r="AT39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0.7142857142857143</v>
      </c>
      <c r="AU39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V398" s="565">
        <f>WWWW[[#This Row],[HRP1]]/250</f>
        <v>1</v>
      </c>
      <c r="AW398" s="555">
        <f>1-WWWW[[#This Row],[% Equitable and continuous access to sufficient quantity of domestic water]]</f>
        <v>0.2857142857142857</v>
      </c>
      <c r="AX398" s="565">
        <f>WWWW[[#This Row],[%equitable and continuous access to sufficient quantity of safe drinking and domestic water''s GAP]]*WWWW[[#This Row],[Total PoP ]]</f>
        <v>100</v>
      </c>
      <c r="AY398" s="557">
        <f>IF(WWWW[[#This Row],[Total required water points]]-WWWW[[#This Row],['#Water points coverage]]&lt;0,0,WWWW[[#This Row],[Total required water points]]-WWWW[[#This Row],['#Water points coverage]])</f>
        <v>0</v>
      </c>
      <c r="AZ398" s="557">
        <f>ROUND(IF(WWWW[[#This Row],[Total PoP ]]&lt;250,1,WWWW[[#This Row],[Total PoP ]]/250),0)</f>
        <v>1</v>
      </c>
      <c r="BA398"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0.42857142857142855</v>
      </c>
      <c r="BB398" s="565">
        <f>WWWW[[#This Row],[% people access to functioning Latrine]]*WWWW[[#This Row],[Total PoP ]]</f>
        <v>150</v>
      </c>
      <c r="BC398" s="557">
        <f>WWWW[[#This Row],['#_of_Functioning_latrines_in_school]]*50</f>
        <v>150</v>
      </c>
      <c r="BD398" s="557">
        <f>ROUND((WWWW[[#This Row],[Total PoP ]]/6),0)</f>
        <v>58</v>
      </c>
      <c r="BE398" s="557">
        <f>IF(WWWW[[#This Row],[Total required Latrines]]-(WWWW[[#This Row],['#_of_sanitary_fly-proof_HH_latrines]])&lt;0,0,WWWW[[#This Row],[Total required Latrines]]-(WWWW[[#This Row],['#_of_sanitary_fly-proof_HH_latrines]]))</f>
        <v>58</v>
      </c>
      <c r="BF398" s="558">
        <f>1-WWWW[[#This Row],[% people access to functioning Latrine]]</f>
        <v>0.5714285714285714</v>
      </c>
      <c r="BG39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350</v>
      </c>
      <c r="BH398" s="565">
        <f>IF(WWWW[[#This Row],['#_of_functional_handwashing_facilities_at_HH_level]]*6&gt;WWWW[[#This Row],[Total PoP ]],WWWW[[#This Row],[Total PoP ]],WWWW[[#This Row],['#_of_functional_handwashing_facilities_at_HH_level]]*6)</f>
        <v>0</v>
      </c>
      <c r="BI398" s="557">
        <f>IF(WWWW[[#This Row],['# people reached by regular dedicated hygiene promotion]]&gt;WWWW[[#This Row],['# People received regular supply of hygiene items]],WWWW[[#This Row],['# people reached by regular dedicated hygiene promotion]],WWWW[[#This Row],['# People received regular supply of hygiene items]])</f>
        <v>350</v>
      </c>
      <c r="BJ398" s="555">
        <f>IF(WWWW[[#This Row],[HRP3]]/WWWW[[#This Row],[Total PoP ]]&gt;100%,100%,WWWW[[#This Row],[HRP3]]/WWWW[[#This Row],[Total PoP ]])</f>
        <v>1</v>
      </c>
      <c r="BK398" s="558">
        <f>1-WWWW[[#This Row],[Hygiene Coverage%]]</f>
        <v>0</v>
      </c>
      <c r="BL398" s="556">
        <f>WWWW[[#This Row],['# people reached by regular dedicated hygiene promotion]]/WWWW[[#This Row],[Total PoP ]]</f>
        <v>1</v>
      </c>
      <c r="BM39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8" s="557">
        <f>WWWW[[#This Row],['#_of_affected_women_and_girls_receiving_a_sufficient_quantity_of_sanitary_pads]]</f>
        <v>0</v>
      </c>
      <c r="BO398" s="611">
        <f>IF(WWWW[[#This Row],['# People with access to soap]]&gt;WWWW[[#This Row],['# People with access to Sanity Pads]],WWWW[[#This Row],['# People with access to soap]],WWWW[[#This Row],['# People with access to Sanity Pads]])</f>
        <v>0</v>
      </c>
      <c r="BP398" s="565" t="str">
        <f>IF(OR(WWWW[[#This Row],['#of students in school]]="",WWWW[[#This Row],['#of students in school]]=0),"No","Yes")</f>
        <v>Yes</v>
      </c>
      <c r="BQ398" s="559" t="str">
        <f>VLOOKUP(WWWW[[#This Row],[Village  Name]],SiteDB6[[Site Name]:[Location Type 1]],9,FALSE)</f>
        <v>Village</v>
      </c>
      <c r="BR398" s="559" t="str">
        <f>VLOOKUP(WWWW[[#This Row],[Village  Name]],SiteDB6[[Site Name]:[Type of Accommodation]],10,FALSE)</f>
        <v>Village</v>
      </c>
      <c r="BS398" s="559">
        <f>VLOOKUP(WWWW[[#This Row],[Village  Name]],SiteDB6[[Site Name]:[Ethnic or GCA/NGCA]],11,FALSE)</f>
        <v>0</v>
      </c>
      <c r="BT398" s="559">
        <f>VLOOKUP(WWWW[[#This Row],[Village  Name]],SiteDB6[[Site Name]:[Lat]],12,FALSE)</f>
        <v>20.812870025634801</v>
      </c>
      <c r="BU398" s="559">
        <f>VLOOKUP(WWWW[[#This Row],[Village  Name]],SiteDB6[[Site Name]:[Long]],13,FALSE)</f>
        <v>93.075592041015597</v>
      </c>
      <c r="BV398" s="559">
        <f>VLOOKUP(WWWW[[#This Row],[Village  Name]],SiteDB6[[Site Name]:[Pcode]],3,FALSE)</f>
        <v>196649</v>
      </c>
      <c r="BW398" s="559" t="str">
        <f t="shared" si="14"/>
        <v>Covered</v>
      </c>
      <c r="BX398" s="587"/>
    </row>
    <row r="399" spans="1:76">
      <c r="A399" s="612" t="s">
        <v>2381</v>
      </c>
      <c r="B399" s="612" t="s">
        <v>233</v>
      </c>
      <c r="C399" s="457" t="s">
        <v>233</v>
      </c>
      <c r="D399" s="457" t="s">
        <v>3011</v>
      </c>
      <c r="E399" s="457" t="s">
        <v>2687</v>
      </c>
      <c r="F399" s="457" t="s">
        <v>473</v>
      </c>
      <c r="G399" s="551" t="str">
        <f>VLOOKUP(WWWW[[#This Row],[Village  Name]],SiteDB6[[Site Name]:[Location Type]],8,FALSE)</f>
        <v>Village</v>
      </c>
      <c r="H399" s="457" t="s">
        <v>3031</v>
      </c>
      <c r="I399" s="611"/>
      <c r="J399" s="611">
        <v>407</v>
      </c>
      <c r="K399" s="461">
        <v>42856</v>
      </c>
      <c r="L399" s="55">
        <v>43646</v>
      </c>
      <c r="M399" s="611">
        <v>407</v>
      </c>
      <c r="N399" s="611"/>
      <c r="O399" s="611"/>
      <c r="P399" s="611"/>
      <c r="Q399" s="611"/>
      <c r="R399" s="611"/>
      <c r="S399" s="611">
        <v>2</v>
      </c>
      <c r="T399" s="643"/>
      <c r="U399" s="611"/>
      <c r="V399" s="611" t="s">
        <v>41</v>
      </c>
      <c r="W399" s="611">
        <v>4</v>
      </c>
      <c r="X399" s="611"/>
      <c r="Y399" s="611"/>
      <c r="Z399" s="611"/>
      <c r="AA399" s="611"/>
      <c r="AB399" s="643"/>
      <c r="AC399" s="611"/>
      <c r="AD399" s="611"/>
      <c r="AE399" s="611"/>
      <c r="AF399" s="611"/>
      <c r="AG399" s="611">
        <v>207</v>
      </c>
      <c r="AH399" s="611">
        <v>200</v>
      </c>
      <c r="AI399" s="611"/>
      <c r="AJ399" s="611">
        <v>1</v>
      </c>
      <c r="AK399" s="611"/>
      <c r="AL399" s="611"/>
      <c r="AM399" s="643"/>
      <c r="AN399" s="611"/>
      <c r="AO399" s="611"/>
      <c r="AP39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399" s="565">
        <f>WWWW[[#This Row],[%Equitable and continuous access to sufficient quantity of safe drinking water]]*WWWW[[#This Row],[Total PoP ]]</f>
        <v>407</v>
      </c>
      <c r="AR39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399" s="565">
        <f>WWWW[[#This Row],[% Access to unimproved water points]]*WWWW[[#This Row],[Total PoP ]]</f>
        <v>0</v>
      </c>
      <c r="AT39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39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407</v>
      </c>
      <c r="AV399" s="565">
        <f>WWWW[[#This Row],[HRP1]]/250</f>
        <v>1.6279999999999999</v>
      </c>
      <c r="AW399" s="555">
        <f>1-WWWW[[#This Row],[% Equitable and continuous access to sufficient quantity of domestic water]]</f>
        <v>0</v>
      </c>
      <c r="AX399" s="565">
        <f>WWWW[[#This Row],[%equitable and continuous access to sufficient quantity of safe drinking and domestic water''s GAP]]*WWWW[[#This Row],[Total PoP ]]</f>
        <v>0</v>
      </c>
      <c r="AY399" s="557">
        <f>IF(WWWW[[#This Row],[Total required water points]]-WWWW[[#This Row],['#Water points coverage]]&lt;0,0,WWWW[[#This Row],[Total required water points]]-WWWW[[#This Row],['#Water points coverage]])</f>
        <v>0.37200000000000011</v>
      </c>
      <c r="AZ399" s="557">
        <f>ROUND(IF(WWWW[[#This Row],[Total PoP ]]&lt;250,1,WWWW[[#This Row],[Total PoP ]]/250),0)</f>
        <v>2</v>
      </c>
      <c r="BA399"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0.49140049140049141</v>
      </c>
      <c r="BB399" s="565">
        <f>WWWW[[#This Row],[% people access to functioning Latrine]]*WWWW[[#This Row],[Total PoP ]]</f>
        <v>200</v>
      </c>
      <c r="BC399" s="557">
        <f>WWWW[[#This Row],['#_of_Functioning_latrines_in_school]]*50</f>
        <v>200</v>
      </c>
      <c r="BD399" s="557">
        <f>ROUND((WWWW[[#This Row],[Total PoP ]]/6),0)</f>
        <v>68</v>
      </c>
      <c r="BE399" s="557">
        <f>IF(WWWW[[#This Row],[Total required Latrines]]-(WWWW[[#This Row],['#_of_sanitary_fly-proof_HH_latrines]])&lt;0,0,WWWW[[#This Row],[Total required Latrines]]-(WWWW[[#This Row],['#_of_sanitary_fly-proof_HH_latrines]]))</f>
        <v>68</v>
      </c>
      <c r="BF399" s="558">
        <f>1-WWWW[[#This Row],[% people access to functioning Latrine]]</f>
        <v>0.50859950859950853</v>
      </c>
      <c r="BG39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407</v>
      </c>
      <c r="BH399" s="565">
        <f>IF(WWWW[[#This Row],['#_of_functional_handwashing_facilities_at_HH_level]]*6&gt;WWWW[[#This Row],[Total PoP ]],WWWW[[#This Row],[Total PoP ]],WWWW[[#This Row],['#_of_functional_handwashing_facilities_at_HH_level]]*6)</f>
        <v>0</v>
      </c>
      <c r="BI399" s="557">
        <f>IF(WWWW[[#This Row],['# people reached by regular dedicated hygiene promotion]]&gt;WWWW[[#This Row],['# People received regular supply of hygiene items]],WWWW[[#This Row],['# people reached by regular dedicated hygiene promotion]],WWWW[[#This Row],['# People received regular supply of hygiene items]])</f>
        <v>407</v>
      </c>
      <c r="BJ399" s="555">
        <f>IF(WWWW[[#This Row],[HRP3]]/WWWW[[#This Row],[Total PoP ]]&gt;100%,100%,WWWW[[#This Row],[HRP3]]/WWWW[[#This Row],[Total PoP ]])</f>
        <v>1</v>
      </c>
      <c r="BK399" s="558">
        <f>1-WWWW[[#This Row],[Hygiene Coverage%]]</f>
        <v>0</v>
      </c>
      <c r="BL399" s="556">
        <f>WWWW[[#This Row],['# people reached by regular dedicated hygiene promotion]]/WWWW[[#This Row],[Total PoP ]]</f>
        <v>1</v>
      </c>
      <c r="BM39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399" s="557">
        <f>WWWW[[#This Row],['#_of_affected_women_and_girls_receiving_a_sufficient_quantity_of_sanitary_pads]]</f>
        <v>0</v>
      </c>
      <c r="BO399" s="611">
        <f>IF(WWWW[[#This Row],['# People with access to soap]]&gt;WWWW[[#This Row],['# People with access to Sanity Pads]],WWWW[[#This Row],['# People with access to soap]],WWWW[[#This Row],['# People with access to Sanity Pads]])</f>
        <v>0</v>
      </c>
      <c r="BP399" s="565" t="str">
        <f>IF(OR(WWWW[[#This Row],['#of students in school]]="",WWWW[[#This Row],['#of students in school]]=0),"No","Yes")</f>
        <v>Yes</v>
      </c>
      <c r="BQ399" s="559" t="str">
        <f>VLOOKUP(WWWW[[#This Row],[Village  Name]],SiteDB6[[Site Name]:[Location Type 1]],9,FALSE)</f>
        <v>Village</v>
      </c>
      <c r="BR399" s="559" t="str">
        <f>VLOOKUP(WWWW[[#This Row],[Village  Name]],SiteDB6[[Site Name]:[Type of Accommodation]],10,FALSE)</f>
        <v>Village</v>
      </c>
      <c r="BS399" s="559">
        <f>VLOOKUP(WWWW[[#This Row],[Village  Name]],SiteDB6[[Site Name]:[Ethnic or GCA/NGCA]],11,FALSE)</f>
        <v>0</v>
      </c>
      <c r="BT399" s="559">
        <f>VLOOKUP(WWWW[[#This Row],[Village  Name]],SiteDB6[[Site Name]:[Lat]],12,FALSE)</f>
        <v>20.774000167846701</v>
      </c>
      <c r="BU399" s="559">
        <f>VLOOKUP(WWWW[[#This Row],[Village  Name]],SiteDB6[[Site Name]:[Long]],13,FALSE)</f>
        <v>93.060752868652301</v>
      </c>
      <c r="BV399" s="559">
        <f>VLOOKUP(WWWW[[#This Row],[Village  Name]],SiteDB6[[Site Name]:[Pcode]],3,FALSE)</f>
        <v>196647</v>
      </c>
      <c r="BW399" s="559" t="str">
        <f t="shared" si="14"/>
        <v>Covered</v>
      </c>
      <c r="BX399" s="587"/>
    </row>
    <row r="400" spans="1:76">
      <c r="A400" s="612" t="s">
        <v>2381</v>
      </c>
      <c r="B400" s="612" t="s">
        <v>233</v>
      </c>
      <c r="C400" s="457" t="s">
        <v>233</v>
      </c>
      <c r="D400" s="457" t="s">
        <v>3011</v>
      </c>
      <c r="E400" s="457" t="s">
        <v>2687</v>
      </c>
      <c r="F400" s="457" t="s">
        <v>473</v>
      </c>
      <c r="G400" s="551" t="str">
        <f>VLOOKUP(WWWW[[#This Row],[Village  Name]],SiteDB6[[Site Name]:[Location Type]],8,FALSE)</f>
        <v>Village</v>
      </c>
      <c r="H400" s="457" t="s">
        <v>3032</v>
      </c>
      <c r="I400" s="611"/>
      <c r="J400" s="611">
        <v>145</v>
      </c>
      <c r="K400" s="461">
        <v>42856</v>
      </c>
      <c r="L400" s="55">
        <v>43646</v>
      </c>
      <c r="M400" s="611">
        <v>145</v>
      </c>
      <c r="N400" s="611"/>
      <c r="O400" s="611"/>
      <c r="P400" s="611"/>
      <c r="Q400" s="611"/>
      <c r="R400" s="611"/>
      <c r="S400" s="611">
        <v>1</v>
      </c>
      <c r="T400" s="643"/>
      <c r="U400" s="611"/>
      <c r="V400" s="611" t="s">
        <v>41</v>
      </c>
      <c r="W400" s="611">
        <v>3</v>
      </c>
      <c r="X400" s="611"/>
      <c r="Y400" s="611"/>
      <c r="Z400" s="611"/>
      <c r="AA400" s="611"/>
      <c r="AB400" s="643"/>
      <c r="AC400" s="611"/>
      <c r="AD400" s="611"/>
      <c r="AE400" s="611"/>
      <c r="AF400" s="611"/>
      <c r="AG400" s="611">
        <v>83</v>
      </c>
      <c r="AH400" s="611">
        <v>62</v>
      </c>
      <c r="AI400" s="611"/>
      <c r="AJ400" s="611">
        <v>1</v>
      </c>
      <c r="AK400" s="611"/>
      <c r="AL400" s="611"/>
      <c r="AM400" s="643"/>
      <c r="AN400" s="611"/>
      <c r="AO400" s="611"/>
      <c r="AP40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00" s="565">
        <f>WWWW[[#This Row],[%Equitable and continuous access to sufficient quantity of safe drinking water]]*WWWW[[#This Row],[Total PoP ]]</f>
        <v>145</v>
      </c>
      <c r="AR40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0" s="565">
        <f>WWWW[[#This Row],[% Access to unimproved water points]]*WWWW[[#This Row],[Total PoP ]]</f>
        <v>0</v>
      </c>
      <c r="AT40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0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145</v>
      </c>
      <c r="AV400" s="565">
        <f>WWWW[[#This Row],[HRP1]]/250</f>
        <v>0.57999999999999996</v>
      </c>
      <c r="AW400" s="555">
        <f>1-WWWW[[#This Row],[% Equitable and continuous access to sufficient quantity of domestic water]]</f>
        <v>0</v>
      </c>
      <c r="AX400" s="565">
        <f>WWWW[[#This Row],[%equitable and continuous access to sufficient quantity of safe drinking and domestic water''s GAP]]*WWWW[[#This Row],[Total PoP ]]</f>
        <v>0</v>
      </c>
      <c r="AY400" s="557">
        <f>IF(WWWW[[#This Row],[Total required water points]]-WWWW[[#This Row],['#Water points coverage]]&lt;0,0,WWWW[[#This Row],[Total required water points]]-WWWW[[#This Row],['#Water points coverage]])</f>
        <v>0.42000000000000004</v>
      </c>
      <c r="AZ400" s="557">
        <f>ROUND(IF(WWWW[[#This Row],[Total PoP ]]&lt;250,1,WWWW[[#This Row],[Total PoP ]]/250),0)</f>
        <v>1</v>
      </c>
      <c r="BA400"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00" s="565">
        <f>WWWW[[#This Row],[% people access to functioning Latrine]]*WWWW[[#This Row],[Total PoP ]]</f>
        <v>145</v>
      </c>
      <c r="BC400" s="557">
        <f>WWWW[[#This Row],['#_of_Functioning_latrines_in_school]]*50</f>
        <v>150</v>
      </c>
      <c r="BD400" s="557">
        <f>ROUND((WWWW[[#This Row],[Total PoP ]]/6),0)</f>
        <v>24</v>
      </c>
      <c r="BE400" s="557">
        <f>IF(WWWW[[#This Row],[Total required Latrines]]-(WWWW[[#This Row],['#_of_sanitary_fly-proof_HH_latrines]])&lt;0,0,WWWW[[#This Row],[Total required Latrines]]-(WWWW[[#This Row],['#_of_sanitary_fly-proof_HH_latrines]]))</f>
        <v>24</v>
      </c>
      <c r="BF400" s="558">
        <f>1-WWWW[[#This Row],[% people access to functioning Latrine]]</f>
        <v>0</v>
      </c>
      <c r="BG40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145</v>
      </c>
      <c r="BH400" s="565">
        <f>IF(WWWW[[#This Row],['#_of_functional_handwashing_facilities_at_HH_level]]*6&gt;WWWW[[#This Row],[Total PoP ]],WWWW[[#This Row],[Total PoP ]],WWWW[[#This Row],['#_of_functional_handwashing_facilities_at_HH_level]]*6)</f>
        <v>0</v>
      </c>
      <c r="BI400" s="557">
        <f>IF(WWWW[[#This Row],['# people reached by regular dedicated hygiene promotion]]&gt;WWWW[[#This Row],['# People received regular supply of hygiene items]],WWWW[[#This Row],['# people reached by regular dedicated hygiene promotion]],WWWW[[#This Row],['# People received regular supply of hygiene items]])</f>
        <v>145</v>
      </c>
      <c r="BJ400" s="555">
        <f>IF(WWWW[[#This Row],[HRP3]]/WWWW[[#This Row],[Total PoP ]]&gt;100%,100%,WWWW[[#This Row],[HRP3]]/WWWW[[#This Row],[Total PoP ]])</f>
        <v>1</v>
      </c>
      <c r="BK400" s="558">
        <f>1-WWWW[[#This Row],[Hygiene Coverage%]]</f>
        <v>0</v>
      </c>
      <c r="BL400" s="556">
        <f>WWWW[[#This Row],['# people reached by regular dedicated hygiene promotion]]/WWWW[[#This Row],[Total PoP ]]</f>
        <v>1</v>
      </c>
      <c r="BM40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0" s="557">
        <f>WWWW[[#This Row],['#_of_affected_women_and_girls_receiving_a_sufficient_quantity_of_sanitary_pads]]</f>
        <v>0</v>
      </c>
      <c r="BO400" s="611">
        <f>IF(WWWW[[#This Row],['# People with access to soap]]&gt;WWWW[[#This Row],['# People with access to Sanity Pads]],WWWW[[#This Row],['# People with access to soap]],WWWW[[#This Row],['# People with access to Sanity Pads]])</f>
        <v>0</v>
      </c>
      <c r="BP400" s="565" t="str">
        <f>IF(OR(WWWW[[#This Row],['#of students in school]]="",WWWW[[#This Row],['#of students in school]]=0),"No","Yes")</f>
        <v>Yes</v>
      </c>
      <c r="BQ400" s="559" t="str">
        <f>VLOOKUP(WWWW[[#This Row],[Village  Name]],SiteDB6[[Site Name]:[Location Type 1]],9,FALSE)</f>
        <v>Village</v>
      </c>
      <c r="BR400" s="559" t="str">
        <f>VLOOKUP(WWWW[[#This Row],[Village  Name]],SiteDB6[[Site Name]:[Type of Accommodation]],10,FALSE)</f>
        <v>Village</v>
      </c>
      <c r="BS400" s="559">
        <f>VLOOKUP(WWWW[[#This Row],[Village  Name]],SiteDB6[[Site Name]:[Ethnic or GCA/NGCA]],11,FALSE)</f>
        <v>0</v>
      </c>
      <c r="BT400" s="559">
        <f>VLOOKUP(WWWW[[#This Row],[Village  Name]],SiteDB6[[Site Name]:[Lat]],12,FALSE)</f>
        <v>20.685459136962901</v>
      </c>
      <c r="BU400" s="559">
        <f>VLOOKUP(WWWW[[#This Row],[Village  Name]],SiteDB6[[Site Name]:[Long]],13,FALSE)</f>
        <v>93.127792358398395</v>
      </c>
      <c r="BV400" s="559">
        <f>VLOOKUP(WWWW[[#This Row],[Village  Name]],SiteDB6[[Site Name]:[Pcode]],3,FALSE)</f>
        <v>196609</v>
      </c>
      <c r="BW400" s="559" t="str">
        <f t="shared" si="14"/>
        <v>Covered</v>
      </c>
      <c r="BX400" s="587"/>
    </row>
    <row r="401" spans="1:76">
      <c r="A401" s="612" t="s">
        <v>2381</v>
      </c>
      <c r="B401" s="612" t="s">
        <v>233</v>
      </c>
      <c r="C401" s="457" t="s">
        <v>233</v>
      </c>
      <c r="D401" s="457" t="s">
        <v>3011</v>
      </c>
      <c r="E401" s="457" t="s">
        <v>2687</v>
      </c>
      <c r="F401" s="457" t="s">
        <v>473</v>
      </c>
      <c r="G401" s="551" t="str">
        <f>VLOOKUP(WWWW[[#This Row],[Village  Name]],SiteDB6[[Site Name]:[Location Type]],8,FALSE)</f>
        <v>Village</v>
      </c>
      <c r="H401" s="457" t="s">
        <v>2769</v>
      </c>
      <c r="I401" s="611"/>
      <c r="J401" s="611">
        <v>256</v>
      </c>
      <c r="K401" s="461">
        <v>42856</v>
      </c>
      <c r="L401" s="55">
        <v>43646</v>
      </c>
      <c r="M401" s="611">
        <v>256</v>
      </c>
      <c r="N401" s="611"/>
      <c r="O401" s="611"/>
      <c r="P401" s="611"/>
      <c r="Q401" s="611"/>
      <c r="R401" s="611"/>
      <c r="S401" s="611">
        <v>1</v>
      </c>
      <c r="T401" s="643"/>
      <c r="U401" s="611"/>
      <c r="V401" s="611" t="s">
        <v>41</v>
      </c>
      <c r="W401" s="611">
        <v>4</v>
      </c>
      <c r="X401" s="611"/>
      <c r="Y401" s="611"/>
      <c r="Z401" s="611"/>
      <c r="AA401" s="611"/>
      <c r="AB401" s="643"/>
      <c r="AC401" s="611"/>
      <c r="AD401" s="611"/>
      <c r="AE401" s="611"/>
      <c r="AF401" s="611"/>
      <c r="AG401" s="611">
        <v>137</v>
      </c>
      <c r="AH401" s="611">
        <v>119</v>
      </c>
      <c r="AI401" s="611"/>
      <c r="AJ401" s="611">
        <v>1</v>
      </c>
      <c r="AK401" s="611"/>
      <c r="AL401" s="611"/>
      <c r="AM401" s="643"/>
      <c r="AN401" s="611"/>
      <c r="AO401" s="611"/>
      <c r="AP40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0.9765625</v>
      </c>
      <c r="AQ401" s="565">
        <f>WWWW[[#This Row],[%Equitable and continuous access to sufficient quantity of safe drinking water]]*WWWW[[#This Row],[Total PoP ]]</f>
        <v>250</v>
      </c>
      <c r="AR40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1" s="565">
        <f>WWWW[[#This Row],[% Access to unimproved water points]]*WWWW[[#This Row],[Total PoP ]]</f>
        <v>0</v>
      </c>
      <c r="AT40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0.9765625</v>
      </c>
      <c r="AU40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V401" s="565">
        <f>WWWW[[#This Row],[HRP1]]/250</f>
        <v>1</v>
      </c>
      <c r="AW401" s="555">
        <f>1-WWWW[[#This Row],[% Equitable and continuous access to sufficient quantity of domestic water]]</f>
        <v>2.34375E-2</v>
      </c>
      <c r="AX401" s="565">
        <f>WWWW[[#This Row],[%equitable and continuous access to sufficient quantity of safe drinking and domestic water''s GAP]]*WWWW[[#This Row],[Total PoP ]]</f>
        <v>6</v>
      </c>
      <c r="AY401" s="557">
        <f>IF(WWWW[[#This Row],[Total required water points]]-WWWW[[#This Row],['#Water points coverage]]&lt;0,0,WWWW[[#This Row],[Total required water points]]-WWWW[[#This Row],['#Water points coverage]])</f>
        <v>0</v>
      </c>
      <c r="AZ401" s="557">
        <f>ROUND(IF(WWWW[[#This Row],[Total PoP ]]&lt;250,1,WWWW[[#This Row],[Total PoP ]]/250),0)</f>
        <v>1</v>
      </c>
      <c r="BA401" s="556">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0.78125</v>
      </c>
      <c r="BB401" s="565">
        <f>WWWW[[#This Row],[% people access to functioning Latrine]]*WWWW[[#This Row],[Total PoP ]]</f>
        <v>200</v>
      </c>
      <c r="BC401" s="557">
        <f>WWWW[[#This Row],['#_of_Functioning_latrines_in_school]]*50</f>
        <v>200</v>
      </c>
      <c r="BD401" s="557">
        <f>ROUND((WWWW[[#This Row],[Total PoP ]]/6),0)</f>
        <v>43</v>
      </c>
      <c r="BE401" s="557">
        <f>IF(WWWW[[#This Row],[Total required Latrines]]-(WWWW[[#This Row],['#_of_sanitary_fly-proof_HH_latrines]])&lt;0,0,WWWW[[#This Row],[Total required Latrines]]-(WWWW[[#This Row],['#_of_sanitary_fly-proof_HH_latrines]]))</f>
        <v>43</v>
      </c>
      <c r="BF401" s="558">
        <f>1-WWWW[[#This Row],[% people access to functioning Latrine]]</f>
        <v>0.21875</v>
      </c>
      <c r="BG40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256</v>
      </c>
      <c r="BH401" s="565">
        <f>IF(WWWW[[#This Row],['#_of_functional_handwashing_facilities_at_HH_level]]*6&gt;WWWW[[#This Row],[Total PoP ]],WWWW[[#This Row],[Total PoP ]],WWWW[[#This Row],['#_of_functional_handwashing_facilities_at_HH_level]]*6)</f>
        <v>0</v>
      </c>
      <c r="BI401" s="557">
        <f>IF(WWWW[[#This Row],['# people reached by regular dedicated hygiene promotion]]&gt;WWWW[[#This Row],['# People received regular supply of hygiene items]],WWWW[[#This Row],['# people reached by regular dedicated hygiene promotion]],WWWW[[#This Row],['# People received regular supply of hygiene items]])</f>
        <v>256</v>
      </c>
      <c r="BJ401" s="555">
        <f>IF(WWWW[[#This Row],[HRP3]]/WWWW[[#This Row],[Total PoP ]]&gt;100%,100%,WWWW[[#This Row],[HRP3]]/WWWW[[#This Row],[Total PoP ]])</f>
        <v>1</v>
      </c>
      <c r="BK401" s="558">
        <f>1-WWWW[[#This Row],[Hygiene Coverage%]]</f>
        <v>0</v>
      </c>
      <c r="BL401" s="556">
        <f>WWWW[[#This Row],['# people reached by regular dedicated hygiene promotion]]/WWWW[[#This Row],[Total PoP ]]</f>
        <v>1</v>
      </c>
      <c r="BM40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1" s="557">
        <f>WWWW[[#This Row],['#_of_affected_women_and_girls_receiving_a_sufficient_quantity_of_sanitary_pads]]</f>
        <v>0</v>
      </c>
      <c r="BO401" s="611">
        <f>IF(WWWW[[#This Row],['# People with access to soap]]&gt;WWWW[[#This Row],['# People with access to Sanity Pads]],WWWW[[#This Row],['# People with access to soap]],WWWW[[#This Row],['# People with access to Sanity Pads]])</f>
        <v>0</v>
      </c>
      <c r="BP401" s="565" t="str">
        <f>IF(OR(WWWW[[#This Row],['#of students in school]]="",WWWW[[#This Row],['#of students in school]]=0),"No","Yes")</f>
        <v>Yes</v>
      </c>
      <c r="BQ401" s="559" t="str">
        <f>VLOOKUP(WWWW[[#This Row],[Village  Name]],SiteDB6[[Site Name]:[Location Type 1]],9,FALSE)</f>
        <v>Village</v>
      </c>
      <c r="BR401" s="559" t="str">
        <f>VLOOKUP(WWWW[[#This Row],[Village  Name]],SiteDB6[[Site Name]:[Type of Accommodation]],10,FALSE)</f>
        <v>Village</v>
      </c>
      <c r="BS401" s="559">
        <f>VLOOKUP(WWWW[[#This Row],[Village  Name]],SiteDB6[[Site Name]:[Ethnic or GCA/NGCA]],11,FALSE)</f>
        <v>0</v>
      </c>
      <c r="BT401" s="559">
        <v>20.7459907531738</v>
      </c>
      <c r="BU401" s="559">
        <v>93.055381774902301</v>
      </c>
      <c r="BV401" s="559">
        <v>196646</v>
      </c>
      <c r="BW401" s="559" t="str">
        <f t="shared" si="14"/>
        <v>Covered</v>
      </c>
      <c r="BX401" s="587"/>
    </row>
    <row r="402" spans="1:76">
      <c r="A402" s="612" t="s">
        <v>2381</v>
      </c>
      <c r="B402" s="612" t="s">
        <v>2540</v>
      </c>
      <c r="C402" s="457" t="s">
        <v>371</v>
      </c>
      <c r="D402" s="457" t="s">
        <v>2541</v>
      </c>
      <c r="E402" s="457" t="s">
        <v>2686</v>
      </c>
      <c r="F402" s="457" t="s">
        <v>321</v>
      </c>
      <c r="G402" s="551" t="str">
        <f>VLOOKUP(WWWW[[#This Row],[Village  Name]],SiteDB6[[Site Name]:[Location Type]],8,FALSE)</f>
        <v>Village</v>
      </c>
      <c r="H402" s="457" t="s">
        <v>2543</v>
      </c>
      <c r="I402" s="611">
        <v>153</v>
      </c>
      <c r="J402" s="611">
        <v>838</v>
      </c>
      <c r="K402" s="461">
        <v>43480</v>
      </c>
      <c r="L402" s="55">
        <v>43723</v>
      </c>
      <c r="M402" s="611"/>
      <c r="N402" s="611"/>
      <c r="O402" s="611"/>
      <c r="P402" s="611"/>
      <c r="Q402" s="611"/>
      <c r="R402" s="611"/>
      <c r="S402" s="611"/>
      <c r="T402" s="643"/>
      <c r="U402" s="611"/>
      <c r="V402" s="611" t="s">
        <v>3049</v>
      </c>
      <c r="W402" s="611"/>
      <c r="X402" s="611"/>
      <c r="Y402" s="611"/>
      <c r="Z402" s="611"/>
      <c r="AA402" s="611"/>
      <c r="AB402" s="643"/>
      <c r="AC402" s="611"/>
      <c r="AD402" s="611"/>
      <c r="AE402" s="611"/>
      <c r="AF402" s="611"/>
      <c r="AG402" s="611"/>
      <c r="AH402" s="611"/>
      <c r="AI402" s="611"/>
      <c r="AJ402" s="611"/>
      <c r="AK402" s="611"/>
      <c r="AL402" s="611"/>
      <c r="AM402" s="643"/>
      <c r="AN402" s="611"/>
      <c r="AO402" s="611"/>
      <c r="AP40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02" s="565">
        <f>WWWW[[#This Row],[%Equitable and continuous access to sufficient quantity of safe drinking water]]*WWWW[[#This Row],[Total PoP ]]</f>
        <v>0</v>
      </c>
      <c r="AR40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2" s="565">
        <f>WWWW[[#This Row],[% Access to unimproved water points]]*WWWW[[#This Row],[Total PoP ]]</f>
        <v>0</v>
      </c>
      <c r="AT40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0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02" s="565">
        <f>WWWW[[#This Row],[HRP1]]/250</f>
        <v>0</v>
      </c>
      <c r="AW402" s="555">
        <f>1-WWWW[[#This Row],[% Equitable and continuous access to sufficient quantity of domestic water]]</f>
        <v>1</v>
      </c>
      <c r="AX402" s="565">
        <f>WWWW[[#This Row],[%equitable and continuous access to sufficient quantity of safe drinking and domestic water''s GAP]]*WWWW[[#This Row],[Total PoP ]]</f>
        <v>838</v>
      </c>
      <c r="AY402" s="557">
        <f>IF(WWWW[[#This Row],[Total required water points]]-WWWW[[#This Row],['#Water points coverage]]&lt;0,0,WWWW[[#This Row],[Total required water points]]-WWWW[[#This Row],['#Water points coverage]])</f>
        <v>3</v>
      </c>
      <c r="AZ402" s="557">
        <f>ROUND(IF(WWWW[[#This Row],[Total PoP ]]&lt;250,1,WWWW[[#This Row],[Total PoP ]]/250),0)</f>
        <v>3</v>
      </c>
      <c r="BA40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02" s="565">
        <f>WWWW[[#This Row],[% people access to functioning Latrine]]*WWWW[[#This Row],[Total PoP ]]</f>
        <v>0</v>
      </c>
      <c r="BC402" s="557">
        <f>WWWW[[#This Row],['#_of_Functioning_latrines_in_school]]*50</f>
        <v>0</v>
      </c>
      <c r="BD402" s="557">
        <f>ROUND((WWWW[[#This Row],[Total PoP ]]/6),0)</f>
        <v>140</v>
      </c>
      <c r="BE402" s="557">
        <f>IF(WWWW[[#This Row],[Total required Latrines]]-(WWWW[[#This Row],['#_of_sanitary_fly-proof_HH_latrines]])&lt;0,0,WWWW[[#This Row],[Total required Latrines]]-(WWWW[[#This Row],['#_of_sanitary_fly-proof_HH_latrines]]))</f>
        <v>140</v>
      </c>
      <c r="BF402" s="558">
        <f>1-WWWW[[#This Row],[% people access to functioning Latrine]]</f>
        <v>1</v>
      </c>
      <c r="BG40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02" s="565">
        <f>IF(WWWW[[#This Row],['#_of_functional_handwashing_facilities_at_HH_level]]*6&gt;WWWW[[#This Row],[Total PoP ]],WWWW[[#This Row],[Total PoP ]],WWWW[[#This Row],['#_of_functional_handwashing_facilities_at_HH_level]]*6)</f>
        <v>0</v>
      </c>
      <c r="BI402" s="557">
        <f>IF(WWWW[[#This Row],['# people reached by regular dedicated hygiene promotion]]&gt;WWWW[[#This Row],['# People received regular supply of hygiene items]],WWWW[[#This Row],['# people reached by regular dedicated hygiene promotion]],WWWW[[#This Row],['# People received regular supply of hygiene items]])</f>
        <v>0</v>
      </c>
      <c r="BJ402" s="555">
        <f>IF(WWWW[[#This Row],[HRP3]]/WWWW[[#This Row],[Total PoP ]]&gt;100%,100%,WWWW[[#This Row],[HRP3]]/WWWW[[#This Row],[Total PoP ]])</f>
        <v>0</v>
      </c>
      <c r="BK402" s="558">
        <f>1-WWWW[[#This Row],[Hygiene Coverage%]]</f>
        <v>1</v>
      </c>
      <c r="BL402" s="556">
        <f>WWWW[[#This Row],['# people reached by regular dedicated hygiene promotion]]/WWWW[[#This Row],[Total PoP ]]</f>
        <v>0</v>
      </c>
      <c r="BM40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2" s="557">
        <f>WWWW[[#This Row],['#_of_affected_women_and_girls_receiving_a_sufficient_quantity_of_sanitary_pads]]</f>
        <v>0</v>
      </c>
      <c r="BO402" s="611">
        <f>IF(WWWW[[#This Row],['# People with access to soap]]&gt;WWWW[[#This Row],['# People with access to Sanity Pads]],WWWW[[#This Row],['# People with access to soap]],WWWW[[#This Row],['# People with access to Sanity Pads]])</f>
        <v>0</v>
      </c>
      <c r="BP402" s="565" t="str">
        <f>IF(OR(WWWW[[#This Row],['#of students in school]]="",WWWW[[#This Row],['#of students in school]]=0),"No","Yes")</f>
        <v>No</v>
      </c>
      <c r="BQ402" s="559" t="str">
        <f>VLOOKUP(WWWW[[#This Row],[Village  Name]],SiteDB6[[Site Name]:[Location Type 1]],9,FALSE)</f>
        <v>Village</v>
      </c>
      <c r="BR402" s="559" t="str">
        <f>VLOOKUP(WWWW[[#This Row],[Village  Name]],SiteDB6[[Site Name]:[Type of Accommodation]],10,FALSE)</f>
        <v>Village</v>
      </c>
      <c r="BS402" s="559" t="str">
        <f>VLOOKUP(WWWW[[#This Row],[Village  Name]],SiteDB6[[Site Name]:[Ethnic or GCA/NGCA]],11,FALSE)</f>
        <v>Muslim</v>
      </c>
      <c r="BT402" s="559">
        <f>VLOOKUP(WWWW[[#This Row],[Village  Name]],SiteDB6[[Site Name]:[Lat]],12,FALSE)</f>
        <v>20.819919586181602</v>
      </c>
      <c r="BU402" s="559">
        <f>VLOOKUP(WWWW[[#This Row],[Village  Name]],SiteDB6[[Site Name]:[Long]],13,FALSE)</f>
        <v>92.589729309082003</v>
      </c>
      <c r="BV402" s="559">
        <f>VLOOKUP(WWWW[[#This Row],[Village  Name]],SiteDB6[[Site Name]:[Pcode]],3,FALSE)</f>
        <v>198349</v>
      </c>
      <c r="BW402" s="559" t="str">
        <f t="shared" ref="BW402:BW433" si="15">IF(C402="none","Notcovered","Covered")</f>
        <v>Covered</v>
      </c>
      <c r="BX402" s="587"/>
    </row>
    <row r="403" spans="1:76">
      <c r="A403" s="612" t="s">
        <v>2381</v>
      </c>
      <c r="B403" s="612" t="s">
        <v>2540</v>
      </c>
      <c r="C403" s="457" t="s">
        <v>371</v>
      </c>
      <c r="D403" s="457" t="s">
        <v>2541</v>
      </c>
      <c r="E403" s="457" t="s">
        <v>2686</v>
      </c>
      <c r="F403" s="457" t="s">
        <v>307</v>
      </c>
      <c r="G403" s="551" t="str">
        <f>VLOOKUP(WWWW[[#This Row],[Village  Name]],SiteDB6[[Site Name]:[Location Type]],8,FALSE)</f>
        <v>Village</v>
      </c>
      <c r="H403" s="457" t="s">
        <v>2561</v>
      </c>
      <c r="I403" s="611">
        <v>275</v>
      </c>
      <c r="J403" s="611">
        <v>1698</v>
      </c>
      <c r="K403" s="461">
        <v>43480</v>
      </c>
      <c r="L403" s="55">
        <v>43723</v>
      </c>
      <c r="M403" s="611"/>
      <c r="N403" s="611"/>
      <c r="O403" s="611"/>
      <c r="P403" s="611"/>
      <c r="Q403" s="611"/>
      <c r="R403" s="611"/>
      <c r="S403" s="611"/>
      <c r="T403" s="643"/>
      <c r="U403" s="611"/>
      <c r="V403" s="611" t="s">
        <v>3049</v>
      </c>
      <c r="W403" s="611"/>
      <c r="X403" s="611"/>
      <c r="Y403" s="611"/>
      <c r="Z403" s="611"/>
      <c r="AA403" s="611"/>
      <c r="AB403" s="643"/>
      <c r="AC403" s="611"/>
      <c r="AD403" s="611"/>
      <c r="AE403" s="611"/>
      <c r="AF403" s="611"/>
      <c r="AG403" s="611"/>
      <c r="AH403" s="611"/>
      <c r="AI403" s="611"/>
      <c r="AJ403" s="611"/>
      <c r="AK403" s="611"/>
      <c r="AL403" s="611"/>
      <c r="AM403" s="643"/>
      <c r="AN403" s="611"/>
      <c r="AO403" s="611"/>
      <c r="AP40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03" s="565">
        <f>WWWW[[#This Row],[%Equitable and continuous access to sufficient quantity of safe drinking water]]*WWWW[[#This Row],[Total PoP ]]</f>
        <v>0</v>
      </c>
      <c r="AR40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3" s="565">
        <f>WWWW[[#This Row],[% Access to unimproved water points]]*WWWW[[#This Row],[Total PoP ]]</f>
        <v>0</v>
      </c>
      <c r="AT40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0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03" s="565">
        <f>WWWW[[#This Row],[HRP1]]/250</f>
        <v>0</v>
      </c>
      <c r="AW403" s="555">
        <f>1-WWWW[[#This Row],[% Equitable and continuous access to sufficient quantity of domestic water]]</f>
        <v>1</v>
      </c>
      <c r="AX403" s="565">
        <f>WWWW[[#This Row],[%equitable and continuous access to sufficient quantity of safe drinking and domestic water''s GAP]]*WWWW[[#This Row],[Total PoP ]]</f>
        <v>1698</v>
      </c>
      <c r="AY403" s="557">
        <f>IF(WWWW[[#This Row],[Total required water points]]-WWWW[[#This Row],['#Water points coverage]]&lt;0,0,WWWW[[#This Row],[Total required water points]]-WWWW[[#This Row],['#Water points coverage]])</f>
        <v>7</v>
      </c>
      <c r="AZ403" s="557">
        <f>ROUND(IF(WWWW[[#This Row],[Total PoP ]]&lt;250,1,WWWW[[#This Row],[Total PoP ]]/250),0)</f>
        <v>7</v>
      </c>
      <c r="BA40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03" s="565">
        <f>WWWW[[#This Row],[% people access to functioning Latrine]]*WWWW[[#This Row],[Total PoP ]]</f>
        <v>0</v>
      </c>
      <c r="BC403" s="557">
        <f>WWWW[[#This Row],['#_of_Functioning_latrines_in_school]]*50</f>
        <v>0</v>
      </c>
      <c r="BD403" s="557">
        <f>ROUND((WWWW[[#This Row],[Total PoP ]]/6),0)</f>
        <v>283</v>
      </c>
      <c r="BE403" s="557">
        <f>IF(WWWW[[#This Row],[Total required Latrines]]-(WWWW[[#This Row],['#_of_sanitary_fly-proof_HH_latrines]])&lt;0,0,WWWW[[#This Row],[Total required Latrines]]-(WWWW[[#This Row],['#_of_sanitary_fly-proof_HH_latrines]]))</f>
        <v>283</v>
      </c>
      <c r="BF403" s="558">
        <f>1-WWWW[[#This Row],[% people access to functioning Latrine]]</f>
        <v>1</v>
      </c>
      <c r="BG40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03" s="565">
        <f>IF(WWWW[[#This Row],['#_of_functional_handwashing_facilities_at_HH_level]]*6&gt;WWWW[[#This Row],[Total PoP ]],WWWW[[#This Row],[Total PoP ]],WWWW[[#This Row],['#_of_functional_handwashing_facilities_at_HH_level]]*6)</f>
        <v>0</v>
      </c>
      <c r="BI403" s="557">
        <f>IF(WWWW[[#This Row],['# people reached by regular dedicated hygiene promotion]]&gt;WWWW[[#This Row],['# People received regular supply of hygiene items]],WWWW[[#This Row],['# people reached by regular dedicated hygiene promotion]],WWWW[[#This Row],['# People received regular supply of hygiene items]])</f>
        <v>0</v>
      </c>
      <c r="BJ403" s="555">
        <f>IF(WWWW[[#This Row],[HRP3]]/WWWW[[#This Row],[Total PoP ]]&gt;100%,100%,WWWW[[#This Row],[HRP3]]/WWWW[[#This Row],[Total PoP ]])</f>
        <v>0</v>
      </c>
      <c r="BK403" s="558">
        <f>1-WWWW[[#This Row],[Hygiene Coverage%]]</f>
        <v>1</v>
      </c>
      <c r="BL403" s="556">
        <f>WWWW[[#This Row],['# people reached by regular dedicated hygiene promotion]]/WWWW[[#This Row],[Total PoP ]]</f>
        <v>0</v>
      </c>
      <c r="BM40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3" s="557">
        <f>WWWW[[#This Row],['#_of_affected_women_and_girls_receiving_a_sufficient_quantity_of_sanitary_pads]]</f>
        <v>0</v>
      </c>
      <c r="BO403" s="611">
        <f>IF(WWWW[[#This Row],['# People with access to soap]]&gt;WWWW[[#This Row],['# People with access to Sanity Pads]],WWWW[[#This Row],['# People with access to soap]],WWWW[[#This Row],['# People with access to Sanity Pads]])</f>
        <v>0</v>
      </c>
      <c r="BP403" s="565" t="str">
        <f>IF(OR(WWWW[[#This Row],['#of students in school]]="",WWWW[[#This Row],['#of students in school]]=0),"No","Yes")</f>
        <v>No</v>
      </c>
      <c r="BQ403" s="559" t="str">
        <f>VLOOKUP(WWWW[[#This Row],[Village  Name]],SiteDB6[[Site Name]:[Location Type 1]],9,FALSE)</f>
        <v>Village</v>
      </c>
      <c r="BR403" s="559" t="str">
        <f>VLOOKUP(WWWW[[#This Row],[Village  Name]],SiteDB6[[Site Name]:[Type of Accommodation]],10,FALSE)</f>
        <v>Village</v>
      </c>
      <c r="BS403" s="559" t="str">
        <f>VLOOKUP(WWWW[[#This Row],[Village  Name]],SiteDB6[[Site Name]:[Ethnic or GCA/NGCA]],11,FALSE)</f>
        <v>Muslim</v>
      </c>
      <c r="BT403" s="559">
        <f>VLOOKUP(WWWW[[#This Row],[Village  Name]],SiteDB6[[Site Name]:[Lat]],12,FALSE)</f>
        <v>0</v>
      </c>
      <c r="BU403" s="559">
        <f>VLOOKUP(WWWW[[#This Row],[Village  Name]],SiteDB6[[Site Name]:[Long]],13,FALSE)</f>
        <v>0</v>
      </c>
      <c r="BV403" s="559">
        <f>VLOOKUP(WWWW[[#This Row],[Village  Name]],SiteDB6[[Site Name]:[Pcode]],3,FALSE)</f>
        <v>197968</v>
      </c>
      <c r="BW403" s="559" t="str">
        <f t="shared" si="15"/>
        <v>Covered</v>
      </c>
      <c r="BX403" s="587"/>
    </row>
    <row r="404" spans="1:76">
      <c r="A404" s="612" t="s">
        <v>2381</v>
      </c>
      <c r="B404" s="612" t="s">
        <v>2540</v>
      </c>
      <c r="C404" s="457" t="s">
        <v>371</v>
      </c>
      <c r="D404" s="457" t="s">
        <v>2541</v>
      </c>
      <c r="E404" s="457" t="s">
        <v>2686</v>
      </c>
      <c r="F404" s="457" t="s">
        <v>307</v>
      </c>
      <c r="G404" s="551" t="str">
        <f>VLOOKUP(WWWW[[#This Row],[Village  Name]],SiteDB6[[Site Name]:[Location Type]],8,FALSE)</f>
        <v>Village</v>
      </c>
      <c r="H404" s="457" t="s">
        <v>372</v>
      </c>
      <c r="I404" s="611">
        <v>119</v>
      </c>
      <c r="J404" s="611">
        <v>428</v>
      </c>
      <c r="K404" s="461">
        <v>43480</v>
      </c>
      <c r="L404" s="55">
        <v>43723</v>
      </c>
      <c r="M404" s="611"/>
      <c r="N404" s="611"/>
      <c r="O404" s="611"/>
      <c r="P404" s="611"/>
      <c r="Q404" s="611"/>
      <c r="R404" s="611"/>
      <c r="S404" s="611"/>
      <c r="T404" s="643"/>
      <c r="U404" s="611"/>
      <c r="V404" s="611" t="s">
        <v>3049</v>
      </c>
      <c r="W404" s="611"/>
      <c r="X404" s="611"/>
      <c r="Y404" s="611"/>
      <c r="Z404" s="611"/>
      <c r="AA404" s="611"/>
      <c r="AB404" s="643"/>
      <c r="AC404" s="611"/>
      <c r="AD404" s="611"/>
      <c r="AE404" s="611"/>
      <c r="AF404" s="611"/>
      <c r="AG404" s="611"/>
      <c r="AH404" s="611"/>
      <c r="AI404" s="611"/>
      <c r="AJ404" s="611"/>
      <c r="AK404" s="611"/>
      <c r="AL404" s="611"/>
      <c r="AM404" s="643"/>
      <c r="AN404" s="611"/>
      <c r="AO404" s="611"/>
      <c r="AP40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04" s="565">
        <f>WWWW[[#This Row],[%Equitable and continuous access to sufficient quantity of safe drinking water]]*WWWW[[#This Row],[Total PoP ]]</f>
        <v>0</v>
      </c>
      <c r="AR40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4" s="565">
        <f>WWWW[[#This Row],[% Access to unimproved water points]]*WWWW[[#This Row],[Total PoP ]]</f>
        <v>0</v>
      </c>
      <c r="AT40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0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04" s="565">
        <f>WWWW[[#This Row],[HRP1]]/250</f>
        <v>0</v>
      </c>
      <c r="AW404" s="555">
        <f>1-WWWW[[#This Row],[% Equitable and continuous access to sufficient quantity of domestic water]]</f>
        <v>1</v>
      </c>
      <c r="AX404" s="565">
        <f>WWWW[[#This Row],[%equitable and continuous access to sufficient quantity of safe drinking and domestic water''s GAP]]*WWWW[[#This Row],[Total PoP ]]</f>
        <v>428</v>
      </c>
      <c r="AY404" s="557">
        <f>IF(WWWW[[#This Row],[Total required water points]]-WWWW[[#This Row],['#Water points coverage]]&lt;0,0,WWWW[[#This Row],[Total required water points]]-WWWW[[#This Row],['#Water points coverage]])</f>
        <v>2</v>
      </c>
      <c r="AZ404" s="557">
        <f>ROUND(IF(WWWW[[#This Row],[Total PoP ]]&lt;250,1,WWWW[[#This Row],[Total PoP ]]/250),0)</f>
        <v>2</v>
      </c>
      <c r="BA40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04" s="565">
        <f>WWWW[[#This Row],[% people access to functioning Latrine]]*WWWW[[#This Row],[Total PoP ]]</f>
        <v>0</v>
      </c>
      <c r="BC404" s="557">
        <f>WWWW[[#This Row],['#_of_Functioning_latrines_in_school]]*50</f>
        <v>0</v>
      </c>
      <c r="BD404" s="557">
        <f>ROUND((WWWW[[#This Row],[Total PoP ]]/6),0)</f>
        <v>71</v>
      </c>
      <c r="BE404" s="557">
        <f>IF(WWWW[[#This Row],[Total required Latrines]]-(WWWW[[#This Row],['#_of_sanitary_fly-proof_HH_latrines]])&lt;0,0,WWWW[[#This Row],[Total required Latrines]]-(WWWW[[#This Row],['#_of_sanitary_fly-proof_HH_latrines]]))</f>
        <v>71</v>
      </c>
      <c r="BF404" s="558">
        <f>1-WWWW[[#This Row],[% people access to functioning Latrine]]</f>
        <v>1</v>
      </c>
      <c r="BG40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04" s="565">
        <f>IF(WWWW[[#This Row],['#_of_functional_handwashing_facilities_at_HH_level]]*6&gt;WWWW[[#This Row],[Total PoP ]],WWWW[[#This Row],[Total PoP ]],WWWW[[#This Row],['#_of_functional_handwashing_facilities_at_HH_level]]*6)</f>
        <v>0</v>
      </c>
      <c r="BI404" s="557">
        <f>IF(WWWW[[#This Row],['# people reached by regular dedicated hygiene promotion]]&gt;WWWW[[#This Row],['# People received regular supply of hygiene items]],WWWW[[#This Row],['# people reached by regular dedicated hygiene promotion]],WWWW[[#This Row],['# People received regular supply of hygiene items]])</f>
        <v>0</v>
      </c>
      <c r="BJ404" s="555">
        <f>IF(WWWW[[#This Row],[HRP3]]/WWWW[[#This Row],[Total PoP ]]&gt;100%,100%,WWWW[[#This Row],[HRP3]]/WWWW[[#This Row],[Total PoP ]])</f>
        <v>0</v>
      </c>
      <c r="BK404" s="558">
        <f>1-WWWW[[#This Row],[Hygiene Coverage%]]</f>
        <v>1</v>
      </c>
      <c r="BL404" s="556">
        <f>WWWW[[#This Row],['# people reached by regular dedicated hygiene promotion]]/WWWW[[#This Row],[Total PoP ]]</f>
        <v>0</v>
      </c>
      <c r="BM40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4" s="557">
        <f>WWWW[[#This Row],['#_of_affected_women_and_girls_receiving_a_sufficient_quantity_of_sanitary_pads]]</f>
        <v>0</v>
      </c>
      <c r="BO404" s="611">
        <f>IF(WWWW[[#This Row],['# People with access to soap]]&gt;WWWW[[#This Row],['# People with access to Sanity Pads]],WWWW[[#This Row],['# People with access to soap]],WWWW[[#This Row],['# People with access to Sanity Pads]])</f>
        <v>0</v>
      </c>
      <c r="BP404" s="565" t="str">
        <f>IF(OR(WWWW[[#This Row],['#of students in school]]="",WWWW[[#This Row],['#of students in school]]=0),"No","Yes")</f>
        <v>No</v>
      </c>
      <c r="BQ404" s="559" t="str">
        <f>VLOOKUP(WWWW[[#This Row],[Village  Name]],SiteDB6[[Site Name]:[Location Type 1]],9,FALSE)</f>
        <v>Village</v>
      </c>
      <c r="BR404" s="559" t="str">
        <f>VLOOKUP(WWWW[[#This Row],[Village  Name]],SiteDB6[[Site Name]:[Type of Accommodation]],10,FALSE)</f>
        <v>Village</v>
      </c>
      <c r="BS404" s="559" t="str">
        <f>VLOOKUP(WWWW[[#This Row],[Village  Name]],SiteDB6[[Site Name]:[Ethnic or GCA/NGCA]],11,FALSE)</f>
        <v>Rakhine</v>
      </c>
      <c r="BT404" s="559">
        <f>VLOOKUP(WWWW[[#This Row],[Village  Name]],SiteDB6[[Site Name]:[Lat]],12,FALSE)</f>
        <v>0</v>
      </c>
      <c r="BU404" s="559">
        <f>VLOOKUP(WWWW[[#This Row],[Village  Name]],SiteDB6[[Site Name]:[Long]],13,FALSE)</f>
        <v>0</v>
      </c>
      <c r="BV404" s="559">
        <f>VLOOKUP(WWWW[[#This Row],[Village  Name]],SiteDB6[[Site Name]:[Pcode]],3,FALSE)</f>
        <v>220977</v>
      </c>
      <c r="BW404" s="559" t="str">
        <f t="shared" si="15"/>
        <v>Covered</v>
      </c>
      <c r="BX404" s="587"/>
    </row>
    <row r="405" spans="1:76">
      <c r="A405" s="612" t="s">
        <v>2381</v>
      </c>
      <c r="B405" s="612" t="s">
        <v>2540</v>
      </c>
      <c r="C405" s="457" t="s">
        <v>371</v>
      </c>
      <c r="D405" s="457" t="s">
        <v>2541</v>
      </c>
      <c r="E405" s="457" t="s">
        <v>2686</v>
      </c>
      <c r="F405" s="457" t="s">
        <v>307</v>
      </c>
      <c r="G405" s="551" t="str">
        <f>VLOOKUP(WWWW[[#This Row],[Village  Name]],SiteDB6[[Site Name]:[Location Type]],8,FALSE)</f>
        <v>Village</v>
      </c>
      <c r="H405" s="457" t="s">
        <v>2301</v>
      </c>
      <c r="I405" s="611">
        <v>60</v>
      </c>
      <c r="J405" s="611">
        <v>314</v>
      </c>
      <c r="K405" s="461">
        <v>43480</v>
      </c>
      <c r="L405" s="55">
        <v>43723</v>
      </c>
      <c r="M405" s="611"/>
      <c r="N405" s="611"/>
      <c r="O405" s="611"/>
      <c r="P405" s="611"/>
      <c r="Q405" s="611"/>
      <c r="R405" s="611"/>
      <c r="S405" s="611"/>
      <c r="T405" s="643"/>
      <c r="U405" s="611"/>
      <c r="V405" s="611" t="s">
        <v>3049</v>
      </c>
      <c r="W405" s="611"/>
      <c r="X405" s="611"/>
      <c r="Y405" s="611"/>
      <c r="Z405" s="611"/>
      <c r="AA405" s="611"/>
      <c r="AB405" s="643"/>
      <c r="AC405" s="611"/>
      <c r="AD405" s="611"/>
      <c r="AE405" s="611"/>
      <c r="AF405" s="611"/>
      <c r="AG405" s="611"/>
      <c r="AH405" s="611"/>
      <c r="AI405" s="611"/>
      <c r="AJ405" s="611"/>
      <c r="AK405" s="611"/>
      <c r="AL405" s="611"/>
      <c r="AM405" s="643"/>
      <c r="AN405" s="611"/>
      <c r="AO405" s="611"/>
      <c r="AP40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05" s="565">
        <f>WWWW[[#This Row],[%Equitable and continuous access to sufficient quantity of safe drinking water]]*WWWW[[#This Row],[Total PoP ]]</f>
        <v>0</v>
      </c>
      <c r="AR40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5" s="565">
        <f>WWWW[[#This Row],[% Access to unimproved water points]]*WWWW[[#This Row],[Total PoP ]]</f>
        <v>0</v>
      </c>
      <c r="AT40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0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05" s="565">
        <f>WWWW[[#This Row],[HRP1]]/250</f>
        <v>0</v>
      </c>
      <c r="AW405" s="555">
        <f>1-WWWW[[#This Row],[% Equitable and continuous access to sufficient quantity of domestic water]]</f>
        <v>1</v>
      </c>
      <c r="AX405" s="565">
        <f>WWWW[[#This Row],[%equitable and continuous access to sufficient quantity of safe drinking and domestic water''s GAP]]*WWWW[[#This Row],[Total PoP ]]</f>
        <v>314</v>
      </c>
      <c r="AY405" s="557">
        <f>IF(WWWW[[#This Row],[Total required water points]]-WWWW[[#This Row],['#Water points coverage]]&lt;0,0,WWWW[[#This Row],[Total required water points]]-WWWW[[#This Row],['#Water points coverage]])</f>
        <v>1</v>
      </c>
      <c r="AZ405" s="557">
        <f>ROUND(IF(WWWW[[#This Row],[Total PoP ]]&lt;250,1,WWWW[[#This Row],[Total PoP ]]/250),0)</f>
        <v>1</v>
      </c>
      <c r="BA40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05" s="565">
        <f>WWWW[[#This Row],[% people access to functioning Latrine]]*WWWW[[#This Row],[Total PoP ]]</f>
        <v>0</v>
      </c>
      <c r="BC405" s="557">
        <f>WWWW[[#This Row],['#_of_Functioning_latrines_in_school]]*50</f>
        <v>0</v>
      </c>
      <c r="BD405" s="557">
        <f>ROUND((WWWW[[#This Row],[Total PoP ]]/6),0)</f>
        <v>52</v>
      </c>
      <c r="BE405" s="557">
        <f>IF(WWWW[[#This Row],[Total required Latrines]]-(WWWW[[#This Row],['#_of_sanitary_fly-proof_HH_latrines]])&lt;0,0,WWWW[[#This Row],[Total required Latrines]]-(WWWW[[#This Row],['#_of_sanitary_fly-proof_HH_latrines]]))</f>
        <v>52</v>
      </c>
      <c r="BF405" s="558">
        <f>1-WWWW[[#This Row],[% people access to functioning Latrine]]</f>
        <v>1</v>
      </c>
      <c r="BG40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05" s="565">
        <f>IF(WWWW[[#This Row],['#_of_functional_handwashing_facilities_at_HH_level]]*6&gt;WWWW[[#This Row],[Total PoP ]],WWWW[[#This Row],[Total PoP ]],WWWW[[#This Row],['#_of_functional_handwashing_facilities_at_HH_level]]*6)</f>
        <v>0</v>
      </c>
      <c r="BI405" s="557">
        <f>IF(WWWW[[#This Row],['# people reached by regular dedicated hygiene promotion]]&gt;WWWW[[#This Row],['# People received regular supply of hygiene items]],WWWW[[#This Row],['# people reached by regular dedicated hygiene promotion]],WWWW[[#This Row],['# People received regular supply of hygiene items]])</f>
        <v>0</v>
      </c>
      <c r="BJ405" s="555">
        <f>IF(WWWW[[#This Row],[HRP3]]/WWWW[[#This Row],[Total PoP ]]&gt;100%,100%,WWWW[[#This Row],[HRP3]]/WWWW[[#This Row],[Total PoP ]])</f>
        <v>0</v>
      </c>
      <c r="BK405" s="558">
        <f>1-WWWW[[#This Row],[Hygiene Coverage%]]</f>
        <v>1</v>
      </c>
      <c r="BL405" s="556">
        <f>WWWW[[#This Row],['# people reached by regular dedicated hygiene promotion]]/WWWW[[#This Row],[Total PoP ]]</f>
        <v>0</v>
      </c>
      <c r="BM40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5" s="557">
        <f>WWWW[[#This Row],['#_of_affected_women_and_girls_receiving_a_sufficient_quantity_of_sanitary_pads]]</f>
        <v>0</v>
      </c>
      <c r="BO405" s="611">
        <f>IF(WWWW[[#This Row],['# People with access to soap]]&gt;WWWW[[#This Row],['# People with access to Sanity Pads]],WWWW[[#This Row],['# People with access to soap]],WWWW[[#This Row],['# People with access to Sanity Pads]])</f>
        <v>0</v>
      </c>
      <c r="BP405" s="565" t="str">
        <f>IF(OR(WWWW[[#This Row],['#of students in school]]="",WWWW[[#This Row],['#of students in school]]=0),"No","Yes")</f>
        <v>No</v>
      </c>
      <c r="BQ405" s="559" t="str">
        <f>VLOOKUP(WWWW[[#This Row],[Village  Name]],SiteDB6[[Site Name]:[Location Type 1]],9,FALSE)</f>
        <v>Village</v>
      </c>
      <c r="BR405" s="559" t="str">
        <f>VLOOKUP(WWWW[[#This Row],[Village  Name]],SiteDB6[[Site Name]:[Type of Accommodation]],10,FALSE)</f>
        <v>Village</v>
      </c>
      <c r="BS405" s="559" t="str">
        <f>VLOOKUP(WWWW[[#This Row],[Village  Name]],SiteDB6[[Site Name]:[Ethnic or GCA/NGCA]],11,FALSE)</f>
        <v>Rakhine</v>
      </c>
      <c r="BT405" s="559">
        <f>VLOOKUP(WWWW[[#This Row],[Village  Name]],SiteDB6[[Site Name]:[Lat]],12,FALSE)</f>
        <v>20.646560668945298</v>
      </c>
      <c r="BU405" s="559">
        <f>VLOOKUP(WWWW[[#This Row],[Village  Name]],SiteDB6[[Site Name]:[Long]],13,FALSE)</f>
        <v>92.976043701171903</v>
      </c>
      <c r="BV405" s="559">
        <f>VLOOKUP(WWWW[[#This Row],[Village  Name]],SiteDB6[[Site Name]:[Pcode]],3,FALSE)</f>
        <v>196937</v>
      </c>
      <c r="BW405" s="559" t="str">
        <f t="shared" si="15"/>
        <v>Covered</v>
      </c>
      <c r="BX405" s="587"/>
    </row>
    <row r="406" spans="1:76">
      <c r="A406" s="612" t="s">
        <v>2381</v>
      </c>
      <c r="B406" s="612" t="s">
        <v>2540</v>
      </c>
      <c r="C406" s="457" t="s">
        <v>371</v>
      </c>
      <c r="D406" s="457" t="s">
        <v>2541</v>
      </c>
      <c r="E406" s="457" t="s">
        <v>2686</v>
      </c>
      <c r="F406" s="457" t="s">
        <v>321</v>
      </c>
      <c r="G406" s="551" t="str">
        <f>VLOOKUP(WWWW[[#This Row],[Village  Name]],SiteDB6[[Site Name]:[Location Type]],8,FALSE)</f>
        <v>Village</v>
      </c>
      <c r="H406" s="457" t="s">
        <v>2550</v>
      </c>
      <c r="I406" s="611">
        <v>95</v>
      </c>
      <c r="J406" s="611">
        <v>570</v>
      </c>
      <c r="K406" s="461">
        <v>43480</v>
      </c>
      <c r="L406" s="55">
        <v>43723</v>
      </c>
      <c r="M406" s="611"/>
      <c r="N406" s="611"/>
      <c r="O406" s="611"/>
      <c r="P406" s="611"/>
      <c r="Q406" s="611"/>
      <c r="R406" s="611"/>
      <c r="S406" s="611"/>
      <c r="T406" s="643"/>
      <c r="U406" s="611"/>
      <c r="V406" s="611" t="s">
        <v>3049</v>
      </c>
      <c r="W406" s="611"/>
      <c r="X406" s="611"/>
      <c r="Y406" s="611"/>
      <c r="Z406" s="611"/>
      <c r="AA406" s="611"/>
      <c r="AB406" s="643"/>
      <c r="AC406" s="611"/>
      <c r="AD406" s="611"/>
      <c r="AE406" s="611"/>
      <c r="AF406" s="611"/>
      <c r="AG406" s="611"/>
      <c r="AH406" s="611"/>
      <c r="AI406" s="611"/>
      <c r="AJ406" s="611"/>
      <c r="AK406" s="611"/>
      <c r="AL406" s="611"/>
      <c r="AM406" s="643"/>
      <c r="AN406" s="611"/>
      <c r="AO406" s="611"/>
      <c r="AP40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06" s="565">
        <f>WWWW[[#This Row],[%Equitable and continuous access to sufficient quantity of safe drinking water]]*WWWW[[#This Row],[Total PoP ]]</f>
        <v>0</v>
      </c>
      <c r="AR40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6" s="565">
        <f>WWWW[[#This Row],[% Access to unimproved water points]]*WWWW[[#This Row],[Total PoP ]]</f>
        <v>0</v>
      </c>
      <c r="AT40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0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06" s="565">
        <f>WWWW[[#This Row],[HRP1]]/250</f>
        <v>0</v>
      </c>
      <c r="AW406" s="555">
        <f>1-WWWW[[#This Row],[% Equitable and continuous access to sufficient quantity of domestic water]]</f>
        <v>1</v>
      </c>
      <c r="AX406" s="565">
        <f>WWWW[[#This Row],[%equitable and continuous access to sufficient quantity of safe drinking and domestic water''s GAP]]*WWWW[[#This Row],[Total PoP ]]</f>
        <v>570</v>
      </c>
      <c r="AY406" s="557">
        <f>IF(WWWW[[#This Row],[Total required water points]]-WWWW[[#This Row],['#Water points coverage]]&lt;0,0,WWWW[[#This Row],[Total required water points]]-WWWW[[#This Row],['#Water points coverage]])</f>
        <v>2</v>
      </c>
      <c r="AZ406" s="557">
        <f>ROUND(IF(WWWW[[#This Row],[Total PoP ]]&lt;250,1,WWWW[[#This Row],[Total PoP ]]/250),0)</f>
        <v>2</v>
      </c>
      <c r="BA40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06" s="565">
        <f>WWWW[[#This Row],[% people access to functioning Latrine]]*WWWW[[#This Row],[Total PoP ]]</f>
        <v>0</v>
      </c>
      <c r="BC406" s="557">
        <f>WWWW[[#This Row],['#_of_Functioning_latrines_in_school]]*50</f>
        <v>0</v>
      </c>
      <c r="BD406" s="557">
        <f>ROUND((WWWW[[#This Row],[Total PoP ]]/6),0)</f>
        <v>95</v>
      </c>
      <c r="BE406" s="557">
        <f>IF(WWWW[[#This Row],[Total required Latrines]]-(WWWW[[#This Row],['#_of_sanitary_fly-proof_HH_latrines]])&lt;0,0,WWWW[[#This Row],[Total required Latrines]]-(WWWW[[#This Row],['#_of_sanitary_fly-proof_HH_latrines]]))</f>
        <v>95</v>
      </c>
      <c r="BF406" s="558">
        <f>1-WWWW[[#This Row],[% people access to functioning Latrine]]</f>
        <v>1</v>
      </c>
      <c r="BG40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06" s="565">
        <f>IF(WWWW[[#This Row],['#_of_functional_handwashing_facilities_at_HH_level]]*6&gt;WWWW[[#This Row],[Total PoP ]],WWWW[[#This Row],[Total PoP ]],WWWW[[#This Row],['#_of_functional_handwashing_facilities_at_HH_level]]*6)</f>
        <v>0</v>
      </c>
      <c r="BI406" s="557">
        <f>IF(WWWW[[#This Row],['# people reached by regular dedicated hygiene promotion]]&gt;WWWW[[#This Row],['# People received regular supply of hygiene items]],WWWW[[#This Row],['# people reached by regular dedicated hygiene promotion]],WWWW[[#This Row],['# People received regular supply of hygiene items]])</f>
        <v>0</v>
      </c>
      <c r="BJ406" s="555">
        <f>IF(WWWW[[#This Row],[HRP3]]/WWWW[[#This Row],[Total PoP ]]&gt;100%,100%,WWWW[[#This Row],[HRP3]]/WWWW[[#This Row],[Total PoP ]])</f>
        <v>0</v>
      </c>
      <c r="BK406" s="558">
        <f>1-WWWW[[#This Row],[Hygiene Coverage%]]</f>
        <v>1</v>
      </c>
      <c r="BL406" s="556">
        <f>WWWW[[#This Row],['# people reached by regular dedicated hygiene promotion]]/WWWW[[#This Row],[Total PoP ]]</f>
        <v>0</v>
      </c>
      <c r="BM40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6" s="557">
        <f>WWWW[[#This Row],['#_of_affected_women_and_girls_receiving_a_sufficient_quantity_of_sanitary_pads]]</f>
        <v>0</v>
      </c>
      <c r="BO406" s="611">
        <f>IF(WWWW[[#This Row],['# People with access to soap]]&gt;WWWW[[#This Row],['# People with access to Sanity Pads]],WWWW[[#This Row],['# People with access to soap]],WWWW[[#This Row],['# People with access to Sanity Pads]])</f>
        <v>0</v>
      </c>
      <c r="BP406" s="565" t="str">
        <f>IF(OR(WWWW[[#This Row],['#of students in school]]="",WWWW[[#This Row],['#of students in school]]=0),"No","Yes")</f>
        <v>No</v>
      </c>
      <c r="BQ406" s="559" t="str">
        <f>VLOOKUP(WWWW[[#This Row],[Village  Name]],SiteDB6[[Site Name]:[Location Type 1]],9,FALSE)</f>
        <v>Village</v>
      </c>
      <c r="BR406" s="559" t="str">
        <f>VLOOKUP(WWWW[[#This Row],[Village  Name]],SiteDB6[[Site Name]:[Type of Accommodation]],10,FALSE)</f>
        <v>Village</v>
      </c>
      <c r="BS406" s="559" t="str">
        <f>VLOOKUP(WWWW[[#This Row],[Village  Name]],SiteDB6[[Site Name]:[Ethnic or GCA/NGCA]],11,FALSE)</f>
        <v>Muslim</v>
      </c>
      <c r="BT406" s="559">
        <f>VLOOKUP(WWWW[[#This Row],[Village  Name]],SiteDB6[[Site Name]:[Lat]],12,FALSE)</f>
        <v>0</v>
      </c>
      <c r="BU406" s="559">
        <f>VLOOKUP(WWWW[[#This Row],[Village  Name]],SiteDB6[[Site Name]:[Long]],13,FALSE)</f>
        <v>0</v>
      </c>
      <c r="BV406" s="559">
        <f>VLOOKUP(WWWW[[#This Row],[Village  Name]],SiteDB6[[Site Name]:[Pcode]],3,FALSE)</f>
        <v>198427</v>
      </c>
      <c r="BW406" s="559" t="str">
        <f t="shared" si="15"/>
        <v>Covered</v>
      </c>
      <c r="BX406" s="587"/>
    </row>
    <row r="407" spans="1:76">
      <c r="A407" s="612" t="s">
        <v>2381</v>
      </c>
      <c r="B407" s="612" t="s">
        <v>2540</v>
      </c>
      <c r="C407" s="457" t="s">
        <v>371</v>
      </c>
      <c r="D407" s="457" t="s">
        <v>2541</v>
      </c>
      <c r="E407" s="457" t="s">
        <v>2686</v>
      </c>
      <c r="F407" s="457" t="s">
        <v>321</v>
      </c>
      <c r="G407" s="551" t="str">
        <f>VLOOKUP(WWWW[[#This Row],[Village  Name]],SiteDB6[[Site Name]:[Location Type]],8,FALSE)</f>
        <v>Village</v>
      </c>
      <c r="H407" s="457" t="s">
        <v>2549</v>
      </c>
      <c r="I407" s="611">
        <v>8</v>
      </c>
      <c r="J407" s="611">
        <v>42</v>
      </c>
      <c r="K407" s="461">
        <v>43480</v>
      </c>
      <c r="L407" s="55">
        <v>43723</v>
      </c>
      <c r="M407" s="611"/>
      <c r="N407" s="611"/>
      <c r="O407" s="611"/>
      <c r="P407" s="611"/>
      <c r="Q407" s="611"/>
      <c r="R407" s="611"/>
      <c r="S407" s="611"/>
      <c r="T407" s="643"/>
      <c r="U407" s="611"/>
      <c r="V407" s="611" t="s">
        <v>3049</v>
      </c>
      <c r="W407" s="611"/>
      <c r="X407" s="611"/>
      <c r="Y407" s="611"/>
      <c r="Z407" s="611"/>
      <c r="AA407" s="611"/>
      <c r="AB407" s="643"/>
      <c r="AC407" s="611"/>
      <c r="AD407" s="611"/>
      <c r="AE407" s="611"/>
      <c r="AF407" s="611"/>
      <c r="AG407" s="611"/>
      <c r="AH407" s="611"/>
      <c r="AI407" s="611"/>
      <c r="AJ407" s="611"/>
      <c r="AK407" s="611"/>
      <c r="AL407" s="611"/>
      <c r="AM407" s="643"/>
      <c r="AN407" s="611"/>
      <c r="AO407" s="611"/>
      <c r="AP40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07" s="565">
        <f>WWWW[[#This Row],[%Equitable and continuous access to sufficient quantity of safe drinking water]]*WWWW[[#This Row],[Total PoP ]]</f>
        <v>0</v>
      </c>
      <c r="AR40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7" s="565">
        <f>WWWW[[#This Row],[% Access to unimproved water points]]*WWWW[[#This Row],[Total PoP ]]</f>
        <v>0</v>
      </c>
      <c r="AT40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0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07" s="565">
        <f>WWWW[[#This Row],[HRP1]]/250</f>
        <v>0</v>
      </c>
      <c r="AW407" s="555">
        <f>1-WWWW[[#This Row],[% Equitable and continuous access to sufficient quantity of domestic water]]</f>
        <v>1</v>
      </c>
      <c r="AX407" s="565">
        <f>WWWW[[#This Row],[%equitable and continuous access to sufficient quantity of safe drinking and domestic water''s GAP]]*WWWW[[#This Row],[Total PoP ]]</f>
        <v>42</v>
      </c>
      <c r="AY407" s="557">
        <f>IF(WWWW[[#This Row],[Total required water points]]-WWWW[[#This Row],['#Water points coverage]]&lt;0,0,WWWW[[#This Row],[Total required water points]]-WWWW[[#This Row],['#Water points coverage]])</f>
        <v>1</v>
      </c>
      <c r="AZ407" s="557">
        <f>ROUND(IF(WWWW[[#This Row],[Total PoP ]]&lt;250,1,WWWW[[#This Row],[Total PoP ]]/250),0)</f>
        <v>1</v>
      </c>
      <c r="BA40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07" s="565">
        <f>WWWW[[#This Row],[% people access to functioning Latrine]]*WWWW[[#This Row],[Total PoP ]]</f>
        <v>0</v>
      </c>
      <c r="BC407" s="557">
        <f>WWWW[[#This Row],['#_of_Functioning_latrines_in_school]]*50</f>
        <v>0</v>
      </c>
      <c r="BD407" s="557">
        <f>ROUND((WWWW[[#This Row],[Total PoP ]]/6),0)</f>
        <v>7</v>
      </c>
      <c r="BE407" s="557">
        <f>IF(WWWW[[#This Row],[Total required Latrines]]-(WWWW[[#This Row],['#_of_sanitary_fly-proof_HH_latrines]])&lt;0,0,WWWW[[#This Row],[Total required Latrines]]-(WWWW[[#This Row],['#_of_sanitary_fly-proof_HH_latrines]]))</f>
        <v>7</v>
      </c>
      <c r="BF407" s="558">
        <f>1-WWWW[[#This Row],[% people access to functioning Latrine]]</f>
        <v>1</v>
      </c>
      <c r="BG40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07" s="565">
        <f>IF(WWWW[[#This Row],['#_of_functional_handwashing_facilities_at_HH_level]]*6&gt;WWWW[[#This Row],[Total PoP ]],WWWW[[#This Row],[Total PoP ]],WWWW[[#This Row],['#_of_functional_handwashing_facilities_at_HH_level]]*6)</f>
        <v>0</v>
      </c>
      <c r="BI407" s="557">
        <f>IF(WWWW[[#This Row],['# people reached by regular dedicated hygiene promotion]]&gt;WWWW[[#This Row],['# People received regular supply of hygiene items]],WWWW[[#This Row],['# people reached by regular dedicated hygiene promotion]],WWWW[[#This Row],['# People received regular supply of hygiene items]])</f>
        <v>0</v>
      </c>
      <c r="BJ407" s="555">
        <f>IF(WWWW[[#This Row],[HRP3]]/WWWW[[#This Row],[Total PoP ]]&gt;100%,100%,WWWW[[#This Row],[HRP3]]/WWWW[[#This Row],[Total PoP ]])</f>
        <v>0</v>
      </c>
      <c r="BK407" s="558">
        <f>1-WWWW[[#This Row],[Hygiene Coverage%]]</f>
        <v>1</v>
      </c>
      <c r="BL407" s="556">
        <f>WWWW[[#This Row],['# people reached by regular dedicated hygiene promotion]]/WWWW[[#This Row],[Total PoP ]]</f>
        <v>0</v>
      </c>
      <c r="BM40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7" s="557">
        <f>WWWW[[#This Row],['#_of_affected_women_and_girls_receiving_a_sufficient_quantity_of_sanitary_pads]]</f>
        <v>0</v>
      </c>
      <c r="BO407" s="611">
        <f>IF(WWWW[[#This Row],['# People with access to soap]]&gt;WWWW[[#This Row],['# People with access to Sanity Pads]],WWWW[[#This Row],['# People with access to soap]],WWWW[[#This Row],['# People with access to Sanity Pads]])</f>
        <v>0</v>
      </c>
      <c r="BP407" s="565" t="str">
        <f>IF(OR(WWWW[[#This Row],['#of students in school]]="",WWWW[[#This Row],['#of students in school]]=0),"No","Yes")</f>
        <v>No</v>
      </c>
      <c r="BQ407" s="559" t="str">
        <f>VLOOKUP(WWWW[[#This Row],[Village  Name]],SiteDB6[[Site Name]:[Location Type 1]],9,FALSE)</f>
        <v>Village</v>
      </c>
      <c r="BR407" s="559" t="str">
        <f>VLOOKUP(WWWW[[#This Row],[Village  Name]],SiteDB6[[Site Name]:[Type of Accommodation]],10,FALSE)</f>
        <v>Village</v>
      </c>
      <c r="BS407" s="559" t="str">
        <f>VLOOKUP(WWWW[[#This Row],[Village  Name]],SiteDB6[[Site Name]:[Ethnic or GCA/NGCA]],11,FALSE)</f>
        <v>Rakhine</v>
      </c>
      <c r="BT407" s="559">
        <f>VLOOKUP(WWWW[[#This Row],[Village  Name]],SiteDB6[[Site Name]:[Lat]],12,FALSE)</f>
        <v>0</v>
      </c>
      <c r="BU407" s="559">
        <f>VLOOKUP(WWWW[[#This Row],[Village  Name]],SiteDB6[[Site Name]:[Long]],13,FALSE)</f>
        <v>0</v>
      </c>
      <c r="BV407" s="559">
        <f>VLOOKUP(WWWW[[#This Row],[Village  Name]],SiteDB6[[Site Name]:[Pcode]],3,FALSE)</f>
        <v>198426</v>
      </c>
      <c r="BW407" s="559" t="str">
        <f t="shared" si="15"/>
        <v>Covered</v>
      </c>
      <c r="BX407" s="587"/>
    </row>
    <row r="408" spans="1:76">
      <c r="A408" s="612" t="s">
        <v>2381</v>
      </c>
      <c r="B408" s="612" t="s">
        <v>2540</v>
      </c>
      <c r="C408" s="457" t="s">
        <v>371</v>
      </c>
      <c r="D408" s="457" t="s">
        <v>2541</v>
      </c>
      <c r="E408" s="457" t="s">
        <v>2686</v>
      </c>
      <c r="F408" s="457" t="s">
        <v>321</v>
      </c>
      <c r="G408" s="551" t="str">
        <f>VLOOKUP(WWWW[[#This Row],[Village  Name]],SiteDB6[[Site Name]:[Location Type]],8,FALSE)</f>
        <v>Village</v>
      </c>
      <c r="H408" s="457" t="s">
        <v>649</v>
      </c>
      <c r="I408" s="611">
        <v>96</v>
      </c>
      <c r="J408" s="611">
        <v>533</v>
      </c>
      <c r="K408" s="461">
        <v>43480</v>
      </c>
      <c r="L408" s="55">
        <v>43723</v>
      </c>
      <c r="M408" s="611"/>
      <c r="N408" s="611"/>
      <c r="O408" s="611"/>
      <c r="P408" s="611"/>
      <c r="Q408" s="611"/>
      <c r="R408" s="611"/>
      <c r="S408" s="611"/>
      <c r="T408" s="643"/>
      <c r="U408" s="611"/>
      <c r="V408" s="611" t="s">
        <v>3049</v>
      </c>
      <c r="W408" s="611"/>
      <c r="X408" s="611"/>
      <c r="Y408" s="611"/>
      <c r="Z408" s="611"/>
      <c r="AA408" s="611"/>
      <c r="AB408" s="643"/>
      <c r="AC408" s="611"/>
      <c r="AD408" s="611"/>
      <c r="AE408" s="611"/>
      <c r="AF408" s="611"/>
      <c r="AG408" s="611"/>
      <c r="AH408" s="611"/>
      <c r="AI408" s="611"/>
      <c r="AJ408" s="611"/>
      <c r="AK408" s="611"/>
      <c r="AL408" s="611"/>
      <c r="AM408" s="643"/>
      <c r="AN408" s="611"/>
      <c r="AO408" s="611"/>
      <c r="AP40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08" s="565">
        <f>WWWW[[#This Row],[%Equitable and continuous access to sufficient quantity of safe drinking water]]*WWWW[[#This Row],[Total PoP ]]</f>
        <v>0</v>
      </c>
      <c r="AR40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8" s="565">
        <f>WWWW[[#This Row],[% Access to unimproved water points]]*WWWW[[#This Row],[Total PoP ]]</f>
        <v>0</v>
      </c>
      <c r="AT40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0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08" s="565">
        <f>WWWW[[#This Row],[HRP1]]/250</f>
        <v>0</v>
      </c>
      <c r="AW408" s="555">
        <f>1-WWWW[[#This Row],[% Equitable and continuous access to sufficient quantity of domestic water]]</f>
        <v>1</v>
      </c>
      <c r="AX408" s="565">
        <f>WWWW[[#This Row],[%equitable and continuous access to sufficient quantity of safe drinking and domestic water''s GAP]]*WWWW[[#This Row],[Total PoP ]]</f>
        <v>533</v>
      </c>
      <c r="AY408" s="557">
        <f>IF(WWWW[[#This Row],[Total required water points]]-WWWW[[#This Row],['#Water points coverage]]&lt;0,0,WWWW[[#This Row],[Total required water points]]-WWWW[[#This Row],['#Water points coverage]])</f>
        <v>2</v>
      </c>
      <c r="AZ408" s="557">
        <f>ROUND(IF(WWWW[[#This Row],[Total PoP ]]&lt;250,1,WWWW[[#This Row],[Total PoP ]]/250),0)</f>
        <v>2</v>
      </c>
      <c r="BA40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08" s="565">
        <f>WWWW[[#This Row],[% people access to functioning Latrine]]*WWWW[[#This Row],[Total PoP ]]</f>
        <v>0</v>
      </c>
      <c r="BC408" s="557">
        <f>WWWW[[#This Row],['#_of_Functioning_latrines_in_school]]*50</f>
        <v>0</v>
      </c>
      <c r="BD408" s="557">
        <f>ROUND((WWWW[[#This Row],[Total PoP ]]/6),0)</f>
        <v>89</v>
      </c>
      <c r="BE408" s="557">
        <f>IF(WWWW[[#This Row],[Total required Latrines]]-(WWWW[[#This Row],['#_of_sanitary_fly-proof_HH_latrines]])&lt;0,0,WWWW[[#This Row],[Total required Latrines]]-(WWWW[[#This Row],['#_of_sanitary_fly-proof_HH_latrines]]))</f>
        <v>89</v>
      </c>
      <c r="BF408" s="558">
        <f>1-WWWW[[#This Row],[% people access to functioning Latrine]]</f>
        <v>1</v>
      </c>
      <c r="BG40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08" s="565">
        <f>IF(WWWW[[#This Row],['#_of_functional_handwashing_facilities_at_HH_level]]*6&gt;WWWW[[#This Row],[Total PoP ]],WWWW[[#This Row],[Total PoP ]],WWWW[[#This Row],['#_of_functional_handwashing_facilities_at_HH_level]]*6)</f>
        <v>0</v>
      </c>
      <c r="BI408" s="557">
        <f>IF(WWWW[[#This Row],['# people reached by regular dedicated hygiene promotion]]&gt;WWWW[[#This Row],['# People received regular supply of hygiene items]],WWWW[[#This Row],['# people reached by regular dedicated hygiene promotion]],WWWW[[#This Row],['# People received regular supply of hygiene items]])</f>
        <v>0</v>
      </c>
      <c r="BJ408" s="555">
        <f>IF(WWWW[[#This Row],[HRP3]]/WWWW[[#This Row],[Total PoP ]]&gt;100%,100%,WWWW[[#This Row],[HRP3]]/WWWW[[#This Row],[Total PoP ]])</f>
        <v>0</v>
      </c>
      <c r="BK408" s="558">
        <f>1-WWWW[[#This Row],[Hygiene Coverage%]]</f>
        <v>1</v>
      </c>
      <c r="BL408" s="556">
        <f>WWWW[[#This Row],['# people reached by regular dedicated hygiene promotion]]/WWWW[[#This Row],[Total PoP ]]</f>
        <v>0</v>
      </c>
      <c r="BM40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8" s="557">
        <f>WWWW[[#This Row],['#_of_affected_women_and_girls_receiving_a_sufficient_quantity_of_sanitary_pads]]</f>
        <v>0</v>
      </c>
      <c r="BO408" s="611">
        <f>IF(WWWW[[#This Row],['# People with access to soap]]&gt;WWWW[[#This Row],['# People with access to Sanity Pads]],WWWW[[#This Row],['# People with access to soap]],WWWW[[#This Row],['# People with access to Sanity Pads]])</f>
        <v>0</v>
      </c>
      <c r="BP408" s="565" t="str">
        <f>IF(OR(WWWW[[#This Row],['#of students in school]]="",WWWW[[#This Row],['#of students in school]]=0),"No","Yes")</f>
        <v>No</v>
      </c>
      <c r="BQ408" s="559" t="str">
        <f>VLOOKUP(WWWW[[#This Row],[Village  Name]],SiteDB6[[Site Name]:[Location Type 1]],9,FALSE)</f>
        <v>Village</v>
      </c>
      <c r="BR408" s="559" t="str">
        <f>VLOOKUP(WWWW[[#This Row],[Village  Name]],SiteDB6[[Site Name]:[Type of Accommodation]],10,FALSE)</f>
        <v>Village</v>
      </c>
      <c r="BS408" s="559" t="str">
        <f>VLOOKUP(WWWW[[#This Row],[Village  Name]],SiteDB6[[Site Name]:[Ethnic or GCA/NGCA]],11,FALSE)</f>
        <v>Muslim</v>
      </c>
      <c r="BT408" s="559">
        <f>VLOOKUP(WWWW[[#This Row],[Village  Name]],SiteDB6[[Site Name]:[Lat]],12,FALSE)</f>
        <v>0</v>
      </c>
      <c r="BU408" s="559">
        <f>VLOOKUP(WWWW[[#This Row],[Village  Name]],SiteDB6[[Site Name]:[Long]],13,FALSE)</f>
        <v>0</v>
      </c>
      <c r="BV408" s="559">
        <f>VLOOKUP(WWWW[[#This Row],[Village  Name]],SiteDB6[[Site Name]:[Pcode]],3,FALSE)</f>
        <v>198435</v>
      </c>
      <c r="BW408" s="559" t="str">
        <f t="shared" si="15"/>
        <v>Covered</v>
      </c>
      <c r="BX408" s="587"/>
    </row>
    <row r="409" spans="1:76">
      <c r="A409" s="612" t="s">
        <v>2381</v>
      </c>
      <c r="B409" s="612" t="s">
        <v>2540</v>
      </c>
      <c r="C409" s="457" t="s">
        <v>371</v>
      </c>
      <c r="D409" s="457" t="s">
        <v>2541</v>
      </c>
      <c r="E409" s="457" t="s">
        <v>2686</v>
      </c>
      <c r="F409" s="457" t="s">
        <v>321</v>
      </c>
      <c r="G409" s="551" t="str">
        <f>VLOOKUP(WWWW[[#This Row],[Village  Name]],SiteDB6[[Site Name]:[Location Type]],8,FALSE)</f>
        <v>Village</v>
      </c>
      <c r="H409" s="457" t="s">
        <v>2551</v>
      </c>
      <c r="I409" s="611">
        <v>217</v>
      </c>
      <c r="J409" s="611">
        <v>1155</v>
      </c>
      <c r="K409" s="461">
        <v>43480</v>
      </c>
      <c r="L409" s="55">
        <v>43723</v>
      </c>
      <c r="M409" s="611"/>
      <c r="N409" s="611"/>
      <c r="O409" s="611"/>
      <c r="P409" s="611"/>
      <c r="Q409" s="611"/>
      <c r="R409" s="611"/>
      <c r="S409" s="611"/>
      <c r="T409" s="643"/>
      <c r="U409" s="611"/>
      <c r="V409" s="611" t="s">
        <v>3049</v>
      </c>
      <c r="W409" s="611"/>
      <c r="X409" s="611"/>
      <c r="Y409" s="611"/>
      <c r="Z409" s="611"/>
      <c r="AA409" s="611"/>
      <c r="AB409" s="643"/>
      <c r="AC409" s="611"/>
      <c r="AD409" s="611"/>
      <c r="AE409" s="611"/>
      <c r="AF409" s="611"/>
      <c r="AG409" s="611"/>
      <c r="AH409" s="611"/>
      <c r="AI409" s="611"/>
      <c r="AJ409" s="611"/>
      <c r="AK409" s="611"/>
      <c r="AL409" s="611"/>
      <c r="AM409" s="643"/>
      <c r="AN409" s="611"/>
      <c r="AO409" s="611"/>
      <c r="AP40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09" s="565">
        <f>WWWW[[#This Row],[%Equitable and continuous access to sufficient quantity of safe drinking water]]*WWWW[[#This Row],[Total PoP ]]</f>
        <v>0</v>
      </c>
      <c r="AR40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09" s="565">
        <f>WWWW[[#This Row],[% Access to unimproved water points]]*WWWW[[#This Row],[Total PoP ]]</f>
        <v>0</v>
      </c>
      <c r="AT40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0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09" s="565">
        <f>WWWW[[#This Row],[HRP1]]/250</f>
        <v>0</v>
      </c>
      <c r="AW409" s="555">
        <f>1-WWWW[[#This Row],[% Equitable and continuous access to sufficient quantity of domestic water]]</f>
        <v>1</v>
      </c>
      <c r="AX409" s="565">
        <f>WWWW[[#This Row],[%equitable and continuous access to sufficient quantity of safe drinking and domestic water''s GAP]]*WWWW[[#This Row],[Total PoP ]]</f>
        <v>1155</v>
      </c>
      <c r="AY409" s="557">
        <f>IF(WWWW[[#This Row],[Total required water points]]-WWWW[[#This Row],['#Water points coverage]]&lt;0,0,WWWW[[#This Row],[Total required water points]]-WWWW[[#This Row],['#Water points coverage]])</f>
        <v>5</v>
      </c>
      <c r="AZ409" s="557">
        <f>ROUND(IF(WWWW[[#This Row],[Total PoP ]]&lt;250,1,WWWW[[#This Row],[Total PoP ]]/250),0)</f>
        <v>5</v>
      </c>
      <c r="BA40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09" s="565">
        <f>WWWW[[#This Row],[% people access to functioning Latrine]]*WWWW[[#This Row],[Total PoP ]]</f>
        <v>0</v>
      </c>
      <c r="BC409" s="557">
        <f>WWWW[[#This Row],['#_of_Functioning_latrines_in_school]]*50</f>
        <v>0</v>
      </c>
      <c r="BD409" s="557">
        <f>ROUND((WWWW[[#This Row],[Total PoP ]]/6),0)</f>
        <v>193</v>
      </c>
      <c r="BE409" s="557">
        <f>IF(WWWW[[#This Row],[Total required Latrines]]-(WWWW[[#This Row],['#_of_sanitary_fly-proof_HH_latrines]])&lt;0,0,WWWW[[#This Row],[Total required Latrines]]-(WWWW[[#This Row],['#_of_sanitary_fly-proof_HH_latrines]]))</f>
        <v>193</v>
      </c>
      <c r="BF409" s="558">
        <f>1-WWWW[[#This Row],[% people access to functioning Latrine]]</f>
        <v>1</v>
      </c>
      <c r="BG40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09" s="565">
        <f>IF(WWWW[[#This Row],['#_of_functional_handwashing_facilities_at_HH_level]]*6&gt;WWWW[[#This Row],[Total PoP ]],WWWW[[#This Row],[Total PoP ]],WWWW[[#This Row],['#_of_functional_handwashing_facilities_at_HH_level]]*6)</f>
        <v>0</v>
      </c>
      <c r="BI409" s="557">
        <f>IF(WWWW[[#This Row],['# people reached by regular dedicated hygiene promotion]]&gt;WWWW[[#This Row],['# People received regular supply of hygiene items]],WWWW[[#This Row],['# people reached by regular dedicated hygiene promotion]],WWWW[[#This Row],['# People received regular supply of hygiene items]])</f>
        <v>0</v>
      </c>
      <c r="BJ409" s="555">
        <f>IF(WWWW[[#This Row],[HRP3]]/WWWW[[#This Row],[Total PoP ]]&gt;100%,100%,WWWW[[#This Row],[HRP3]]/WWWW[[#This Row],[Total PoP ]])</f>
        <v>0</v>
      </c>
      <c r="BK409" s="558">
        <f>1-WWWW[[#This Row],[Hygiene Coverage%]]</f>
        <v>1</v>
      </c>
      <c r="BL409" s="556">
        <f>WWWW[[#This Row],['# people reached by regular dedicated hygiene promotion]]/WWWW[[#This Row],[Total PoP ]]</f>
        <v>0</v>
      </c>
      <c r="BM40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09" s="557">
        <f>WWWW[[#This Row],['#_of_affected_women_and_girls_receiving_a_sufficient_quantity_of_sanitary_pads]]</f>
        <v>0</v>
      </c>
      <c r="BO409" s="611">
        <f>IF(WWWW[[#This Row],['# People with access to soap]]&gt;WWWW[[#This Row],['# People with access to Sanity Pads]],WWWW[[#This Row],['# People with access to soap]],WWWW[[#This Row],['# People with access to Sanity Pads]])</f>
        <v>0</v>
      </c>
      <c r="BP409" s="565" t="str">
        <f>IF(OR(WWWW[[#This Row],['#of students in school]]="",WWWW[[#This Row],['#of students in school]]=0),"No","Yes")</f>
        <v>No</v>
      </c>
      <c r="BQ409" s="559" t="str">
        <f>VLOOKUP(WWWW[[#This Row],[Village  Name]],SiteDB6[[Site Name]:[Location Type 1]],9,FALSE)</f>
        <v>Village</v>
      </c>
      <c r="BR409" s="559" t="str">
        <f>VLOOKUP(WWWW[[#This Row],[Village  Name]],SiteDB6[[Site Name]:[Type of Accommodation]],10,FALSE)</f>
        <v>Village</v>
      </c>
      <c r="BS409" s="559" t="str">
        <f>VLOOKUP(WWWW[[#This Row],[Village  Name]],SiteDB6[[Site Name]:[Ethnic or GCA/NGCA]],11,FALSE)</f>
        <v>Muslim</v>
      </c>
      <c r="BT409" s="559">
        <f>VLOOKUP(WWWW[[#This Row],[Village  Name]],SiteDB6[[Site Name]:[Lat]],12,FALSE)</f>
        <v>20.703790659999999</v>
      </c>
      <c r="BU409" s="559">
        <f>VLOOKUP(WWWW[[#This Row],[Village  Name]],SiteDB6[[Site Name]:[Long]],13,FALSE)</f>
        <v>92.628463749999995</v>
      </c>
      <c r="BV409" s="559">
        <f>VLOOKUP(WWWW[[#This Row],[Village  Name]],SiteDB6[[Site Name]:[Pcode]],3,FALSE)</f>
        <v>198431</v>
      </c>
      <c r="BW409" s="559" t="str">
        <f t="shared" si="15"/>
        <v>Covered</v>
      </c>
      <c r="BX409" s="587"/>
    </row>
    <row r="410" spans="1:76">
      <c r="A410" s="612" t="s">
        <v>2381</v>
      </c>
      <c r="B410" s="612" t="s">
        <v>2540</v>
      </c>
      <c r="C410" s="457" t="s">
        <v>371</v>
      </c>
      <c r="D410" s="457" t="s">
        <v>2541</v>
      </c>
      <c r="E410" s="457" t="s">
        <v>2686</v>
      </c>
      <c r="F410" s="457" t="s">
        <v>321</v>
      </c>
      <c r="G410" s="551" t="str">
        <f>VLOOKUP(WWWW[[#This Row],[Village  Name]],SiteDB6[[Site Name]:[Location Type]],8,FALSE)</f>
        <v>Village</v>
      </c>
      <c r="H410" s="457" t="s">
        <v>2552</v>
      </c>
      <c r="I410" s="611">
        <v>129</v>
      </c>
      <c r="J410" s="611">
        <v>664</v>
      </c>
      <c r="K410" s="461">
        <v>43480</v>
      </c>
      <c r="L410" s="55">
        <v>43723</v>
      </c>
      <c r="M410" s="611"/>
      <c r="N410" s="611"/>
      <c r="O410" s="611"/>
      <c r="P410" s="611"/>
      <c r="Q410" s="611"/>
      <c r="R410" s="611"/>
      <c r="S410" s="611"/>
      <c r="T410" s="643"/>
      <c r="U410" s="611"/>
      <c r="V410" s="611" t="s">
        <v>3049</v>
      </c>
      <c r="W410" s="611"/>
      <c r="X410" s="611"/>
      <c r="Y410" s="611"/>
      <c r="Z410" s="611"/>
      <c r="AA410" s="611"/>
      <c r="AB410" s="643"/>
      <c r="AC410" s="611"/>
      <c r="AD410" s="611"/>
      <c r="AE410" s="611"/>
      <c r="AF410" s="611"/>
      <c r="AG410" s="611"/>
      <c r="AH410" s="611"/>
      <c r="AI410" s="611"/>
      <c r="AJ410" s="611"/>
      <c r="AK410" s="611"/>
      <c r="AL410" s="611"/>
      <c r="AM410" s="643"/>
      <c r="AN410" s="611"/>
      <c r="AO410" s="611"/>
      <c r="AP41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0" s="565">
        <f>WWWW[[#This Row],[%Equitable and continuous access to sufficient quantity of safe drinking water]]*WWWW[[#This Row],[Total PoP ]]</f>
        <v>0</v>
      </c>
      <c r="AR41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0" s="565">
        <f>WWWW[[#This Row],[% Access to unimproved water points]]*WWWW[[#This Row],[Total PoP ]]</f>
        <v>0</v>
      </c>
      <c r="AT41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0" s="565">
        <f>WWWW[[#This Row],[HRP1]]/250</f>
        <v>0</v>
      </c>
      <c r="AW410" s="555">
        <f>1-WWWW[[#This Row],[% Equitable and continuous access to sufficient quantity of domestic water]]</f>
        <v>1</v>
      </c>
      <c r="AX410" s="565">
        <f>WWWW[[#This Row],[%equitable and continuous access to sufficient quantity of safe drinking and domestic water''s GAP]]*WWWW[[#This Row],[Total PoP ]]</f>
        <v>664</v>
      </c>
      <c r="AY410" s="557">
        <f>IF(WWWW[[#This Row],[Total required water points]]-WWWW[[#This Row],['#Water points coverage]]&lt;0,0,WWWW[[#This Row],[Total required water points]]-WWWW[[#This Row],['#Water points coverage]])</f>
        <v>3</v>
      </c>
      <c r="AZ410" s="557">
        <f>ROUND(IF(WWWW[[#This Row],[Total PoP ]]&lt;250,1,WWWW[[#This Row],[Total PoP ]]/250),0)</f>
        <v>3</v>
      </c>
      <c r="BA41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0" s="565">
        <f>WWWW[[#This Row],[% people access to functioning Latrine]]*WWWW[[#This Row],[Total PoP ]]</f>
        <v>0</v>
      </c>
      <c r="BC410" s="557">
        <f>WWWW[[#This Row],['#_of_Functioning_latrines_in_school]]*50</f>
        <v>0</v>
      </c>
      <c r="BD410" s="557">
        <f>ROUND((WWWW[[#This Row],[Total PoP ]]/6),0)</f>
        <v>111</v>
      </c>
      <c r="BE410" s="557">
        <f>IF(WWWW[[#This Row],[Total required Latrines]]-(WWWW[[#This Row],['#_of_sanitary_fly-proof_HH_latrines]])&lt;0,0,WWWW[[#This Row],[Total required Latrines]]-(WWWW[[#This Row],['#_of_sanitary_fly-proof_HH_latrines]]))</f>
        <v>111</v>
      </c>
      <c r="BF410" s="558">
        <f>1-WWWW[[#This Row],[% people access to functioning Latrine]]</f>
        <v>1</v>
      </c>
      <c r="BG41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0" s="565">
        <f>IF(WWWW[[#This Row],['#_of_functional_handwashing_facilities_at_HH_level]]*6&gt;WWWW[[#This Row],[Total PoP ]],WWWW[[#This Row],[Total PoP ]],WWWW[[#This Row],['#_of_functional_handwashing_facilities_at_HH_level]]*6)</f>
        <v>0</v>
      </c>
      <c r="BI410" s="557">
        <f>IF(WWWW[[#This Row],['# people reached by regular dedicated hygiene promotion]]&gt;WWWW[[#This Row],['# People received regular supply of hygiene items]],WWWW[[#This Row],['# people reached by regular dedicated hygiene promotion]],WWWW[[#This Row],['# People received regular supply of hygiene items]])</f>
        <v>0</v>
      </c>
      <c r="BJ410" s="555">
        <f>IF(WWWW[[#This Row],[HRP3]]/WWWW[[#This Row],[Total PoP ]]&gt;100%,100%,WWWW[[#This Row],[HRP3]]/WWWW[[#This Row],[Total PoP ]])</f>
        <v>0</v>
      </c>
      <c r="BK410" s="558">
        <f>1-WWWW[[#This Row],[Hygiene Coverage%]]</f>
        <v>1</v>
      </c>
      <c r="BL410" s="556">
        <f>WWWW[[#This Row],['# people reached by regular dedicated hygiene promotion]]/WWWW[[#This Row],[Total PoP ]]</f>
        <v>0</v>
      </c>
      <c r="BM41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0" s="557">
        <f>WWWW[[#This Row],['#_of_affected_women_and_girls_receiving_a_sufficient_quantity_of_sanitary_pads]]</f>
        <v>0</v>
      </c>
      <c r="BO410" s="611">
        <f>IF(WWWW[[#This Row],['# People with access to soap]]&gt;WWWW[[#This Row],['# People with access to Sanity Pads]],WWWW[[#This Row],['# People with access to soap]],WWWW[[#This Row],['# People with access to Sanity Pads]])</f>
        <v>0</v>
      </c>
      <c r="BP410" s="565" t="str">
        <f>IF(OR(WWWW[[#This Row],['#of students in school]]="",WWWW[[#This Row],['#of students in school]]=0),"No","Yes")</f>
        <v>No</v>
      </c>
      <c r="BQ410" s="559" t="str">
        <f>VLOOKUP(WWWW[[#This Row],[Village  Name]],SiteDB6[[Site Name]:[Location Type 1]],9,FALSE)</f>
        <v>Village</v>
      </c>
      <c r="BR410" s="559" t="str">
        <f>VLOOKUP(WWWW[[#This Row],[Village  Name]],SiteDB6[[Site Name]:[Type of Accommodation]],10,FALSE)</f>
        <v>Village</v>
      </c>
      <c r="BS410" s="559" t="str">
        <f>VLOOKUP(WWWW[[#This Row],[Village  Name]],SiteDB6[[Site Name]:[Ethnic or GCA/NGCA]],11,FALSE)</f>
        <v>Rakhine</v>
      </c>
      <c r="BT410" s="559">
        <f>VLOOKUP(WWWW[[#This Row],[Village  Name]],SiteDB6[[Site Name]:[Lat]],12,FALSE)</f>
        <v>20.703920360000001</v>
      </c>
      <c r="BU410" s="559">
        <f>VLOOKUP(WWWW[[#This Row],[Village  Name]],SiteDB6[[Site Name]:[Long]],13,FALSE)</f>
        <v>92.631500239999994</v>
      </c>
      <c r="BV410" s="559">
        <f>VLOOKUP(WWWW[[#This Row],[Village  Name]],SiteDB6[[Site Name]:[Pcode]],3,FALSE)</f>
        <v>198428</v>
      </c>
      <c r="BW410" s="559" t="str">
        <f t="shared" si="15"/>
        <v>Covered</v>
      </c>
      <c r="BX410" s="587"/>
    </row>
    <row r="411" spans="1:76">
      <c r="A411" s="612" t="s">
        <v>2381</v>
      </c>
      <c r="B411" s="612" t="s">
        <v>2540</v>
      </c>
      <c r="C411" s="457" t="s">
        <v>371</v>
      </c>
      <c r="D411" s="457" t="s">
        <v>2541</v>
      </c>
      <c r="E411" s="457" t="s">
        <v>2686</v>
      </c>
      <c r="F411" s="457" t="s">
        <v>321</v>
      </c>
      <c r="G411" s="551" t="str">
        <f>VLOOKUP(WWWW[[#This Row],[Village  Name]],SiteDB6[[Site Name]:[Location Type]],8,FALSE)</f>
        <v>Village</v>
      </c>
      <c r="H411" s="457" t="s">
        <v>2542</v>
      </c>
      <c r="I411" s="611">
        <v>171</v>
      </c>
      <c r="J411" s="611">
        <v>908</v>
      </c>
      <c r="K411" s="461">
        <v>43480</v>
      </c>
      <c r="L411" s="55">
        <v>43723</v>
      </c>
      <c r="M411" s="611"/>
      <c r="N411" s="611"/>
      <c r="O411" s="611"/>
      <c r="P411" s="611"/>
      <c r="Q411" s="611"/>
      <c r="R411" s="611"/>
      <c r="S411" s="611"/>
      <c r="T411" s="643"/>
      <c r="U411" s="611"/>
      <c r="V411" s="611" t="s">
        <v>3049</v>
      </c>
      <c r="W411" s="611"/>
      <c r="X411" s="611"/>
      <c r="Y411" s="611"/>
      <c r="Z411" s="611"/>
      <c r="AA411" s="611"/>
      <c r="AB411" s="643"/>
      <c r="AC411" s="611"/>
      <c r="AD411" s="611"/>
      <c r="AE411" s="611"/>
      <c r="AF411" s="611"/>
      <c r="AG411" s="611"/>
      <c r="AH411" s="611"/>
      <c r="AI411" s="611"/>
      <c r="AJ411" s="611"/>
      <c r="AK411" s="611"/>
      <c r="AL411" s="611"/>
      <c r="AM411" s="643"/>
      <c r="AN411" s="611"/>
      <c r="AO411" s="611"/>
      <c r="AP41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1" s="565">
        <f>WWWW[[#This Row],[%Equitable and continuous access to sufficient quantity of safe drinking water]]*WWWW[[#This Row],[Total PoP ]]</f>
        <v>0</v>
      </c>
      <c r="AR41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1" s="565">
        <f>WWWW[[#This Row],[% Access to unimproved water points]]*WWWW[[#This Row],[Total PoP ]]</f>
        <v>0</v>
      </c>
      <c r="AT41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1" s="565">
        <f>WWWW[[#This Row],[HRP1]]/250</f>
        <v>0</v>
      </c>
      <c r="AW411" s="555">
        <f>1-WWWW[[#This Row],[% Equitable and continuous access to sufficient quantity of domestic water]]</f>
        <v>1</v>
      </c>
      <c r="AX411" s="565">
        <f>WWWW[[#This Row],[%equitable and continuous access to sufficient quantity of safe drinking and domestic water''s GAP]]*WWWW[[#This Row],[Total PoP ]]</f>
        <v>908</v>
      </c>
      <c r="AY411" s="557">
        <f>IF(WWWW[[#This Row],[Total required water points]]-WWWW[[#This Row],['#Water points coverage]]&lt;0,0,WWWW[[#This Row],[Total required water points]]-WWWW[[#This Row],['#Water points coverage]])</f>
        <v>4</v>
      </c>
      <c r="AZ411" s="557">
        <f>ROUND(IF(WWWW[[#This Row],[Total PoP ]]&lt;250,1,WWWW[[#This Row],[Total PoP ]]/250),0)</f>
        <v>4</v>
      </c>
      <c r="BA41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1" s="565">
        <f>WWWW[[#This Row],[% people access to functioning Latrine]]*WWWW[[#This Row],[Total PoP ]]</f>
        <v>0</v>
      </c>
      <c r="BC411" s="557">
        <f>WWWW[[#This Row],['#_of_Functioning_latrines_in_school]]*50</f>
        <v>0</v>
      </c>
      <c r="BD411" s="557">
        <f>ROUND((WWWW[[#This Row],[Total PoP ]]/6),0)</f>
        <v>151</v>
      </c>
      <c r="BE411" s="557">
        <f>IF(WWWW[[#This Row],[Total required Latrines]]-(WWWW[[#This Row],['#_of_sanitary_fly-proof_HH_latrines]])&lt;0,0,WWWW[[#This Row],[Total required Latrines]]-(WWWW[[#This Row],['#_of_sanitary_fly-proof_HH_latrines]]))</f>
        <v>151</v>
      </c>
      <c r="BF411" s="558">
        <f>1-WWWW[[#This Row],[% people access to functioning Latrine]]</f>
        <v>1</v>
      </c>
      <c r="BG41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1" s="565">
        <f>IF(WWWW[[#This Row],['#_of_functional_handwashing_facilities_at_HH_level]]*6&gt;WWWW[[#This Row],[Total PoP ]],WWWW[[#This Row],[Total PoP ]],WWWW[[#This Row],['#_of_functional_handwashing_facilities_at_HH_level]]*6)</f>
        <v>0</v>
      </c>
      <c r="BI411" s="557">
        <f>IF(WWWW[[#This Row],['# people reached by regular dedicated hygiene promotion]]&gt;WWWW[[#This Row],['# People received regular supply of hygiene items]],WWWW[[#This Row],['# people reached by regular dedicated hygiene promotion]],WWWW[[#This Row],['# People received regular supply of hygiene items]])</f>
        <v>0</v>
      </c>
      <c r="BJ411" s="555">
        <f>IF(WWWW[[#This Row],[HRP3]]/WWWW[[#This Row],[Total PoP ]]&gt;100%,100%,WWWW[[#This Row],[HRP3]]/WWWW[[#This Row],[Total PoP ]])</f>
        <v>0</v>
      </c>
      <c r="BK411" s="558">
        <f>1-WWWW[[#This Row],[Hygiene Coverage%]]</f>
        <v>1</v>
      </c>
      <c r="BL411" s="556">
        <f>WWWW[[#This Row],['# people reached by regular dedicated hygiene promotion]]/WWWW[[#This Row],[Total PoP ]]</f>
        <v>0</v>
      </c>
      <c r="BM41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1" s="557">
        <f>WWWW[[#This Row],['#_of_affected_women_and_girls_receiving_a_sufficient_quantity_of_sanitary_pads]]</f>
        <v>0</v>
      </c>
      <c r="BO411" s="611">
        <f>IF(WWWW[[#This Row],['# People with access to soap]]&gt;WWWW[[#This Row],['# People with access to Sanity Pads]],WWWW[[#This Row],['# People with access to soap]],WWWW[[#This Row],['# People with access to Sanity Pads]])</f>
        <v>0</v>
      </c>
      <c r="BP411" s="565" t="str">
        <f>IF(OR(WWWW[[#This Row],['#of students in school]]="",WWWW[[#This Row],['#of students in school]]=0),"No","Yes")</f>
        <v>No</v>
      </c>
      <c r="BQ411" s="559" t="str">
        <f>VLOOKUP(WWWW[[#This Row],[Village  Name]],SiteDB6[[Site Name]:[Location Type 1]],9,FALSE)</f>
        <v>Village</v>
      </c>
      <c r="BR411" s="559" t="str">
        <f>VLOOKUP(WWWW[[#This Row],[Village  Name]],SiteDB6[[Site Name]:[Type of Accommodation]],10,FALSE)</f>
        <v>Village</v>
      </c>
      <c r="BS411" s="559" t="str">
        <f>VLOOKUP(WWWW[[#This Row],[Village  Name]],SiteDB6[[Site Name]:[Ethnic or GCA/NGCA]],11,FALSE)</f>
        <v>Muslim</v>
      </c>
      <c r="BT411" s="559">
        <f>VLOOKUP(WWWW[[#This Row],[Village  Name]],SiteDB6[[Site Name]:[Lat]],12,FALSE)</f>
        <v>0</v>
      </c>
      <c r="BU411" s="559">
        <f>VLOOKUP(WWWW[[#This Row],[Village  Name]],SiteDB6[[Site Name]:[Long]],13,FALSE)</f>
        <v>0</v>
      </c>
      <c r="BV411" s="559">
        <f>VLOOKUP(WWWW[[#This Row],[Village  Name]],SiteDB6[[Site Name]:[Pcode]],3,FALSE)</f>
        <v>198350</v>
      </c>
      <c r="BW411" s="559" t="str">
        <f t="shared" si="15"/>
        <v>Covered</v>
      </c>
      <c r="BX411" s="587"/>
    </row>
    <row r="412" spans="1:76">
      <c r="A412" s="612" t="s">
        <v>2381</v>
      </c>
      <c r="B412" s="612" t="s">
        <v>2540</v>
      </c>
      <c r="C412" s="457" t="s">
        <v>371</v>
      </c>
      <c r="D412" s="457" t="s">
        <v>2541</v>
      </c>
      <c r="E412" s="457" t="s">
        <v>2686</v>
      </c>
      <c r="F412" s="457" t="s">
        <v>307</v>
      </c>
      <c r="G412" s="551" t="str">
        <f>VLOOKUP(WWWW[[#This Row],[Village  Name]],SiteDB6[[Site Name]:[Location Type]],8,FALSE)</f>
        <v>Village</v>
      </c>
      <c r="H412" s="457" t="s">
        <v>369</v>
      </c>
      <c r="I412" s="611">
        <v>376</v>
      </c>
      <c r="J412" s="611">
        <v>2392</v>
      </c>
      <c r="K412" s="461">
        <v>43480</v>
      </c>
      <c r="L412" s="55">
        <v>43723</v>
      </c>
      <c r="M412" s="611"/>
      <c r="N412" s="611"/>
      <c r="O412" s="611"/>
      <c r="P412" s="611"/>
      <c r="Q412" s="611"/>
      <c r="R412" s="611"/>
      <c r="S412" s="611"/>
      <c r="T412" s="643"/>
      <c r="U412" s="611"/>
      <c r="V412" s="611" t="s">
        <v>3049</v>
      </c>
      <c r="W412" s="611"/>
      <c r="X412" s="611"/>
      <c r="Y412" s="611"/>
      <c r="Z412" s="611"/>
      <c r="AA412" s="611"/>
      <c r="AB412" s="643"/>
      <c r="AC412" s="611"/>
      <c r="AD412" s="611"/>
      <c r="AE412" s="611"/>
      <c r="AF412" s="611"/>
      <c r="AG412" s="611"/>
      <c r="AH412" s="611"/>
      <c r="AI412" s="611"/>
      <c r="AJ412" s="611"/>
      <c r="AK412" s="611"/>
      <c r="AL412" s="611"/>
      <c r="AM412" s="643"/>
      <c r="AN412" s="611"/>
      <c r="AO412" s="611"/>
      <c r="AP41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2" s="565">
        <f>WWWW[[#This Row],[%Equitable and continuous access to sufficient quantity of safe drinking water]]*WWWW[[#This Row],[Total PoP ]]</f>
        <v>0</v>
      </c>
      <c r="AR41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2" s="565">
        <f>WWWW[[#This Row],[% Access to unimproved water points]]*WWWW[[#This Row],[Total PoP ]]</f>
        <v>0</v>
      </c>
      <c r="AT41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2" s="565">
        <f>WWWW[[#This Row],[HRP1]]/250</f>
        <v>0</v>
      </c>
      <c r="AW412" s="555">
        <f>1-WWWW[[#This Row],[% Equitable and continuous access to sufficient quantity of domestic water]]</f>
        <v>1</v>
      </c>
      <c r="AX412" s="565">
        <f>WWWW[[#This Row],[%equitable and continuous access to sufficient quantity of safe drinking and domestic water''s GAP]]*WWWW[[#This Row],[Total PoP ]]</f>
        <v>2392</v>
      </c>
      <c r="AY412" s="557">
        <f>IF(WWWW[[#This Row],[Total required water points]]-WWWW[[#This Row],['#Water points coverage]]&lt;0,0,WWWW[[#This Row],[Total required water points]]-WWWW[[#This Row],['#Water points coverage]])</f>
        <v>10</v>
      </c>
      <c r="AZ412" s="557">
        <f>ROUND(IF(WWWW[[#This Row],[Total PoP ]]&lt;250,1,WWWW[[#This Row],[Total PoP ]]/250),0)</f>
        <v>10</v>
      </c>
      <c r="BA41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2" s="565">
        <f>WWWW[[#This Row],[% people access to functioning Latrine]]*WWWW[[#This Row],[Total PoP ]]</f>
        <v>0</v>
      </c>
      <c r="BC412" s="557">
        <f>WWWW[[#This Row],['#_of_Functioning_latrines_in_school]]*50</f>
        <v>0</v>
      </c>
      <c r="BD412" s="557">
        <f>ROUND((WWWW[[#This Row],[Total PoP ]]/6),0)</f>
        <v>399</v>
      </c>
      <c r="BE412" s="557">
        <f>IF(WWWW[[#This Row],[Total required Latrines]]-(WWWW[[#This Row],['#_of_sanitary_fly-proof_HH_latrines]])&lt;0,0,WWWW[[#This Row],[Total required Latrines]]-(WWWW[[#This Row],['#_of_sanitary_fly-proof_HH_latrines]]))</f>
        <v>399</v>
      </c>
      <c r="BF412" s="558">
        <f>1-WWWW[[#This Row],[% people access to functioning Latrine]]</f>
        <v>1</v>
      </c>
      <c r="BG41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2" s="565">
        <f>IF(WWWW[[#This Row],['#_of_functional_handwashing_facilities_at_HH_level]]*6&gt;WWWW[[#This Row],[Total PoP ]],WWWW[[#This Row],[Total PoP ]],WWWW[[#This Row],['#_of_functional_handwashing_facilities_at_HH_level]]*6)</f>
        <v>0</v>
      </c>
      <c r="BI412" s="557">
        <f>IF(WWWW[[#This Row],['# people reached by regular dedicated hygiene promotion]]&gt;WWWW[[#This Row],['# People received regular supply of hygiene items]],WWWW[[#This Row],['# people reached by regular dedicated hygiene promotion]],WWWW[[#This Row],['# People received regular supply of hygiene items]])</f>
        <v>0</v>
      </c>
      <c r="BJ412" s="555">
        <f>IF(WWWW[[#This Row],[HRP3]]/WWWW[[#This Row],[Total PoP ]]&gt;100%,100%,WWWW[[#This Row],[HRP3]]/WWWW[[#This Row],[Total PoP ]])</f>
        <v>0</v>
      </c>
      <c r="BK412" s="558">
        <f>1-WWWW[[#This Row],[Hygiene Coverage%]]</f>
        <v>1</v>
      </c>
      <c r="BL412" s="556">
        <f>WWWW[[#This Row],['# people reached by regular dedicated hygiene promotion]]/WWWW[[#This Row],[Total PoP ]]</f>
        <v>0</v>
      </c>
      <c r="BM41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2" s="557">
        <f>WWWW[[#This Row],['#_of_affected_women_and_girls_receiving_a_sufficient_quantity_of_sanitary_pads]]</f>
        <v>0</v>
      </c>
      <c r="BO412" s="611">
        <f>IF(WWWW[[#This Row],['# People with access to soap]]&gt;WWWW[[#This Row],['# People with access to Sanity Pads]],WWWW[[#This Row],['# People with access to soap]],WWWW[[#This Row],['# People with access to Sanity Pads]])</f>
        <v>0</v>
      </c>
      <c r="BP412" s="565" t="str">
        <f>IF(OR(WWWW[[#This Row],['#of students in school]]="",WWWW[[#This Row],['#of students in school]]=0),"No","Yes")</f>
        <v>No</v>
      </c>
      <c r="BQ412" s="559" t="str">
        <f>VLOOKUP(WWWW[[#This Row],[Village  Name]],SiteDB6[[Site Name]:[Location Type 1]],9,FALSE)</f>
        <v>Village</v>
      </c>
      <c r="BR412" s="559" t="str">
        <f>VLOOKUP(WWWW[[#This Row],[Village  Name]],SiteDB6[[Site Name]:[Type of Accommodation]],10,FALSE)</f>
        <v>Relocated</v>
      </c>
      <c r="BS412" s="559" t="str">
        <f>VLOOKUP(WWWW[[#This Row],[Village  Name]],SiteDB6[[Site Name]:[Ethnic or GCA/NGCA]],11,FALSE)</f>
        <v>Rakhine</v>
      </c>
      <c r="BT412" s="559">
        <f>VLOOKUP(WWWW[[#This Row],[Village  Name]],SiteDB6[[Site Name]:[Lat]],12,FALSE)</f>
        <v>19.421102000000001</v>
      </c>
      <c r="BU412" s="559">
        <f>VLOOKUP(WWWW[[#This Row],[Village  Name]],SiteDB6[[Site Name]:[Long]],13,FALSE)</f>
        <v>93.552452000000002</v>
      </c>
      <c r="BV412" s="559" t="str">
        <f>VLOOKUP(WWWW[[#This Row],[Village  Name]],SiteDB6[[Site Name]:[Pcode]],3,FALSE)</f>
        <v>MMR012CMP036</v>
      </c>
      <c r="BW412" s="559" t="str">
        <f t="shared" si="15"/>
        <v>Covered</v>
      </c>
      <c r="BX412" s="587"/>
    </row>
    <row r="413" spans="1:76">
      <c r="A413" s="612" t="s">
        <v>2381</v>
      </c>
      <c r="B413" s="612" t="s">
        <v>2540</v>
      </c>
      <c r="C413" s="457" t="s">
        <v>371</v>
      </c>
      <c r="D413" s="457" t="s">
        <v>2541</v>
      </c>
      <c r="E413" s="457" t="s">
        <v>2686</v>
      </c>
      <c r="F413" s="457" t="s">
        <v>307</v>
      </c>
      <c r="G413" s="551" t="str">
        <f>VLOOKUP(WWWW[[#This Row],[Village  Name]],SiteDB6[[Site Name]:[Location Type]],8,FALSE)</f>
        <v>Village</v>
      </c>
      <c r="H413" s="457" t="s">
        <v>2562</v>
      </c>
      <c r="I413" s="611">
        <v>145</v>
      </c>
      <c r="J413" s="611">
        <v>702</v>
      </c>
      <c r="K413" s="461">
        <v>43480</v>
      </c>
      <c r="L413" s="55">
        <v>43723</v>
      </c>
      <c r="M413" s="611"/>
      <c r="N413" s="611"/>
      <c r="O413" s="611"/>
      <c r="P413" s="611"/>
      <c r="Q413" s="611"/>
      <c r="R413" s="611"/>
      <c r="S413" s="611"/>
      <c r="T413" s="643"/>
      <c r="U413" s="611"/>
      <c r="V413" s="611" t="s">
        <v>3049</v>
      </c>
      <c r="W413" s="611"/>
      <c r="X413" s="611"/>
      <c r="Y413" s="611"/>
      <c r="Z413" s="611"/>
      <c r="AA413" s="611"/>
      <c r="AB413" s="643"/>
      <c r="AC413" s="611"/>
      <c r="AD413" s="611"/>
      <c r="AE413" s="611"/>
      <c r="AF413" s="611"/>
      <c r="AG413" s="611"/>
      <c r="AH413" s="611"/>
      <c r="AI413" s="611"/>
      <c r="AJ413" s="611"/>
      <c r="AK413" s="611"/>
      <c r="AL413" s="611"/>
      <c r="AM413" s="643"/>
      <c r="AN413" s="611"/>
      <c r="AO413" s="611"/>
      <c r="AP41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3" s="565">
        <f>WWWW[[#This Row],[%Equitable and continuous access to sufficient quantity of safe drinking water]]*WWWW[[#This Row],[Total PoP ]]</f>
        <v>0</v>
      </c>
      <c r="AR41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3" s="565">
        <f>WWWW[[#This Row],[% Access to unimproved water points]]*WWWW[[#This Row],[Total PoP ]]</f>
        <v>0</v>
      </c>
      <c r="AT41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3" s="565">
        <f>WWWW[[#This Row],[HRP1]]/250</f>
        <v>0</v>
      </c>
      <c r="AW413" s="555">
        <f>1-WWWW[[#This Row],[% Equitable and continuous access to sufficient quantity of domestic water]]</f>
        <v>1</v>
      </c>
      <c r="AX413" s="565">
        <f>WWWW[[#This Row],[%equitable and continuous access to sufficient quantity of safe drinking and domestic water''s GAP]]*WWWW[[#This Row],[Total PoP ]]</f>
        <v>702</v>
      </c>
      <c r="AY413" s="557">
        <f>IF(WWWW[[#This Row],[Total required water points]]-WWWW[[#This Row],['#Water points coverage]]&lt;0,0,WWWW[[#This Row],[Total required water points]]-WWWW[[#This Row],['#Water points coverage]])</f>
        <v>3</v>
      </c>
      <c r="AZ413" s="557">
        <f>ROUND(IF(WWWW[[#This Row],[Total PoP ]]&lt;250,1,WWWW[[#This Row],[Total PoP ]]/250),0)</f>
        <v>3</v>
      </c>
      <c r="BA41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3" s="565">
        <f>WWWW[[#This Row],[% people access to functioning Latrine]]*WWWW[[#This Row],[Total PoP ]]</f>
        <v>0</v>
      </c>
      <c r="BC413" s="557">
        <f>WWWW[[#This Row],['#_of_Functioning_latrines_in_school]]*50</f>
        <v>0</v>
      </c>
      <c r="BD413" s="557">
        <f>ROUND((WWWW[[#This Row],[Total PoP ]]/6),0)</f>
        <v>117</v>
      </c>
      <c r="BE413" s="557">
        <f>IF(WWWW[[#This Row],[Total required Latrines]]-(WWWW[[#This Row],['#_of_sanitary_fly-proof_HH_latrines]])&lt;0,0,WWWW[[#This Row],[Total required Latrines]]-(WWWW[[#This Row],['#_of_sanitary_fly-proof_HH_latrines]]))</f>
        <v>117</v>
      </c>
      <c r="BF413" s="558">
        <f>1-WWWW[[#This Row],[% people access to functioning Latrine]]</f>
        <v>1</v>
      </c>
      <c r="BG41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3" s="565">
        <f>IF(WWWW[[#This Row],['#_of_functional_handwashing_facilities_at_HH_level]]*6&gt;WWWW[[#This Row],[Total PoP ]],WWWW[[#This Row],[Total PoP ]],WWWW[[#This Row],['#_of_functional_handwashing_facilities_at_HH_level]]*6)</f>
        <v>0</v>
      </c>
      <c r="BI413" s="557">
        <f>IF(WWWW[[#This Row],['# people reached by regular dedicated hygiene promotion]]&gt;WWWW[[#This Row],['# People received regular supply of hygiene items]],WWWW[[#This Row],['# people reached by regular dedicated hygiene promotion]],WWWW[[#This Row],['# People received regular supply of hygiene items]])</f>
        <v>0</v>
      </c>
      <c r="BJ413" s="555">
        <f>IF(WWWW[[#This Row],[HRP3]]/WWWW[[#This Row],[Total PoP ]]&gt;100%,100%,WWWW[[#This Row],[HRP3]]/WWWW[[#This Row],[Total PoP ]])</f>
        <v>0</v>
      </c>
      <c r="BK413" s="558">
        <f>1-WWWW[[#This Row],[Hygiene Coverage%]]</f>
        <v>1</v>
      </c>
      <c r="BL413" s="556">
        <f>WWWW[[#This Row],['# people reached by regular dedicated hygiene promotion]]/WWWW[[#This Row],[Total PoP ]]</f>
        <v>0</v>
      </c>
      <c r="BM41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3" s="557">
        <f>WWWW[[#This Row],['#_of_affected_women_and_girls_receiving_a_sufficient_quantity_of_sanitary_pads]]</f>
        <v>0</v>
      </c>
      <c r="BO413" s="611">
        <f>IF(WWWW[[#This Row],['# People with access to soap]]&gt;WWWW[[#This Row],['# People with access to Sanity Pads]],WWWW[[#This Row],['# People with access to soap]],WWWW[[#This Row],['# People with access to Sanity Pads]])</f>
        <v>0</v>
      </c>
      <c r="BP413" s="565" t="str">
        <f>IF(OR(WWWW[[#This Row],['#of students in school]]="",WWWW[[#This Row],['#of students in school]]=0),"No","Yes")</f>
        <v>No</v>
      </c>
      <c r="BQ413" s="559" t="str">
        <f>VLOOKUP(WWWW[[#This Row],[Village  Name]],SiteDB6[[Site Name]:[Location Type 1]],9,FALSE)</f>
        <v>Village</v>
      </c>
      <c r="BR413" s="559" t="str">
        <f>VLOOKUP(WWWW[[#This Row],[Village  Name]],SiteDB6[[Site Name]:[Type of Accommodation]],10,FALSE)</f>
        <v>Village</v>
      </c>
      <c r="BS413" s="559" t="str">
        <f>VLOOKUP(WWWW[[#This Row],[Village  Name]],SiteDB6[[Site Name]:[Ethnic or GCA/NGCA]],11,FALSE)</f>
        <v>Muslim</v>
      </c>
      <c r="BT413" s="559">
        <f>VLOOKUP(WWWW[[#This Row],[Village  Name]],SiteDB6[[Site Name]:[Lat]],12,FALSE)</f>
        <v>0</v>
      </c>
      <c r="BU413" s="559">
        <f>VLOOKUP(WWWW[[#This Row],[Village  Name]],SiteDB6[[Site Name]:[Long]],13,FALSE)</f>
        <v>0</v>
      </c>
      <c r="BV413" s="559">
        <f>VLOOKUP(WWWW[[#This Row],[Village  Name]],SiteDB6[[Site Name]:[Pcode]],3,FALSE)</f>
        <v>0</v>
      </c>
      <c r="BW413" s="559" t="str">
        <f t="shared" si="15"/>
        <v>Covered</v>
      </c>
      <c r="BX413" s="587"/>
    </row>
    <row r="414" spans="1:76">
      <c r="A414" s="612" t="s">
        <v>2381</v>
      </c>
      <c r="B414" s="612" t="s">
        <v>2540</v>
      </c>
      <c r="C414" s="457" t="s">
        <v>371</v>
      </c>
      <c r="D414" s="457" t="s">
        <v>2541</v>
      </c>
      <c r="E414" s="457" t="s">
        <v>2686</v>
      </c>
      <c r="F414" s="457" t="s">
        <v>321</v>
      </c>
      <c r="G414" s="551" t="str">
        <f>VLOOKUP(WWWW[[#This Row],[Village  Name]],SiteDB6[[Site Name]:[Location Type]],8,FALSE)</f>
        <v>Village</v>
      </c>
      <c r="H414" s="457" t="s">
        <v>611</v>
      </c>
      <c r="I414" s="611">
        <v>22</v>
      </c>
      <c r="J414" s="611">
        <v>100</v>
      </c>
      <c r="K414" s="461">
        <v>43480</v>
      </c>
      <c r="L414" s="55">
        <v>43723</v>
      </c>
      <c r="M414" s="611"/>
      <c r="N414" s="611"/>
      <c r="O414" s="611"/>
      <c r="P414" s="611"/>
      <c r="Q414" s="611"/>
      <c r="R414" s="611"/>
      <c r="S414" s="611"/>
      <c r="T414" s="643"/>
      <c r="U414" s="611"/>
      <c r="V414" s="611" t="s">
        <v>3049</v>
      </c>
      <c r="W414" s="611"/>
      <c r="X414" s="611"/>
      <c r="Y414" s="611"/>
      <c r="Z414" s="611"/>
      <c r="AA414" s="611"/>
      <c r="AB414" s="643"/>
      <c r="AC414" s="611"/>
      <c r="AD414" s="611"/>
      <c r="AE414" s="611"/>
      <c r="AF414" s="611"/>
      <c r="AG414" s="611"/>
      <c r="AH414" s="611"/>
      <c r="AI414" s="611"/>
      <c r="AJ414" s="611"/>
      <c r="AK414" s="611"/>
      <c r="AL414" s="611"/>
      <c r="AM414" s="643"/>
      <c r="AN414" s="611"/>
      <c r="AO414" s="611"/>
      <c r="AP41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4" s="565">
        <f>WWWW[[#This Row],[%Equitable and continuous access to sufficient quantity of safe drinking water]]*WWWW[[#This Row],[Total PoP ]]</f>
        <v>0</v>
      </c>
      <c r="AR41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4" s="565">
        <f>WWWW[[#This Row],[% Access to unimproved water points]]*WWWW[[#This Row],[Total PoP ]]</f>
        <v>0</v>
      </c>
      <c r="AT41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4" s="565">
        <f>WWWW[[#This Row],[HRP1]]/250</f>
        <v>0</v>
      </c>
      <c r="AW414" s="555">
        <f>1-WWWW[[#This Row],[% Equitable and continuous access to sufficient quantity of domestic water]]</f>
        <v>1</v>
      </c>
      <c r="AX414" s="565">
        <f>WWWW[[#This Row],[%equitable and continuous access to sufficient quantity of safe drinking and domestic water''s GAP]]*WWWW[[#This Row],[Total PoP ]]</f>
        <v>100</v>
      </c>
      <c r="AY414" s="557">
        <f>IF(WWWW[[#This Row],[Total required water points]]-WWWW[[#This Row],['#Water points coverage]]&lt;0,0,WWWW[[#This Row],[Total required water points]]-WWWW[[#This Row],['#Water points coverage]])</f>
        <v>1</v>
      </c>
      <c r="AZ414" s="557">
        <f>ROUND(IF(WWWW[[#This Row],[Total PoP ]]&lt;250,1,WWWW[[#This Row],[Total PoP ]]/250),0)</f>
        <v>1</v>
      </c>
      <c r="BA41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4" s="565">
        <f>WWWW[[#This Row],[% people access to functioning Latrine]]*WWWW[[#This Row],[Total PoP ]]</f>
        <v>0</v>
      </c>
      <c r="BC414" s="557">
        <f>WWWW[[#This Row],['#_of_Functioning_latrines_in_school]]*50</f>
        <v>0</v>
      </c>
      <c r="BD414" s="557">
        <f>ROUND((WWWW[[#This Row],[Total PoP ]]/6),0)</f>
        <v>17</v>
      </c>
      <c r="BE414" s="557">
        <f>IF(WWWW[[#This Row],[Total required Latrines]]-(WWWW[[#This Row],['#_of_sanitary_fly-proof_HH_latrines]])&lt;0,0,WWWW[[#This Row],[Total required Latrines]]-(WWWW[[#This Row],['#_of_sanitary_fly-proof_HH_latrines]]))</f>
        <v>17</v>
      </c>
      <c r="BF414" s="558">
        <f>1-WWWW[[#This Row],[% people access to functioning Latrine]]</f>
        <v>1</v>
      </c>
      <c r="BG41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4" s="565">
        <f>IF(WWWW[[#This Row],['#_of_functional_handwashing_facilities_at_HH_level]]*6&gt;WWWW[[#This Row],[Total PoP ]],WWWW[[#This Row],[Total PoP ]],WWWW[[#This Row],['#_of_functional_handwashing_facilities_at_HH_level]]*6)</f>
        <v>0</v>
      </c>
      <c r="BI414" s="557">
        <f>IF(WWWW[[#This Row],['# people reached by regular dedicated hygiene promotion]]&gt;WWWW[[#This Row],['# People received regular supply of hygiene items]],WWWW[[#This Row],['# people reached by regular dedicated hygiene promotion]],WWWW[[#This Row],['# People received regular supply of hygiene items]])</f>
        <v>0</v>
      </c>
      <c r="BJ414" s="555">
        <f>IF(WWWW[[#This Row],[HRP3]]/WWWW[[#This Row],[Total PoP ]]&gt;100%,100%,WWWW[[#This Row],[HRP3]]/WWWW[[#This Row],[Total PoP ]])</f>
        <v>0</v>
      </c>
      <c r="BK414" s="558">
        <f>1-WWWW[[#This Row],[Hygiene Coverage%]]</f>
        <v>1</v>
      </c>
      <c r="BL414" s="556">
        <f>WWWW[[#This Row],['# people reached by regular dedicated hygiene promotion]]/WWWW[[#This Row],[Total PoP ]]</f>
        <v>0</v>
      </c>
      <c r="BM41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4" s="557">
        <f>WWWW[[#This Row],['#_of_affected_women_and_girls_receiving_a_sufficient_quantity_of_sanitary_pads]]</f>
        <v>0</v>
      </c>
      <c r="BO414" s="611">
        <f>IF(WWWW[[#This Row],['# People with access to soap]]&gt;WWWW[[#This Row],['# People with access to Sanity Pads]],WWWW[[#This Row],['# People with access to soap]],WWWW[[#This Row],['# People with access to Sanity Pads]])</f>
        <v>0</v>
      </c>
      <c r="BP414" s="565" t="str">
        <f>IF(OR(WWWW[[#This Row],['#of students in school]]="",WWWW[[#This Row],['#of students in school]]=0),"No","Yes")</f>
        <v>No</v>
      </c>
      <c r="BQ414" s="559" t="str">
        <f>VLOOKUP(WWWW[[#This Row],[Village  Name]],SiteDB6[[Site Name]:[Location Type 1]],9,FALSE)</f>
        <v>Village</v>
      </c>
      <c r="BR414" s="559" t="str">
        <f>VLOOKUP(WWWW[[#This Row],[Village  Name]],SiteDB6[[Site Name]:[Type of Accommodation]],10,FALSE)</f>
        <v>Village</v>
      </c>
      <c r="BS414" s="559" t="str">
        <f>VLOOKUP(WWWW[[#This Row],[Village  Name]],SiteDB6[[Site Name]:[Ethnic or GCA/NGCA]],11,FALSE)</f>
        <v>Rakhine</v>
      </c>
      <c r="BT414" s="559">
        <f>VLOOKUP(WWWW[[#This Row],[Village  Name]],SiteDB6[[Site Name]:[Lat]],12,FALSE)</f>
        <v>20.80558014</v>
      </c>
      <c r="BU414" s="559">
        <f>VLOOKUP(WWWW[[#This Row],[Village  Name]],SiteDB6[[Site Name]:[Long]],13,FALSE)</f>
        <v>92.549842830000003</v>
      </c>
      <c r="BV414" s="559">
        <f>VLOOKUP(WWWW[[#This Row],[Village  Name]],SiteDB6[[Site Name]:[Pcode]],3,FALSE)</f>
        <v>198336</v>
      </c>
      <c r="BW414" s="559" t="str">
        <f t="shared" si="15"/>
        <v>Covered</v>
      </c>
      <c r="BX414" s="587"/>
    </row>
    <row r="415" spans="1:76">
      <c r="A415" s="612" t="s">
        <v>2381</v>
      </c>
      <c r="B415" s="612" t="s">
        <v>2540</v>
      </c>
      <c r="C415" s="457" t="s">
        <v>371</v>
      </c>
      <c r="D415" s="457" t="s">
        <v>2541</v>
      </c>
      <c r="E415" s="457" t="s">
        <v>2686</v>
      </c>
      <c r="F415" s="457" t="s">
        <v>321</v>
      </c>
      <c r="G415" s="551" t="str">
        <f>VLOOKUP(WWWW[[#This Row],[Village  Name]],SiteDB6[[Site Name]:[Location Type]],8,FALSE)</f>
        <v>Village</v>
      </c>
      <c r="H415" s="457" t="s">
        <v>2558</v>
      </c>
      <c r="I415" s="611">
        <v>18</v>
      </c>
      <c r="J415" s="611">
        <v>85</v>
      </c>
      <c r="K415" s="461">
        <v>43480</v>
      </c>
      <c r="L415" s="55">
        <v>43723</v>
      </c>
      <c r="M415" s="611"/>
      <c r="N415" s="611"/>
      <c r="O415" s="611"/>
      <c r="P415" s="611"/>
      <c r="Q415" s="611"/>
      <c r="R415" s="611"/>
      <c r="S415" s="611"/>
      <c r="T415" s="643"/>
      <c r="U415" s="611"/>
      <c r="V415" s="611" t="s">
        <v>3049</v>
      </c>
      <c r="W415" s="611"/>
      <c r="X415" s="611"/>
      <c r="Y415" s="611"/>
      <c r="Z415" s="611"/>
      <c r="AA415" s="611"/>
      <c r="AB415" s="643"/>
      <c r="AC415" s="611"/>
      <c r="AD415" s="611"/>
      <c r="AE415" s="611"/>
      <c r="AF415" s="611"/>
      <c r="AG415" s="611"/>
      <c r="AH415" s="611"/>
      <c r="AI415" s="611"/>
      <c r="AJ415" s="611"/>
      <c r="AK415" s="611"/>
      <c r="AL415" s="611"/>
      <c r="AM415" s="643"/>
      <c r="AN415" s="611"/>
      <c r="AO415" s="611"/>
      <c r="AP41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5" s="565">
        <f>WWWW[[#This Row],[%Equitable and continuous access to sufficient quantity of safe drinking water]]*WWWW[[#This Row],[Total PoP ]]</f>
        <v>0</v>
      </c>
      <c r="AR41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5" s="565">
        <f>WWWW[[#This Row],[% Access to unimproved water points]]*WWWW[[#This Row],[Total PoP ]]</f>
        <v>0</v>
      </c>
      <c r="AT41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5" s="565">
        <f>WWWW[[#This Row],[HRP1]]/250</f>
        <v>0</v>
      </c>
      <c r="AW415" s="555">
        <f>1-WWWW[[#This Row],[% Equitable and continuous access to sufficient quantity of domestic water]]</f>
        <v>1</v>
      </c>
      <c r="AX415" s="565">
        <f>WWWW[[#This Row],[%equitable and continuous access to sufficient quantity of safe drinking and domestic water''s GAP]]*WWWW[[#This Row],[Total PoP ]]</f>
        <v>85</v>
      </c>
      <c r="AY415" s="557">
        <f>IF(WWWW[[#This Row],[Total required water points]]-WWWW[[#This Row],['#Water points coverage]]&lt;0,0,WWWW[[#This Row],[Total required water points]]-WWWW[[#This Row],['#Water points coverage]])</f>
        <v>1</v>
      </c>
      <c r="AZ415" s="557">
        <f>ROUND(IF(WWWW[[#This Row],[Total PoP ]]&lt;250,1,WWWW[[#This Row],[Total PoP ]]/250),0)</f>
        <v>1</v>
      </c>
      <c r="BA41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5" s="565">
        <f>WWWW[[#This Row],[% people access to functioning Latrine]]*WWWW[[#This Row],[Total PoP ]]</f>
        <v>0</v>
      </c>
      <c r="BC415" s="557">
        <f>WWWW[[#This Row],['#_of_Functioning_latrines_in_school]]*50</f>
        <v>0</v>
      </c>
      <c r="BD415" s="557">
        <f>ROUND((WWWW[[#This Row],[Total PoP ]]/6),0)</f>
        <v>14</v>
      </c>
      <c r="BE415" s="557">
        <f>IF(WWWW[[#This Row],[Total required Latrines]]-(WWWW[[#This Row],['#_of_sanitary_fly-proof_HH_latrines]])&lt;0,0,WWWW[[#This Row],[Total required Latrines]]-(WWWW[[#This Row],['#_of_sanitary_fly-proof_HH_latrines]]))</f>
        <v>14</v>
      </c>
      <c r="BF415" s="558">
        <f>1-WWWW[[#This Row],[% people access to functioning Latrine]]</f>
        <v>1</v>
      </c>
      <c r="BG41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5" s="565">
        <f>IF(WWWW[[#This Row],['#_of_functional_handwashing_facilities_at_HH_level]]*6&gt;WWWW[[#This Row],[Total PoP ]],WWWW[[#This Row],[Total PoP ]],WWWW[[#This Row],['#_of_functional_handwashing_facilities_at_HH_level]]*6)</f>
        <v>0</v>
      </c>
      <c r="BI415" s="557">
        <f>IF(WWWW[[#This Row],['# people reached by regular dedicated hygiene promotion]]&gt;WWWW[[#This Row],['# People received regular supply of hygiene items]],WWWW[[#This Row],['# people reached by regular dedicated hygiene promotion]],WWWW[[#This Row],['# People received regular supply of hygiene items]])</f>
        <v>0</v>
      </c>
      <c r="BJ415" s="555">
        <f>IF(WWWW[[#This Row],[HRP3]]/WWWW[[#This Row],[Total PoP ]]&gt;100%,100%,WWWW[[#This Row],[HRP3]]/WWWW[[#This Row],[Total PoP ]])</f>
        <v>0</v>
      </c>
      <c r="BK415" s="558">
        <f>1-WWWW[[#This Row],[Hygiene Coverage%]]</f>
        <v>1</v>
      </c>
      <c r="BL415" s="556">
        <f>WWWW[[#This Row],['# people reached by regular dedicated hygiene promotion]]/WWWW[[#This Row],[Total PoP ]]</f>
        <v>0</v>
      </c>
      <c r="BM41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5" s="557">
        <f>WWWW[[#This Row],['#_of_affected_women_and_girls_receiving_a_sufficient_quantity_of_sanitary_pads]]</f>
        <v>0</v>
      </c>
      <c r="BO415" s="611">
        <f>IF(WWWW[[#This Row],['# People with access to soap]]&gt;WWWW[[#This Row],['# People with access to Sanity Pads]],WWWW[[#This Row],['# People with access to soap]],WWWW[[#This Row],['# People with access to Sanity Pads]])</f>
        <v>0</v>
      </c>
      <c r="BP415" s="565" t="str">
        <f>IF(OR(WWWW[[#This Row],['#of students in school]]="",WWWW[[#This Row],['#of students in school]]=0),"No","Yes")</f>
        <v>No</v>
      </c>
      <c r="BQ415" s="559" t="str">
        <f>VLOOKUP(WWWW[[#This Row],[Village  Name]],SiteDB6[[Site Name]:[Location Type 1]],9,FALSE)</f>
        <v>Village</v>
      </c>
      <c r="BR415" s="559" t="str">
        <f>VLOOKUP(WWWW[[#This Row],[Village  Name]],SiteDB6[[Site Name]:[Type of Accommodation]],10,FALSE)</f>
        <v>Village</v>
      </c>
      <c r="BS415" s="559" t="str">
        <f>VLOOKUP(WWWW[[#This Row],[Village  Name]],SiteDB6[[Site Name]:[Ethnic or GCA/NGCA]],11,FALSE)</f>
        <v>Rakhine</v>
      </c>
      <c r="BT415" s="559">
        <f>VLOOKUP(WWWW[[#This Row],[Village  Name]],SiteDB6[[Site Name]:[Lat]],12,FALSE)</f>
        <v>20.892290119999998</v>
      </c>
      <c r="BU415" s="559">
        <f>VLOOKUP(WWWW[[#This Row],[Village  Name]],SiteDB6[[Site Name]:[Long]],13,FALSE)</f>
        <v>92.550079350000004</v>
      </c>
      <c r="BV415" s="559">
        <f>VLOOKUP(WWWW[[#This Row],[Village  Name]],SiteDB6[[Site Name]:[Pcode]],3,FALSE)</f>
        <v>198303</v>
      </c>
      <c r="BW415" s="559" t="str">
        <f t="shared" si="15"/>
        <v>Covered</v>
      </c>
      <c r="BX415" s="587"/>
    </row>
    <row r="416" spans="1:76">
      <c r="A416" s="612" t="s">
        <v>2381</v>
      </c>
      <c r="B416" s="612" t="s">
        <v>2540</v>
      </c>
      <c r="C416" s="457" t="s">
        <v>371</v>
      </c>
      <c r="D416" s="457" t="s">
        <v>2541</v>
      </c>
      <c r="E416" s="457" t="s">
        <v>2686</v>
      </c>
      <c r="F416" s="457" t="s">
        <v>321</v>
      </c>
      <c r="G416" s="551" t="str">
        <f>VLOOKUP(WWWW[[#This Row],[Village  Name]],SiteDB6[[Site Name]:[Location Type]],8,FALSE)</f>
        <v>Village</v>
      </c>
      <c r="H416" s="457" t="s">
        <v>2555</v>
      </c>
      <c r="I416" s="611">
        <v>162</v>
      </c>
      <c r="J416" s="611">
        <v>927</v>
      </c>
      <c r="K416" s="461">
        <v>43480</v>
      </c>
      <c r="L416" s="55">
        <v>43723</v>
      </c>
      <c r="M416" s="611"/>
      <c r="N416" s="611"/>
      <c r="O416" s="611"/>
      <c r="P416" s="611"/>
      <c r="Q416" s="611"/>
      <c r="R416" s="611"/>
      <c r="S416" s="611"/>
      <c r="T416" s="643"/>
      <c r="U416" s="611"/>
      <c r="V416" s="611" t="s">
        <v>3049</v>
      </c>
      <c r="W416" s="611"/>
      <c r="X416" s="611"/>
      <c r="Y416" s="611"/>
      <c r="Z416" s="611"/>
      <c r="AA416" s="611"/>
      <c r="AB416" s="643"/>
      <c r="AC416" s="611"/>
      <c r="AD416" s="611"/>
      <c r="AE416" s="611"/>
      <c r="AF416" s="611"/>
      <c r="AG416" s="611"/>
      <c r="AH416" s="611"/>
      <c r="AI416" s="611"/>
      <c r="AJ416" s="611"/>
      <c r="AK416" s="611"/>
      <c r="AL416" s="611"/>
      <c r="AM416" s="643"/>
      <c r="AN416" s="611"/>
      <c r="AO416" s="611"/>
      <c r="AP41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6" s="565">
        <f>WWWW[[#This Row],[%Equitable and continuous access to sufficient quantity of safe drinking water]]*WWWW[[#This Row],[Total PoP ]]</f>
        <v>0</v>
      </c>
      <c r="AR41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6" s="565">
        <f>WWWW[[#This Row],[% Access to unimproved water points]]*WWWW[[#This Row],[Total PoP ]]</f>
        <v>0</v>
      </c>
      <c r="AT41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6" s="565">
        <f>WWWW[[#This Row],[HRP1]]/250</f>
        <v>0</v>
      </c>
      <c r="AW416" s="555">
        <f>1-WWWW[[#This Row],[% Equitable and continuous access to sufficient quantity of domestic water]]</f>
        <v>1</v>
      </c>
      <c r="AX416" s="565">
        <f>WWWW[[#This Row],[%equitable and continuous access to sufficient quantity of safe drinking and domestic water''s GAP]]*WWWW[[#This Row],[Total PoP ]]</f>
        <v>927</v>
      </c>
      <c r="AY416" s="557">
        <f>IF(WWWW[[#This Row],[Total required water points]]-WWWW[[#This Row],['#Water points coverage]]&lt;0,0,WWWW[[#This Row],[Total required water points]]-WWWW[[#This Row],['#Water points coverage]])</f>
        <v>4</v>
      </c>
      <c r="AZ416" s="557">
        <f>ROUND(IF(WWWW[[#This Row],[Total PoP ]]&lt;250,1,WWWW[[#This Row],[Total PoP ]]/250),0)</f>
        <v>4</v>
      </c>
      <c r="BA41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6" s="565">
        <f>WWWW[[#This Row],[% people access to functioning Latrine]]*WWWW[[#This Row],[Total PoP ]]</f>
        <v>0</v>
      </c>
      <c r="BC416" s="557">
        <f>WWWW[[#This Row],['#_of_Functioning_latrines_in_school]]*50</f>
        <v>0</v>
      </c>
      <c r="BD416" s="557">
        <f>ROUND((WWWW[[#This Row],[Total PoP ]]/6),0)</f>
        <v>155</v>
      </c>
      <c r="BE416" s="557">
        <f>IF(WWWW[[#This Row],[Total required Latrines]]-(WWWW[[#This Row],['#_of_sanitary_fly-proof_HH_latrines]])&lt;0,0,WWWW[[#This Row],[Total required Latrines]]-(WWWW[[#This Row],['#_of_sanitary_fly-proof_HH_latrines]]))</f>
        <v>155</v>
      </c>
      <c r="BF416" s="558">
        <f>1-WWWW[[#This Row],[% people access to functioning Latrine]]</f>
        <v>1</v>
      </c>
      <c r="BG41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6" s="565">
        <f>IF(WWWW[[#This Row],['#_of_functional_handwashing_facilities_at_HH_level]]*6&gt;WWWW[[#This Row],[Total PoP ]],WWWW[[#This Row],[Total PoP ]],WWWW[[#This Row],['#_of_functional_handwashing_facilities_at_HH_level]]*6)</f>
        <v>0</v>
      </c>
      <c r="BI416" s="557">
        <f>IF(WWWW[[#This Row],['# people reached by regular dedicated hygiene promotion]]&gt;WWWW[[#This Row],['# People received regular supply of hygiene items]],WWWW[[#This Row],['# people reached by regular dedicated hygiene promotion]],WWWW[[#This Row],['# People received regular supply of hygiene items]])</f>
        <v>0</v>
      </c>
      <c r="BJ416" s="555">
        <f>IF(WWWW[[#This Row],[HRP3]]/WWWW[[#This Row],[Total PoP ]]&gt;100%,100%,WWWW[[#This Row],[HRP3]]/WWWW[[#This Row],[Total PoP ]])</f>
        <v>0</v>
      </c>
      <c r="BK416" s="558">
        <f>1-WWWW[[#This Row],[Hygiene Coverage%]]</f>
        <v>1</v>
      </c>
      <c r="BL416" s="556">
        <f>WWWW[[#This Row],['# people reached by regular dedicated hygiene promotion]]/WWWW[[#This Row],[Total PoP ]]</f>
        <v>0</v>
      </c>
      <c r="BM41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6" s="557">
        <f>WWWW[[#This Row],['#_of_affected_women_and_girls_receiving_a_sufficient_quantity_of_sanitary_pads]]</f>
        <v>0</v>
      </c>
      <c r="BO416" s="611">
        <f>IF(WWWW[[#This Row],['# People with access to soap]]&gt;WWWW[[#This Row],['# People with access to Sanity Pads]],WWWW[[#This Row],['# People with access to soap]],WWWW[[#This Row],['# People with access to Sanity Pads]])</f>
        <v>0</v>
      </c>
      <c r="BP416" s="565" t="str">
        <f>IF(OR(WWWW[[#This Row],['#of students in school]]="",WWWW[[#This Row],['#of students in school]]=0),"No","Yes")</f>
        <v>No</v>
      </c>
      <c r="BQ416" s="559" t="str">
        <f>VLOOKUP(WWWW[[#This Row],[Village  Name]],SiteDB6[[Site Name]:[Location Type 1]],9,FALSE)</f>
        <v>Village</v>
      </c>
      <c r="BR416" s="559" t="str">
        <f>VLOOKUP(WWWW[[#This Row],[Village  Name]],SiteDB6[[Site Name]:[Type of Accommodation]],10,FALSE)</f>
        <v>Village</v>
      </c>
      <c r="BS416" s="559" t="str">
        <f>VLOOKUP(WWWW[[#This Row],[Village  Name]],SiteDB6[[Site Name]:[Ethnic or GCA/NGCA]],11,FALSE)</f>
        <v>Muslim</v>
      </c>
      <c r="BT416" s="559">
        <f>VLOOKUP(WWWW[[#This Row],[Village  Name]],SiteDB6[[Site Name]:[Lat]],12,FALSE)</f>
        <v>0</v>
      </c>
      <c r="BU416" s="559">
        <f>VLOOKUP(WWWW[[#This Row],[Village  Name]],SiteDB6[[Site Name]:[Long]],13,FALSE)</f>
        <v>0</v>
      </c>
      <c r="BV416" s="559">
        <f>VLOOKUP(WWWW[[#This Row],[Village  Name]],SiteDB6[[Site Name]:[Pcode]],3,FALSE)</f>
        <v>198405</v>
      </c>
      <c r="BW416" s="559" t="str">
        <f t="shared" si="15"/>
        <v>Covered</v>
      </c>
      <c r="BX416" s="587"/>
    </row>
    <row r="417" spans="1:76">
      <c r="A417" s="612" t="s">
        <v>2381</v>
      </c>
      <c r="B417" s="612" t="s">
        <v>2540</v>
      </c>
      <c r="C417" s="457" t="s">
        <v>371</v>
      </c>
      <c r="D417" s="457" t="s">
        <v>2541</v>
      </c>
      <c r="E417" s="457" t="s">
        <v>2686</v>
      </c>
      <c r="F417" s="457" t="s">
        <v>307</v>
      </c>
      <c r="G417" s="551" t="str">
        <f>VLOOKUP(WWWW[[#This Row],[Village  Name]],SiteDB6[[Site Name]:[Location Type]],8,FALSE)</f>
        <v>Village</v>
      </c>
      <c r="H417" s="457" t="s">
        <v>546</v>
      </c>
      <c r="I417" s="611">
        <v>181</v>
      </c>
      <c r="J417" s="611">
        <v>1089</v>
      </c>
      <c r="K417" s="461">
        <v>43480</v>
      </c>
      <c r="L417" s="55">
        <v>43723</v>
      </c>
      <c r="M417" s="611"/>
      <c r="N417" s="611"/>
      <c r="O417" s="611"/>
      <c r="P417" s="611"/>
      <c r="Q417" s="611"/>
      <c r="R417" s="611"/>
      <c r="S417" s="611"/>
      <c r="T417" s="643"/>
      <c r="U417" s="611"/>
      <c r="V417" s="611" t="s">
        <v>3049</v>
      </c>
      <c r="W417" s="611"/>
      <c r="X417" s="611"/>
      <c r="Y417" s="611"/>
      <c r="Z417" s="611"/>
      <c r="AA417" s="611"/>
      <c r="AB417" s="643"/>
      <c r="AC417" s="611"/>
      <c r="AD417" s="611"/>
      <c r="AE417" s="611"/>
      <c r="AF417" s="611"/>
      <c r="AG417" s="611"/>
      <c r="AH417" s="611"/>
      <c r="AI417" s="611"/>
      <c r="AJ417" s="611"/>
      <c r="AK417" s="611"/>
      <c r="AL417" s="611"/>
      <c r="AM417" s="643"/>
      <c r="AN417" s="611"/>
      <c r="AO417" s="611"/>
      <c r="AP41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7" s="565">
        <f>WWWW[[#This Row],[%Equitable and continuous access to sufficient quantity of safe drinking water]]*WWWW[[#This Row],[Total PoP ]]</f>
        <v>0</v>
      </c>
      <c r="AR41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7" s="565">
        <f>WWWW[[#This Row],[% Access to unimproved water points]]*WWWW[[#This Row],[Total PoP ]]</f>
        <v>0</v>
      </c>
      <c r="AT41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7" s="565">
        <f>WWWW[[#This Row],[HRP1]]/250</f>
        <v>0</v>
      </c>
      <c r="AW417" s="555">
        <f>1-WWWW[[#This Row],[% Equitable and continuous access to sufficient quantity of domestic water]]</f>
        <v>1</v>
      </c>
      <c r="AX417" s="565">
        <f>WWWW[[#This Row],[%equitable and continuous access to sufficient quantity of safe drinking and domestic water''s GAP]]*WWWW[[#This Row],[Total PoP ]]</f>
        <v>1089</v>
      </c>
      <c r="AY417" s="557">
        <f>IF(WWWW[[#This Row],[Total required water points]]-WWWW[[#This Row],['#Water points coverage]]&lt;0,0,WWWW[[#This Row],[Total required water points]]-WWWW[[#This Row],['#Water points coverage]])</f>
        <v>4</v>
      </c>
      <c r="AZ417" s="557">
        <f>ROUND(IF(WWWW[[#This Row],[Total PoP ]]&lt;250,1,WWWW[[#This Row],[Total PoP ]]/250),0)</f>
        <v>4</v>
      </c>
      <c r="BA41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7" s="565">
        <f>WWWW[[#This Row],[% people access to functioning Latrine]]*WWWW[[#This Row],[Total PoP ]]</f>
        <v>0</v>
      </c>
      <c r="BC417" s="557">
        <f>WWWW[[#This Row],['#_of_Functioning_latrines_in_school]]*50</f>
        <v>0</v>
      </c>
      <c r="BD417" s="557">
        <f>ROUND((WWWW[[#This Row],[Total PoP ]]/6),0)</f>
        <v>182</v>
      </c>
      <c r="BE417" s="557">
        <f>IF(WWWW[[#This Row],[Total required Latrines]]-(WWWW[[#This Row],['#_of_sanitary_fly-proof_HH_latrines]])&lt;0,0,WWWW[[#This Row],[Total required Latrines]]-(WWWW[[#This Row],['#_of_sanitary_fly-proof_HH_latrines]]))</f>
        <v>182</v>
      </c>
      <c r="BF417" s="558">
        <f>1-WWWW[[#This Row],[% people access to functioning Latrine]]</f>
        <v>1</v>
      </c>
      <c r="BG41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7" s="565">
        <f>IF(WWWW[[#This Row],['#_of_functional_handwashing_facilities_at_HH_level]]*6&gt;WWWW[[#This Row],[Total PoP ]],WWWW[[#This Row],[Total PoP ]],WWWW[[#This Row],['#_of_functional_handwashing_facilities_at_HH_level]]*6)</f>
        <v>0</v>
      </c>
      <c r="BI417" s="557">
        <f>IF(WWWW[[#This Row],['# people reached by regular dedicated hygiene promotion]]&gt;WWWW[[#This Row],['# People received regular supply of hygiene items]],WWWW[[#This Row],['# people reached by regular dedicated hygiene promotion]],WWWW[[#This Row],['# People received regular supply of hygiene items]])</f>
        <v>0</v>
      </c>
      <c r="BJ417" s="555">
        <f>IF(WWWW[[#This Row],[HRP3]]/WWWW[[#This Row],[Total PoP ]]&gt;100%,100%,WWWW[[#This Row],[HRP3]]/WWWW[[#This Row],[Total PoP ]])</f>
        <v>0</v>
      </c>
      <c r="BK417" s="558">
        <f>1-WWWW[[#This Row],[Hygiene Coverage%]]</f>
        <v>1</v>
      </c>
      <c r="BL417" s="556">
        <f>WWWW[[#This Row],['# people reached by regular dedicated hygiene promotion]]/WWWW[[#This Row],[Total PoP ]]</f>
        <v>0</v>
      </c>
      <c r="BM41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7" s="557">
        <f>WWWW[[#This Row],['#_of_affected_women_and_girls_receiving_a_sufficient_quantity_of_sanitary_pads]]</f>
        <v>0</v>
      </c>
      <c r="BO417" s="611">
        <f>IF(WWWW[[#This Row],['# People with access to soap]]&gt;WWWW[[#This Row],['# People with access to Sanity Pads]],WWWW[[#This Row],['# People with access to soap]],WWWW[[#This Row],['# People with access to Sanity Pads]])</f>
        <v>0</v>
      </c>
      <c r="BP417" s="565" t="str">
        <f>IF(OR(WWWW[[#This Row],['#of students in school]]="",WWWW[[#This Row],['#of students in school]]=0),"No","Yes")</f>
        <v>No</v>
      </c>
      <c r="BQ417" s="559" t="str">
        <f>VLOOKUP(WWWW[[#This Row],[Village  Name]],SiteDB6[[Site Name]:[Location Type 1]],9,FALSE)</f>
        <v>Village</v>
      </c>
      <c r="BR417" s="559" t="str">
        <f>VLOOKUP(WWWW[[#This Row],[Village  Name]],SiteDB6[[Site Name]:[Type of Accommodation]],10,FALSE)</f>
        <v>Village</v>
      </c>
      <c r="BS417" s="559" t="str">
        <f>VLOOKUP(WWWW[[#This Row],[Village  Name]],SiteDB6[[Site Name]:[Ethnic or GCA/NGCA]],11,FALSE)</f>
        <v>Rakhine</v>
      </c>
      <c r="BT417" s="559">
        <f>VLOOKUP(WWWW[[#This Row],[Village  Name]],SiteDB6[[Site Name]:[Lat]],12,FALSE)</f>
        <v>20.691099170000001</v>
      </c>
      <c r="BU417" s="559">
        <f>VLOOKUP(WWWW[[#This Row],[Village  Name]],SiteDB6[[Site Name]:[Long]],13,FALSE)</f>
        <v>92.590652469999995</v>
      </c>
      <c r="BV417" s="559">
        <f>VLOOKUP(WWWW[[#This Row],[Village  Name]],SiteDB6[[Site Name]:[Pcode]],3,FALSE)</f>
        <v>198446</v>
      </c>
      <c r="BW417" s="559" t="str">
        <f t="shared" si="15"/>
        <v>Covered</v>
      </c>
      <c r="BX417" s="587"/>
    </row>
    <row r="418" spans="1:76">
      <c r="A418" s="612" t="s">
        <v>2381</v>
      </c>
      <c r="B418" s="612" t="s">
        <v>3062</v>
      </c>
      <c r="C418" s="457" t="s">
        <v>371</v>
      </c>
      <c r="D418" s="457" t="s">
        <v>3063</v>
      </c>
      <c r="E418" s="457" t="s">
        <v>2686</v>
      </c>
      <c r="F418" s="457" t="s">
        <v>307</v>
      </c>
      <c r="G418" s="551" t="str">
        <f>VLOOKUP(WWWW[[#This Row],[Village  Name]],SiteDB6[[Site Name]:[Location Type]],8,FALSE)</f>
        <v>Village</v>
      </c>
      <c r="H418" s="457" t="s">
        <v>1913</v>
      </c>
      <c r="I418" s="611">
        <v>241</v>
      </c>
      <c r="J418" s="611">
        <v>1397</v>
      </c>
      <c r="K418" s="461" t="s">
        <v>3064</v>
      </c>
      <c r="L418" s="55" t="s">
        <v>3065</v>
      </c>
      <c r="M418" s="611"/>
      <c r="N418" s="611"/>
      <c r="O418" s="611"/>
      <c r="P418" s="611"/>
      <c r="Q418" s="611"/>
      <c r="R418" s="611"/>
      <c r="S418" s="611"/>
      <c r="T418" s="643"/>
      <c r="U418" s="611"/>
      <c r="V418" s="611" t="s">
        <v>128</v>
      </c>
      <c r="W418" s="611"/>
      <c r="X418" s="611"/>
      <c r="Y418" s="611"/>
      <c r="Z418" s="611"/>
      <c r="AA418" s="611"/>
      <c r="AB418" s="643"/>
      <c r="AC418" s="611"/>
      <c r="AD418" s="611"/>
      <c r="AE418" s="611"/>
      <c r="AF418" s="611"/>
      <c r="AG418" s="611"/>
      <c r="AH418" s="611"/>
      <c r="AI418" s="611"/>
      <c r="AJ418" s="611"/>
      <c r="AK418" s="611"/>
      <c r="AL418" s="611"/>
      <c r="AM418" s="643"/>
      <c r="AN418" s="611"/>
      <c r="AO418" s="611"/>
      <c r="AP41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8" s="565">
        <f>WWWW[[#This Row],[%Equitable and continuous access to sufficient quantity of safe drinking water]]*WWWW[[#This Row],[Total PoP ]]</f>
        <v>0</v>
      </c>
      <c r="AR41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8" s="565">
        <f>WWWW[[#This Row],[% Access to unimproved water points]]*WWWW[[#This Row],[Total PoP ]]</f>
        <v>0</v>
      </c>
      <c r="AT41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8" s="565">
        <f>WWWW[[#This Row],[HRP1]]/250</f>
        <v>0</v>
      </c>
      <c r="AW418" s="555">
        <f>1-WWWW[[#This Row],[% Equitable and continuous access to sufficient quantity of domestic water]]</f>
        <v>1</v>
      </c>
      <c r="AX418" s="565">
        <f>WWWW[[#This Row],[%equitable and continuous access to sufficient quantity of safe drinking and domestic water''s GAP]]*WWWW[[#This Row],[Total PoP ]]</f>
        <v>1397</v>
      </c>
      <c r="AY418" s="557">
        <f>IF(WWWW[[#This Row],[Total required water points]]-WWWW[[#This Row],['#Water points coverage]]&lt;0,0,WWWW[[#This Row],[Total required water points]]-WWWW[[#This Row],['#Water points coverage]])</f>
        <v>6</v>
      </c>
      <c r="AZ418" s="557">
        <f>ROUND(IF(WWWW[[#This Row],[Total PoP ]]&lt;250,1,WWWW[[#This Row],[Total PoP ]]/250),0)</f>
        <v>6</v>
      </c>
      <c r="BA41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8" s="565">
        <f>WWWW[[#This Row],[% people access to functioning Latrine]]*WWWW[[#This Row],[Total PoP ]]</f>
        <v>0</v>
      </c>
      <c r="BC418" s="557">
        <f>WWWW[[#This Row],['#_of_Functioning_latrines_in_school]]*50</f>
        <v>0</v>
      </c>
      <c r="BD418" s="557">
        <f>ROUND((WWWW[[#This Row],[Total PoP ]]/6),0)</f>
        <v>233</v>
      </c>
      <c r="BE418" s="557">
        <f>IF(WWWW[[#This Row],[Total required Latrines]]-(WWWW[[#This Row],['#_of_sanitary_fly-proof_HH_latrines]])&lt;0,0,WWWW[[#This Row],[Total required Latrines]]-(WWWW[[#This Row],['#_of_sanitary_fly-proof_HH_latrines]]))</f>
        <v>233</v>
      </c>
      <c r="BF418" s="558">
        <f>1-WWWW[[#This Row],[% people access to functioning Latrine]]</f>
        <v>1</v>
      </c>
      <c r="BG41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8" s="565">
        <f>IF(WWWW[[#This Row],['#_of_functional_handwashing_facilities_at_HH_level]]*6&gt;WWWW[[#This Row],[Total PoP ]],WWWW[[#This Row],[Total PoP ]],WWWW[[#This Row],['#_of_functional_handwashing_facilities_at_HH_level]]*6)</f>
        <v>0</v>
      </c>
      <c r="BI418" s="557">
        <f>IF(WWWW[[#This Row],['# people reached by regular dedicated hygiene promotion]]&gt;WWWW[[#This Row],['# People received regular supply of hygiene items]],WWWW[[#This Row],['# people reached by regular dedicated hygiene promotion]],WWWW[[#This Row],['# People received regular supply of hygiene items]])</f>
        <v>0</v>
      </c>
      <c r="BJ418" s="555">
        <f>IF(WWWW[[#This Row],[HRP3]]/WWWW[[#This Row],[Total PoP ]]&gt;100%,100%,WWWW[[#This Row],[HRP3]]/WWWW[[#This Row],[Total PoP ]])</f>
        <v>0</v>
      </c>
      <c r="BK418" s="558">
        <f>1-WWWW[[#This Row],[Hygiene Coverage%]]</f>
        <v>1</v>
      </c>
      <c r="BL418" s="556">
        <f>WWWW[[#This Row],['# people reached by regular dedicated hygiene promotion]]/WWWW[[#This Row],[Total PoP ]]</f>
        <v>0</v>
      </c>
      <c r="BM41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8" s="557">
        <f>WWWW[[#This Row],['#_of_affected_women_and_girls_receiving_a_sufficient_quantity_of_sanitary_pads]]</f>
        <v>0</v>
      </c>
      <c r="BO418" s="611">
        <f>IF(WWWW[[#This Row],['# People with access to soap]]&gt;WWWW[[#This Row],['# People with access to Sanity Pads]],WWWW[[#This Row],['# People with access to soap]],WWWW[[#This Row],['# People with access to Sanity Pads]])</f>
        <v>0</v>
      </c>
      <c r="BP418" s="565" t="str">
        <f>IF(OR(WWWW[[#This Row],['#of students in school]]="",WWWW[[#This Row],['#of students in school]]=0),"No","Yes")</f>
        <v>No</v>
      </c>
      <c r="BQ418" s="559" t="str">
        <f>VLOOKUP(WWWW[[#This Row],[Village  Name]],SiteDB6[[Site Name]:[Location Type 1]],9,FALSE)</f>
        <v>Village</v>
      </c>
      <c r="BR418" s="559" t="str">
        <f>VLOOKUP(WWWW[[#This Row],[Village  Name]],SiteDB6[[Site Name]:[Type of Accommodation]],10,FALSE)</f>
        <v>Village</v>
      </c>
      <c r="BS418" s="559" t="str">
        <f>VLOOKUP(WWWW[[#This Row],[Village  Name]],SiteDB6[[Site Name]:[Ethnic or GCA/NGCA]],11,FALSE)</f>
        <v>Muslim</v>
      </c>
      <c r="BT418" s="559">
        <f>VLOOKUP(WWWW[[#This Row],[Village  Name]],SiteDB6[[Site Name]:[Lat]],12,FALSE)</f>
        <v>20.872400280000001</v>
      </c>
      <c r="BU418" s="559">
        <f>VLOOKUP(WWWW[[#This Row],[Village  Name]],SiteDB6[[Site Name]:[Long]],13,FALSE)</f>
        <v>92.337608340000003</v>
      </c>
      <c r="BV418" s="559">
        <f>VLOOKUP(WWWW[[#This Row],[Village  Name]],SiteDB6[[Site Name]:[Pcode]],3,FALSE)</f>
        <v>197971</v>
      </c>
      <c r="BW418" s="559" t="str">
        <f t="shared" si="15"/>
        <v>Covered</v>
      </c>
      <c r="BX418" s="587"/>
    </row>
    <row r="419" spans="1:76">
      <c r="A419" s="612" t="s">
        <v>2381</v>
      </c>
      <c r="B419" s="612" t="s">
        <v>2540</v>
      </c>
      <c r="C419" s="457" t="s">
        <v>371</v>
      </c>
      <c r="D419" s="457" t="s">
        <v>2541</v>
      </c>
      <c r="E419" s="457" t="s">
        <v>2686</v>
      </c>
      <c r="F419" s="457" t="s">
        <v>321</v>
      </c>
      <c r="G419" s="551" t="str">
        <f>VLOOKUP(WWWW[[#This Row],[Village  Name]],SiteDB6[[Site Name]:[Location Type]],8,FALSE)</f>
        <v>Village</v>
      </c>
      <c r="H419" s="457" t="s">
        <v>2544</v>
      </c>
      <c r="I419" s="611">
        <v>152</v>
      </c>
      <c r="J419" s="611">
        <v>798</v>
      </c>
      <c r="K419" s="461">
        <v>43480</v>
      </c>
      <c r="L419" s="55">
        <v>43723</v>
      </c>
      <c r="M419" s="611"/>
      <c r="N419" s="611"/>
      <c r="O419" s="611"/>
      <c r="P419" s="611"/>
      <c r="Q419" s="611"/>
      <c r="R419" s="611"/>
      <c r="S419" s="611"/>
      <c r="T419" s="643"/>
      <c r="U419" s="611"/>
      <c r="V419" s="611" t="s">
        <v>3049</v>
      </c>
      <c r="W419" s="611"/>
      <c r="X419" s="611"/>
      <c r="Y419" s="611"/>
      <c r="Z419" s="611"/>
      <c r="AA419" s="611"/>
      <c r="AB419" s="643"/>
      <c r="AC419" s="611"/>
      <c r="AD419" s="611"/>
      <c r="AE419" s="611"/>
      <c r="AF419" s="611"/>
      <c r="AG419" s="611"/>
      <c r="AH419" s="611"/>
      <c r="AI419" s="611"/>
      <c r="AJ419" s="611"/>
      <c r="AK419" s="611"/>
      <c r="AL419" s="611"/>
      <c r="AM419" s="643"/>
      <c r="AN419" s="611"/>
      <c r="AO419" s="611"/>
      <c r="AP41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19" s="565">
        <f>WWWW[[#This Row],[%Equitable and continuous access to sufficient quantity of safe drinking water]]*WWWW[[#This Row],[Total PoP ]]</f>
        <v>0</v>
      </c>
      <c r="AR41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19" s="565">
        <f>WWWW[[#This Row],[% Access to unimproved water points]]*WWWW[[#This Row],[Total PoP ]]</f>
        <v>0</v>
      </c>
      <c r="AT41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1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19" s="565">
        <f>WWWW[[#This Row],[HRP1]]/250</f>
        <v>0</v>
      </c>
      <c r="AW419" s="555">
        <f>1-WWWW[[#This Row],[% Equitable and continuous access to sufficient quantity of domestic water]]</f>
        <v>1</v>
      </c>
      <c r="AX419" s="565">
        <f>WWWW[[#This Row],[%equitable and continuous access to sufficient quantity of safe drinking and domestic water''s GAP]]*WWWW[[#This Row],[Total PoP ]]</f>
        <v>798</v>
      </c>
      <c r="AY419" s="557">
        <f>IF(WWWW[[#This Row],[Total required water points]]-WWWW[[#This Row],['#Water points coverage]]&lt;0,0,WWWW[[#This Row],[Total required water points]]-WWWW[[#This Row],['#Water points coverage]])</f>
        <v>3</v>
      </c>
      <c r="AZ419" s="557">
        <f>ROUND(IF(WWWW[[#This Row],[Total PoP ]]&lt;250,1,WWWW[[#This Row],[Total PoP ]]/250),0)</f>
        <v>3</v>
      </c>
      <c r="BA41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19" s="565">
        <f>WWWW[[#This Row],[% people access to functioning Latrine]]*WWWW[[#This Row],[Total PoP ]]</f>
        <v>0</v>
      </c>
      <c r="BC419" s="557">
        <f>WWWW[[#This Row],['#_of_Functioning_latrines_in_school]]*50</f>
        <v>0</v>
      </c>
      <c r="BD419" s="557">
        <f>ROUND((WWWW[[#This Row],[Total PoP ]]/6),0)</f>
        <v>133</v>
      </c>
      <c r="BE419" s="557">
        <f>IF(WWWW[[#This Row],[Total required Latrines]]-(WWWW[[#This Row],['#_of_sanitary_fly-proof_HH_latrines]])&lt;0,0,WWWW[[#This Row],[Total required Latrines]]-(WWWW[[#This Row],['#_of_sanitary_fly-proof_HH_latrines]]))</f>
        <v>133</v>
      </c>
      <c r="BF419" s="558">
        <f>1-WWWW[[#This Row],[% people access to functioning Latrine]]</f>
        <v>1</v>
      </c>
      <c r="BG41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19" s="565">
        <f>IF(WWWW[[#This Row],['#_of_functional_handwashing_facilities_at_HH_level]]*6&gt;WWWW[[#This Row],[Total PoP ]],WWWW[[#This Row],[Total PoP ]],WWWW[[#This Row],['#_of_functional_handwashing_facilities_at_HH_level]]*6)</f>
        <v>0</v>
      </c>
      <c r="BI419" s="557">
        <f>IF(WWWW[[#This Row],['# people reached by regular dedicated hygiene promotion]]&gt;WWWW[[#This Row],['# People received regular supply of hygiene items]],WWWW[[#This Row],['# people reached by regular dedicated hygiene promotion]],WWWW[[#This Row],['# People received regular supply of hygiene items]])</f>
        <v>0</v>
      </c>
      <c r="BJ419" s="555">
        <f>IF(WWWW[[#This Row],[HRP3]]/WWWW[[#This Row],[Total PoP ]]&gt;100%,100%,WWWW[[#This Row],[HRP3]]/WWWW[[#This Row],[Total PoP ]])</f>
        <v>0</v>
      </c>
      <c r="BK419" s="558">
        <f>1-WWWW[[#This Row],[Hygiene Coverage%]]</f>
        <v>1</v>
      </c>
      <c r="BL419" s="556">
        <f>WWWW[[#This Row],['# people reached by regular dedicated hygiene promotion]]/WWWW[[#This Row],[Total PoP ]]</f>
        <v>0</v>
      </c>
      <c r="BM41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19" s="557">
        <f>WWWW[[#This Row],['#_of_affected_women_and_girls_receiving_a_sufficient_quantity_of_sanitary_pads]]</f>
        <v>0</v>
      </c>
      <c r="BO419" s="611">
        <f>IF(WWWW[[#This Row],['# People with access to soap]]&gt;WWWW[[#This Row],['# People with access to Sanity Pads]],WWWW[[#This Row],['# People with access to soap]],WWWW[[#This Row],['# People with access to Sanity Pads]])</f>
        <v>0</v>
      </c>
      <c r="BP419" s="565" t="str">
        <f>IF(OR(WWWW[[#This Row],['#of students in school]]="",WWWW[[#This Row],['#of students in school]]=0),"No","Yes")</f>
        <v>No</v>
      </c>
      <c r="BQ419" s="559" t="str">
        <f>VLOOKUP(WWWW[[#This Row],[Village  Name]],SiteDB6[[Site Name]:[Location Type 1]],9,FALSE)</f>
        <v>Village</v>
      </c>
      <c r="BR419" s="559" t="str">
        <f>VLOOKUP(WWWW[[#This Row],[Village  Name]],SiteDB6[[Site Name]:[Type of Accommodation]],10,FALSE)</f>
        <v>Village</v>
      </c>
      <c r="BS419" s="559" t="str">
        <f>VLOOKUP(WWWW[[#This Row],[Village  Name]],SiteDB6[[Site Name]:[Ethnic or GCA/NGCA]],11,FALSE)</f>
        <v>Muslim</v>
      </c>
      <c r="BT419" s="559">
        <f>VLOOKUP(WWWW[[#This Row],[Village  Name]],SiteDB6[[Site Name]:[Lat]],12,FALSE)</f>
        <v>0</v>
      </c>
      <c r="BU419" s="559">
        <f>VLOOKUP(WWWW[[#This Row],[Village  Name]],SiteDB6[[Site Name]:[Long]],13,FALSE)</f>
        <v>0</v>
      </c>
      <c r="BV419" s="559">
        <f>VLOOKUP(WWWW[[#This Row],[Village  Name]],SiteDB6[[Site Name]:[Pcode]],3,FALSE)</f>
        <v>198351</v>
      </c>
      <c r="BW419" s="559" t="str">
        <f t="shared" si="15"/>
        <v>Covered</v>
      </c>
      <c r="BX419" s="587"/>
    </row>
    <row r="420" spans="1:76">
      <c r="A420" s="612" t="s">
        <v>2381</v>
      </c>
      <c r="B420" s="612" t="s">
        <v>2540</v>
      </c>
      <c r="C420" s="457" t="s">
        <v>371</v>
      </c>
      <c r="D420" s="457" t="s">
        <v>2541</v>
      </c>
      <c r="E420" s="457" t="s">
        <v>2686</v>
      </c>
      <c r="F420" s="457" t="s">
        <v>321</v>
      </c>
      <c r="G420" s="551" t="str">
        <f>VLOOKUP(WWWW[[#This Row],[Village  Name]],SiteDB6[[Site Name]:[Location Type]],8,FALSE)</f>
        <v>Village</v>
      </c>
      <c r="H420" s="457" t="s">
        <v>2546</v>
      </c>
      <c r="I420" s="611">
        <v>136</v>
      </c>
      <c r="J420" s="611">
        <v>847</v>
      </c>
      <c r="K420" s="461">
        <v>43480</v>
      </c>
      <c r="L420" s="55">
        <v>43723</v>
      </c>
      <c r="M420" s="611"/>
      <c r="N420" s="611"/>
      <c r="O420" s="611"/>
      <c r="P420" s="611"/>
      <c r="Q420" s="611"/>
      <c r="R420" s="611"/>
      <c r="S420" s="611"/>
      <c r="T420" s="643"/>
      <c r="U420" s="611"/>
      <c r="V420" s="611" t="s">
        <v>3049</v>
      </c>
      <c r="W420" s="611"/>
      <c r="X420" s="611"/>
      <c r="Y420" s="611"/>
      <c r="Z420" s="611"/>
      <c r="AA420" s="611"/>
      <c r="AB420" s="643"/>
      <c r="AC420" s="611"/>
      <c r="AD420" s="611"/>
      <c r="AE420" s="611"/>
      <c r="AF420" s="611"/>
      <c r="AG420" s="611"/>
      <c r="AH420" s="611"/>
      <c r="AI420" s="611"/>
      <c r="AJ420" s="611"/>
      <c r="AK420" s="611"/>
      <c r="AL420" s="611"/>
      <c r="AM420" s="643"/>
      <c r="AN420" s="611"/>
      <c r="AO420" s="611"/>
      <c r="AP42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0" s="565">
        <f>WWWW[[#This Row],[%Equitable and continuous access to sufficient quantity of safe drinking water]]*WWWW[[#This Row],[Total PoP ]]</f>
        <v>0</v>
      </c>
      <c r="AR42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0" s="565">
        <f>WWWW[[#This Row],[% Access to unimproved water points]]*WWWW[[#This Row],[Total PoP ]]</f>
        <v>0</v>
      </c>
      <c r="AT42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0" s="565">
        <f>WWWW[[#This Row],[HRP1]]/250</f>
        <v>0</v>
      </c>
      <c r="AW420" s="555">
        <f>1-WWWW[[#This Row],[% Equitable and continuous access to sufficient quantity of domestic water]]</f>
        <v>1</v>
      </c>
      <c r="AX420" s="565">
        <f>WWWW[[#This Row],[%equitable and continuous access to sufficient quantity of safe drinking and domestic water''s GAP]]*WWWW[[#This Row],[Total PoP ]]</f>
        <v>847</v>
      </c>
      <c r="AY420" s="557">
        <f>IF(WWWW[[#This Row],[Total required water points]]-WWWW[[#This Row],['#Water points coverage]]&lt;0,0,WWWW[[#This Row],[Total required water points]]-WWWW[[#This Row],['#Water points coverage]])</f>
        <v>3</v>
      </c>
      <c r="AZ420" s="557">
        <f>ROUND(IF(WWWW[[#This Row],[Total PoP ]]&lt;250,1,WWWW[[#This Row],[Total PoP ]]/250),0)</f>
        <v>3</v>
      </c>
      <c r="BA42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0" s="565">
        <f>WWWW[[#This Row],[% people access to functioning Latrine]]*WWWW[[#This Row],[Total PoP ]]</f>
        <v>0</v>
      </c>
      <c r="BC420" s="557">
        <f>WWWW[[#This Row],['#_of_Functioning_latrines_in_school]]*50</f>
        <v>0</v>
      </c>
      <c r="BD420" s="557">
        <f>ROUND((WWWW[[#This Row],[Total PoP ]]/6),0)</f>
        <v>141</v>
      </c>
      <c r="BE420" s="557">
        <f>IF(WWWW[[#This Row],[Total required Latrines]]-(WWWW[[#This Row],['#_of_sanitary_fly-proof_HH_latrines]])&lt;0,0,WWWW[[#This Row],[Total required Latrines]]-(WWWW[[#This Row],['#_of_sanitary_fly-proof_HH_latrines]]))</f>
        <v>141</v>
      </c>
      <c r="BF420" s="558">
        <f>1-WWWW[[#This Row],[% people access to functioning Latrine]]</f>
        <v>1</v>
      </c>
      <c r="BG42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0" s="565">
        <f>IF(WWWW[[#This Row],['#_of_functional_handwashing_facilities_at_HH_level]]*6&gt;WWWW[[#This Row],[Total PoP ]],WWWW[[#This Row],[Total PoP ]],WWWW[[#This Row],['#_of_functional_handwashing_facilities_at_HH_level]]*6)</f>
        <v>0</v>
      </c>
      <c r="BI420" s="557">
        <f>IF(WWWW[[#This Row],['# people reached by regular dedicated hygiene promotion]]&gt;WWWW[[#This Row],['# People received regular supply of hygiene items]],WWWW[[#This Row],['# people reached by regular dedicated hygiene promotion]],WWWW[[#This Row],['# People received regular supply of hygiene items]])</f>
        <v>0</v>
      </c>
      <c r="BJ420" s="555">
        <f>IF(WWWW[[#This Row],[HRP3]]/WWWW[[#This Row],[Total PoP ]]&gt;100%,100%,WWWW[[#This Row],[HRP3]]/WWWW[[#This Row],[Total PoP ]])</f>
        <v>0</v>
      </c>
      <c r="BK420" s="558">
        <f>1-WWWW[[#This Row],[Hygiene Coverage%]]</f>
        <v>1</v>
      </c>
      <c r="BL420" s="556">
        <f>WWWW[[#This Row],['# people reached by regular dedicated hygiene promotion]]/WWWW[[#This Row],[Total PoP ]]</f>
        <v>0</v>
      </c>
      <c r="BM42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0" s="557">
        <f>WWWW[[#This Row],['#_of_affected_women_and_girls_receiving_a_sufficient_quantity_of_sanitary_pads]]</f>
        <v>0</v>
      </c>
      <c r="BO420" s="611">
        <f>IF(WWWW[[#This Row],['# People with access to soap]]&gt;WWWW[[#This Row],['# People with access to Sanity Pads]],WWWW[[#This Row],['# People with access to soap]],WWWW[[#This Row],['# People with access to Sanity Pads]])</f>
        <v>0</v>
      </c>
      <c r="BP420" s="565" t="str">
        <f>IF(OR(WWWW[[#This Row],['#of students in school]]="",WWWW[[#This Row],['#of students in school]]=0),"No","Yes")</f>
        <v>No</v>
      </c>
      <c r="BQ420" s="559" t="str">
        <f>VLOOKUP(WWWW[[#This Row],[Village  Name]],SiteDB6[[Site Name]:[Location Type 1]],9,FALSE)</f>
        <v>Village</v>
      </c>
      <c r="BR420" s="559" t="str">
        <f>VLOOKUP(WWWW[[#This Row],[Village  Name]],SiteDB6[[Site Name]:[Type of Accommodation]],10,FALSE)</f>
        <v>Village</v>
      </c>
      <c r="BS420" s="559" t="str">
        <f>VLOOKUP(WWWW[[#This Row],[Village  Name]],SiteDB6[[Site Name]:[Ethnic or GCA/NGCA]],11,FALSE)</f>
        <v>Muslim</v>
      </c>
      <c r="BT420" s="559">
        <f>VLOOKUP(WWWW[[#This Row],[Village  Name]],SiteDB6[[Site Name]:[Lat]],12,FALSE)</f>
        <v>0</v>
      </c>
      <c r="BU420" s="559">
        <f>VLOOKUP(WWWW[[#This Row],[Village  Name]],SiteDB6[[Site Name]:[Long]],13,FALSE)</f>
        <v>0</v>
      </c>
      <c r="BV420" s="559">
        <f>VLOOKUP(WWWW[[#This Row],[Village  Name]],SiteDB6[[Site Name]:[Pcode]],3,FALSE)</f>
        <v>0</v>
      </c>
      <c r="BW420" s="559" t="str">
        <f t="shared" si="15"/>
        <v>Covered</v>
      </c>
      <c r="BX420" s="587"/>
    </row>
    <row r="421" spans="1:76">
      <c r="A421" s="612" t="s">
        <v>2381</v>
      </c>
      <c r="B421" s="612" t="s">
        <v>2540</v>
      </c>
      <c r="C421" s="457" t="s">
        <v>371</v>
      </c>
      <c r="D421" s="457" t="s">
        <v>2541</v>
      </c>
      <c r="E421" s="457" t="s">
        <v>2686</v>
      </c>
      <c r="F421" s="457" t="s">
        <v>321</v>
      </c>
      <c r="G421" s="551" t="str">
        <f>VLOOKUP(WWWW[[#This Row],[Village  Name]],SiteDB6[[Site Name]:[Location Type]],8,FALSE)</f>
        <v>Village</v>
      </c>
      <c r="H421" s="457" t="s">
        <v>588</v>
      </c>
      <c r="I421" s="611">
        <v>20</v>
      </c>
      <c r="J421" s="611">
        <v>91</v>
      </c>
      <c r="K421" s="461">
        <v>43480</v>
      </c>
      <c r="L421" s="55">
        <v>43723</v>
      </c>
      <c r="M421" s="611"/>
      <c r="N421" s="611"/>
      <c r="O421" s="611"/>
      <c r="P421" s="611"/>
      <c r="Q421" s="611"/>
      <c r="R421" s="611"/>
      <c r="S421" s="611"/>
      <c r="T421" s="643"/>
      <c r="U421" s="611"/>
      <c r="V421" s="611" t="s">
        <v>3049</v>
      </c>
      <c r="W421" s="611"/>
      <c r="X421" s="611"/>
      <c r="Y421" s="611"/>
      <c r="Z421" s="611"/>
      <c r="AA421" s="611"/>
      <c r="AB421" s="643"/>
      <c r="AC421" s="611"/>
      <c r="AD421" s="611"/>
      <c r="AE421" s="611"/>
      <c r="AF421" s="611"/>
      <c r="AG421" s="611"/>
      <c r="AH421" s="611"/>
      <c r="AI421" s="611"/>
      <c r="AJ421" s="611"/>
      <c r="AK421" s="611"/>
      <c r="AL421" s="611"/>
      <c r="AM421" s="643"/>
      <c r="AN421" s="611"/>
      <c r="AO421" s="611"/>
      <c r="AP42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1" s="565">
        <f>WWWW[[#This Row],[%Equitable and continuous access to sufficient quantity of safe drinking water]]*WWWW[[#This Row],[Total PoP ]]</f>
        <v>0</v>
      </c>
      <c r="AR42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1" s="565">
        <f>WWWW[[#This Row],[% Access to unimproved water points]]*WWWW[[#This Row],[Total PoP ]]</f>
        <v>0</v>
      </c>
      <c r="AT42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1" s="565">
        <f>WWWW[[#This Row],[HRP1]]/250</f>
        <v>0</v>
      </c>
      <c r="AW421" s="555">
        <f>1-WWWW[[#This Row],[% Equitable and continuous access to sufficient quantity of domestic water]]</f>
        <v>1</v>
      </c>
      <c r="AX421" s="565">
        <f>WWWW[[#This Row],[%equitable and continuous access to sufficient quantity of safe drinking and domestic water''s GAP]]*WWWW[[#This Row],[Total PoP ]]</f>
        <v>91</v>
      </c>
      <c r="AY421" s="557">
        <f>IF(WWWW[[#This Row],[Total required water points]]-WWWW[[#This Row],['#Water points coverage]]&lt;0,0,WWWW[[#This Row],[Total required water points]]-WWWW[[#This Row],['#Water points coverage]])</f>
        <v>1</v>
      </c>
      <c r="AZ421" s="557">
        <f>ROUND(IF(WWWW[[#This Row],[Total PoP ]]&lt;250,1,WWWW[[#This Row],[Total PoP ]]/250),0)</f>
        <v>1</v>
      </c>
      <c r="BA42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1" s="565">
        <f>WWWW[[#This Row],[% people access to functioning Latrine]]*WWWW[[#This Row],[Total PoP ]]</f>
        <v>0</v>
      </c>
      <c r="BC421" s="557">
        <f>WWWW[[#This Row],['#_of_Functioning_latrines_in_school]]*50</f>
        <v>0</v>
      </c>
      <c r="BD421" s="557">
        <f>ROUND((WWWW[[#This Row],[Total PoP ]]/6),0)</f>
        <v>15</v>
      </c>
      <c r="BE421" s="557">
        <f>IF(WWWW[[#This Row],[Total required Latrines]]-(WWWW[[#This Row],['#_of_sanitary_fly-proof_HH_latrines]])&lt;0,0,WWWW[[#This Row],[Total required Latrines]]-(WWWW[[#This Row],['#_of_sanitary_fly-proof_HH_latrines]]))</f>
        <v>15</v>
      </c>
      <c r="BF421" s="558">
        <f>1-WWWW[[#This Row],[% people access to functioning Latrine]]</f>
        <v>1</v>
      </c>
      <c r="BG42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1" s="565">
        <f>IF(WWWW[[#This Row],['#_of_functional_handwashing_facilities_at_HH_level]]*6&gt;WWWW[[#This Row],[Total PoP ]],WWWW[[#This Row],[Total PoP ]],WWWW[[#This Row],['#_of_functional_handwashing_facilities_at_HH_level]]*6)</f>
        <v>0</v>
      </c>
      <c r="BI421" s="557">
        <f>IF(WWWW[[#This Row],['# people reached by regular dedicated hygiene promotion]]&gt;WWWW[[#This Row],['# People received regular supply of hygiene items]],WWWW[[#This Row],['# people reached by regular dedicated hygiene promotion]],WWWW[[#This Row],['# People received regular supply of hygiene items]])</f>
        <v>0</v>
      </c>
      <c r="BJ421" s="555">
        <f>IF(WWWW[[#This Row],[HRP3]]/WWWW[[#This Row],[Total PoP ]]&gt;100%,100%,WWWW[[#This Row],[HRP3]]/WWWW[[#This Row],[Total PoP ]])</f>
        <v>0</v>
      </c>
      <c r="BK421" s="558">
        <f>1-WWWW[[#This Row],[Hygiene Coverage%]]</f>
        <v>1</v>
      </c>
      <c r="BL421" s="556">
        <f>WWWW[[#This Row],['# people reached by regular dedicated hygiene promotion]]/WWWW[[#This Row],[Total PoP ]]</f>
        <v>0</v>
      </c>
      <c r="BM42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1" s="557">
        <f>WWWW[[#This Row],['#_of_affected_women_and_girls_receiving_a_sufficient_quantity_of_sanitary_pads]]</f>
        <v>0</v>
      </c>
      <c r="BO421" s="611">
        <f>IF(WWWW[[#This Row],['# People with access to soap]]&gt;WWWW[[#This Row],['# People with access to Sanity Pads]],WWWW[[#This Row],['# People with access to soap]],WWWW[[#This Row],['# People with access to Sanity Pads]])</f>
        <v>0</v>
      </c>
      <c r="BP421" s="565" t="str">
        <f>IF(OR(WWWW[[#This Row],['#of students in school]]="",WWWW[[#This Row],['#of students in school]]=0),"No","Yes")</f>
        <v>No</v>
      </c>
      <c r="BQ421" s="559" t="str">
        <f>VLOOKUP(WWWW[[#This Row],[Village  Name]],SiteDB6[[Site Name]:[Location Type 1]],9,FALSE)</f>
        <v>Village</v>
      </c>
      <c r="BR421" s="559" t="str">
        <f>VLOOKUP(WWWW[[#This Row],[Village  Name]],SiteDB6[[Site Name]:[Type of Accommodation]],10,FALSE)</f>
        <v>Village</v>
      </c>
      <c r="BS421" s="559" t="str">
        <f>VLOOKUP(WWWW[[#This Row],[Village  Name]],SiteDB6[[Site Name]:[Ethnic or GCA/NGCA]],11,FALSE)</f>
        <v>Rakhine</v>
      </c>
      <c r="BT421" s="559">
        <f>VLOOKUP(WWWW[[#This Row],[Village  Name]],SiteDB6[[Site Name]:[Lat]],12,FALSE)</f>
        <v>20.767719270000001</v>
      </c>
      <c r="BU421" s="559">
        <f>VLOOKUP(WWWW[[#This Row],[Village  Name]],SiteDB6[[Site Name]:[Long]],13,FALSE)</f>
        <v>92.631736759999995</v>
      </c>
      <c r="BV421" s="559">
        <f>VLOOKUP(WWWW[[#This Row],[Village  Name]],SiteDB6[[Site Name]:[Pcode]],3,FALSE)</f>
        <v>198409</v>
      </c>
      <c r="BW421" s="559" t="str">
        <f t="shared" si="15"/>
        <v>Covered</v>
      </c>
      <c r="BX421" s="587"/>
    </row>
    <row r="422" spans="1:76">
      <c r="A422" s="612" t="s">
        <v>2381</v>
      </c>
      <c r="B422" s="612" t="s">
        <v>2540</v>
      </c>
      <c r="C422" s="457" t="s">
        <v>371</v>
      </c>
      <c r="D422" s="457" t="s">
        <v>2541</v>
      </c>
      <c r="E422" s="457" t="s">
        <v>2686</v>
      </c>
      <c r="F422" s="457" t="s">
        <v>307</v>
      </c>
      <c r="G422" s="551" t="str">
        <f>VLOOKUP(WWWW[[#This Row],[Village  Name]],SiteDB6[[Site Name]:[Location Type]],8,FALSE)</f>
        <v>Village</v>
      </c>
      <c r="H422" s="457" t="s">
        <v>2559</v>
      </c>
      <c r="I422" s="611">
        <v>31</v>
      </c>
      <c r="J422" s="611">
        <v>256</v>
      </c>
      <c r="K422" s="461">
        <v>43480</v>
      </c>
      <c r="L422" s="55">
        <v>43723</v>
      </c>
      <c r="M422" s="611"/>
      <c r="N422" s="611"/>
      <c r="O422" s="611"/>
      <c r="P422" s="611"/>
      <c r="Q422" s="611"/>
      <c r="R422" s="611"/>
      <c r="S422" s="611"/>
      <c r="T422" s="643"/>
      <c r="U422" s="611"/>
      <c r="V422" s="611" t="s">
        <v>3049</v>
      </c>
      <c r="W422" s="611"/>
      <c r="X422" s="611"/>
      <c r="Y422" s="611"/>
      <c r="Z422" s="611"/>
      <c r="AA422" s="611"/>
      <c r="AB422" s="643"/>
      <c r="AC422" s="611"/>
      <c r="AD422" s="611"/>
      <c r="AE422" s="611"/>
      <c r="AF422" s="611"/>
      <c r="AG422" s="611"/>
      <c r="AH422" s="611"/>
      <c r="AI422" s="611"/>
      <c r="AJ422" s="611"/>
      <c r="AK422" s="611"/>
      <c r="AL422" s="611"/>
      <c r="AM422" s="643"/>
      <c r="AN422" s="611"/>
      <c r="AO422" s="611"/>
      <c r="AP42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2" s="565">
        <f>WWWW[[#This Row],[%Equitable and continuous access to sufficient quantity of safe drinking water]]*WWWW[[#This Row],[Total PoP ]]</f>
        <v>0</v>
      </c>
      <c r="AR42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2" s="565">
        <f>WWWW[[#This Row],[% Access to unimproved water points]]*WWWW[[#This Row],[Total PoP ]]</f>
        <v>0</v>
      </c>
      <c r="AT42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2" s="565">
        <f>WWWW[[#This Row],[HRP1]]/250</f>
        <v>0</v>
      </c>
      <c r="AW422" s="555">
        <f>1-WWWW[[#This Row],[% Equitable and continuous access to sufficient quantity of domestic water]]</f>
        <v>1</v>
      </c>
      <c r="AX422" s="565">
        <f>WWWW[[#This Row],[%equitable and continuous access to sufficient quantity of safe drinking and domestic water''s GAP]]*WWWW[[#This Row],[Total PoP ]]</f>
        <v>256</v>
      </c>
      <c r="AY422" s="557">
        <f>IF(WWWW[[#This Row],[Total required water points]]-WWWW[[#This Row],['#Water points coverage]]&lt;0,0,WWWW[[#This Row],[Total required water points]]-WWWW[[#This Row],['#Water points coverage]])</f>
        <v>1</v>
      </c>
      <c r="AZ422" s="557">
        <f>ROUND(IF(WWWW[[#This Row],[Total PoP ]]&lt;250,1,WWWW[[#This Row],[Total PoP ]]/250),0)</f>
        <v>1</v>
      </c>
      <c r="BA42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2" s="565">
        <f>WWWW[[#This Row],[% people access to functioning Latrine]]*WWWW[[#This Row],[Total PoP ]]</f>
        <v>0</v>
      </c>
      <c r="BC422" s="557">
        <f>WWWW[[#This Row],['#_of_Functioning_latrines_in_school]]*50</f>
        <v>0</v>
      </c>
      <c r="BD422" s="557">
        <f>ROUND((WWWW[[#This Row],[Total PoP ]]/6),0)</f>
        <v>43</v>
      </c>
      <c r="BE422" s="557">
        <f>IF(WWWW[[#This Row],[Total required Latrines]]-(WWWW[[#This Row],['#_of_sanitary_fly-proof_HH_latrines]])&lt;0,0,WWWW[[#This Row],[Total required Latrines]]-(WWWW[[#This Row],['#_of_sanitary_fly-proof_HH_latrines]]))</f>
        <v>43</v>
      </c>
      <c r="BF422" s="558">
        <f>1-WWWW[[#This Row],[% people access to functioning Latrine]]</f>
        <v>1</v>
      </c>
      <c r="BG42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2" s="565">
        <f>IF(WWWW[[#This Row],['#_of_functional_handwashing_facilities_at_HH_level]]*6&gt;WWWW[[#This Row],[Total PoP ]],WWWW[[#This Row],[Total PoP ]],WWWW[[#This Row],['#_of_functional_handwashing_facilities_at_HH_level]]*6)</f>
        <v>0</v>
      </c>
      <c r="BI422" s="557">
        <f>IF(WWWW[[#This Row],['# people reached by regular dedicated hygiene promotion]]&gt;WWWW[[#This Row],['# People received regular supply of hygiene items]],WWWW[[#This Row],['# people reached by regular dedicated hygiene promotion]],WWWW[[#This Row],['# People received regular supply of hygiene items]])</f>
        <v>0</v>
      </c>
      <c r="BJ422" s="555">
        <f>IF(WWWW[[#This Row],[HRP3]]/WWWW[[#This Row],[Total PoP ]]&gt;100%,100%,WWWW[[#This Row],[HRP3]]/WWWW[[#This Row],[Total PoP ]])</f>
        <v>0</v>
      </c>
      <c r="BK422" s="558">
        <f>1-WWWW[[#This Row],[Hygiene Coverage%]]</f>
        <v>1</v>
      </c>
      <c r="BL422" s="556">
        <f>WWWW[[#This Row],['# people reached by regular dedicated hygiene promotion]]/WWWW[[#This Row],[Total PoP ]]</f>
        <v>0</v>
      </c>
      <c r="BM42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2" s="557">
        <f>WWWW[[#This Row],['#_of_affected_women_and_girls_receiving_a_sufficient_quantity_of_sanitary_pads]]</f>
        <v>0</v>
      </c>
      <c r="BO422" s="611">
        <f>IF(WWWW[[#This Row],['# People with access to soap]]&gt;WWWW[[#This Row],['# People with access to Sanity Pads]],WWWW[[#This Row],['# People with access to soap]],WWWW[[#This Row],['# People with access to Sanity Pads]])</f>
        <v>0</v>
      </c>
      <c r="BP422" s="565" t="str">
        <f>IF(OR(WWWW[[#This Row],['#of students in school]]="",WWWW[[#This Row],['#of students in school]]=0),"No","Yes")</f>
        <v>No</v>
      </c>
      <c r="BQ422" s="559" t="str">
        <f>VLOOKUP(WWWW[[#This Row],[Village  Name]],SiteDB6[[Site Name]:[Location Type 1]],9,FALSE)</f>
        <v>Village</v>
      </c>
      <c r="BR422" s="559" t="str">
        <f>VLOOKUP(WWWW[[#This Row],[Village  Name]],SiteDB6[[Site Name]:[Type of Accommodation]],10,FALSE)</f>
        <v>Village</v>
      </c>
      <c r="BS422" s="559" t="str">
        <f>VLOOKUP(WWWW[[#This Row],[Village  Name]],SiteDB6[[Site Name]:[Ethnic or GCA/NGCA]],11,FALSE)</f>
        <v>Rakhine</v>
      </c>
      <c r="BT422" s="559">
        <f>VLOOKUP(WWWW[[#This Row],[Village  Name]],SiteDB6[[Site Name]:[Lat]],12,FALSE)</f>
        <v>0</v>
      </c>
      <c r="BU422" s="559">
        <f>VLOOKUP(WWWW[[#This Row],[Village  Name]],SiteDB6[[Site Name]:[Long]],13,FALSE)</f>
        <v>0</v>
      </c>
      <c r="BV422" s="559">
        <f>VLOOKUP(WWWW[[#This Row],[Village  Name]],SiteDB6[[Site Name]:[Pcode]],3,FALSE)</f>
        <v>0</v>
      </c>
      <c r="BW422" s="559" t="str">
        <f t="shared" si="15"/>
        <v>Covered</v>
      </c>
      <c r="BX422" s="587"/>
    </row>
    <row r="423" spans="1:76">
      <c r="A423" s="612" t="s">
        <v>2381</v>
      </c>
      <c r="B423" s="612" t="s">
        <v>2540</v>
      </c>
      <c r="C423" s="457" t="s">
        <v>371</v>
      </c>
      <c r="D423" s="457" t="s">
        <v>2541</v>
      </c>
      <c r="E423" s="457" t="s">
        <v>2686</v>
      </c>
      <c r="F423" s="457" t="s">
        <v>307</v>
      </c>
      <c r="G423" s="551" t="str">
        <f>VLOOKUP(WWWW[[#This Row],[Village  Name]],SiteDB6[[Site Name]:[Location Type]],8,FALSE)</f>
        <v>Village</v>
      </c>
      <c r="H423" s="457" t="s">
        <v>2061</v>
      </c>
      <c r="I423" s="611">
        <v>86</v>
      </c>
      <c r="J423" s="611">
        <v>401</v>
      </c>
      <c r="K423" s="461">
        <v>43480</v>
      </c>
      <c r="L423" s="55">
        <v>43723</v>
      </c>
      <c r="M423" s="611"/>
      <c r="N423" s="611"/>
      <c r="O423" s="611"/>
      <c r="P423" s="611"/>
      <c r="Q423" s="611"/>
      <c r="R423" s="611"/>
      <c r="S423" s="611"/>
      <c r="T423" s="643"/>
      <c r="U423" s="611"/>
      <c r="V423" s="611" t="s">
        <v>3049</v>
      </c>
      <c r="W423" s="611"/>
      <c r="X423" s="611"/>
      <c r="Y423" s="611"/>
      <c r="Z423" s="611"/>
      <c r="AA423" s="611"/>
      <c r="AB423" s="643"/>
      <c r="AC423" s="611"/>
      <c r="AD423" s="611"/>
      <c r="AE423" s="611"/>
      <c r="AF423" s="611"/>
      <c r="AG423" s="611"/>
      <c r="AH423" s="611"/>
      <c r="AI423" s="611"/>
      <c r="AJ423" s="611"/>
      <c r="AK423" s="611"/>
      <c r="AL423" s="611"/>
      <c r="AM423" s="643"/>
      <c r="AN423" s="611"/>
      <c r="AO423" s="611"/>
      <c r="AP42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3" s="565">
        <f>WWWW[[#This Row],[%Equitable and continuous access to sufficient quantity of safe drinking water]]*WWWW[[#This Row],[Total PoP ]]</f>
        <v>0</v>
      </c>
      <c r="AR42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3" s="565">
        <f>WWWW[[#This Row],[% Access to unimproved water points]]*WWWW[[#This Row],[Total PoP ]]</f>
        <v>0</v>
      </c>
      <c r="AT42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3" s="565">
        <f>WWWW[[#This Row],[HRP1]]/250</f>
        <v>0</v>
      </c>
      <c r="AW423" s="555">
        <f>1-WWWW[[#This Row],[% Equitable and continuous access to sufficient quantity of domestic water]]</f>
        <v>1</v>
      </c>
      <c r="AX423" s="565">
        <f>WWWW[[#This Row],[%equitable and continuous access to sufficient quantity of safe drinking and domestic water''s GAP]]*WWWW[[#This Row],[Total PoP ]]</f>
        <v>401</v>
      </c>
      <c r="AY423" s="557">
        <f>IF(WWWW[[#This Row],[Total required water points]]-WWWW[[#This Row],['#Water points coverage]]&lt;0,0,WWWW[[#This Row],[Total required water points]]-WWWW[[#This Row],['#Water points coverage]])</f>
        <v>2</v>
      </c>
      <c r="AZ423" s="557">
        <f>ROUND(IF(WWWW[[#This Row],[Total PoP ]]&lt;250,1,WWWW[[#This Row],[Total PoP ]]/250),0)</f>
        <v>2</v>
      </c>
      <c r="BA42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3" s="565">
        <f>WWWW[[#This Row],[% people access to functioning Latrine]]*WWWW[[#This Row],[Total PoP ]]</f>
        <v>0</v>
      </c>
      <c r="BC423" s="557">
        <f>WWWW[[#This Row],['#_of_Functioning_latrines_in_school]]*50</f>
        <v>0</v>
      </c>
      <c r="BD423" s="557">
        <f>ROUND((WWWW[[#This Row],[Total PoP ]]/6),0)</f>
        <v>67</v>
      </c>
      <c r="BE423" s="557">
        <f>IF(WWWW[[#This Row],[Total required Latrines]]-(WWWW[[#This Row],['#_of_sanitary_fly-proof_HH_latrines]])&lt;0,0,WWWW[[#This Row],[Total required Latrines]]-(WWWW[[#This Row],['#_of_sanitary_fly-proof_HH_latrines]]))</f>
        <v>67</v>
      </c>
      <c r="BF423" s="558">
        <f>1-WWWW[[#This Row],[% people access to functioning Latrine]]</f>
        <v>1</v>
      </c>
      <c r="BG42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3" s="565">
        <f>IF(WWWW[[#This Row],['#_of_functional_handwashing_facilities_at_HH_level]]*6&gt;WWWW[[#This Row],[Total PoP ]],WWWW[[#This Row],[Total PoP ]],WWWW[[#This Row],['#_of_functional_handwashing_facilities_at_HH_level]]*6)</f>
        <v>0</v>
      </c>
      <c r="BI423" s="557">
        <f>IF(WWWW[[#This Row],['# people reached by regular dedicated hygiene promotion]]&gt;WWWW[[#This Row],['# People received regular supply of hygiene items]],WWWW[[#This Row],['# people reached by regular dedicated hygiene promotion]],WWWW[[#This Row],['# People received regular supply of hygiene items]])</f>
        <v>0</v>
      </c>
      <c r="BJ423" s="555">
        <f>IF(WWWW[[#This Row],[HRP3]]/WWWW[[#This Row],[Total PoP ]]&gt;100%,100%,WWWW[[#This Row],[HRP3]]/WWWW[[#This Row],[Total PoP ]])</f>
        <v>0</v>
      </c>
      <c r="BK423" s="558">
        <f>1-WWWW[[#This Row],[Hygiene Coverage%]]</f>
        <v>1</v>
      </c>
      <c r="BL423" s="556">
        <f>WWWW[[#This Row],['# people reached by regular dedicated hygiene promotion]]/WWWW[[#This Row],[Total PoP ]]</f>
        <v>0</v>
      </c>
      <c r="BM42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3" s="557">
        <f>WWWW[[#This Row],['#_of_affected_women_and_girls_receiving_a_sufficient_quantity_of_sanitary_pads]]</f>
        <v>0</v>
      </c>
      <c r="BO423" s="611">
        <f>IF(WWWW[[#This Row],['# People with access to soap]]&gt;WWWW[[#This Row],['# People with access to Sanity Pads]],WWWW[[#This Row],['# People with access to soap]],WWWW[[#This Row],['# People with access to Sanity Pads]])</f>
        <v>0</v>
      </c>
      <c r="BP423" s="565" t="str">
        <f>IF(OR(WWWW[[#This Row],['#of students in school]]="",WWWW[[#This Row],['#of students in school]]=0),"No","Yes")</f>
        <v>No</v>
      </c>
      <c r="BQ423" s="559" t="str">
        <f>VLOOKUP(WWWW[[#This Row],[Village  Name]],SiteDB6[[Site Name]:[Location Type 1]],9,FALSE)</f>
        <v>Village</v>
      </c>
      <c r="BR423" s="559" t="str">
        <f>VLOOKUP(WWWW[[#This Row],[Village  Name]],SiteDB6[[Site Name]:[Type of Accommodation]],10,FALSE)</f>
        <v>Village</v>
      </c>
      <c r="BS423" s="559" t="str">
        <f>VLOOKUP(WWWW[[#This Row],[Village  Name]],SiteDB6[[Site Name]:[Ethnic or GCA/NGCA]],11,FALSE)</f>
        <v>Rakhine</v>
      </c>
      <c r="BT423" s="559">
        <f>VLOOKUP(WWWW[[#This Row],[Village  Name]],SiteDB6[[Site Name]:[Lat]],12,FALSE)</f>
        <v>20.806211470000001</v>
      </c>
      <c r="BU423" s="559">
        <f>VLOOKUP(WWWW[[#This Row],[Village  Name]],SiteDB6[[Site Name]:[Long]],13,FALSE)</f>
        <v>92.404357910000002</v>
      </c>
      <c r="BV423" s="559">
        <f>VLOOKUP(WWWW[[#This Row],[Village  Name]],SiteDB6[[Site Name]:[Pcode]],3,FALSE)</f>
        <v>220737</v>
      </c>
      <c r="BW423" s="559" t="str">
        <f t="shared" si="15"/>
        <v>Covered</v>
      </c>
      <c r="BX423" s="587"/>
    </row>
    <row r="424" spans="1:76">
      <c r="A424" s="612" t="s">
        <v>2381</v>
      </c>
      <c r="B424" s="612" t="s">
        <v>2540</v>
      </c>
      <c r="C424" s="457" t="s">
        <v>371</v>
      </c>
      <c r="D424" s="457" t="s">
        <v>2541</v>
      </c>
      <c r="E424" s="457" t="s">
        <v>2686</v>
      </c>
      <c r="F424" s="457" t="s">
        <v>321</v>
      </c>
      <c r="G424" s="551" t="str">
        <f>VLOOKUP(WWWW[[#This Row],[Village  Name]],SiteDB6[[Site Name]:[Location Type]],8,FALSE)</f>
        <v>Village</v>
      </c>
      <c r="H424" s="457" t="s">
        <v>2548</v>
      </c>
      <c r="I424" s="611">
        <v>23</v>
      </c>
      <c r="J424" s="611">
        <v>86</v>
      </c>
      <c r="K424" s="461">
        <v>43480</v>
      </c>
      <c r="L424" s="55">
        <v>43723</v>
      </c>
      <c r="M424" s="611"/>
      <c r="N424" s="611"/>
      <c r="O424" s="611"/>
      <c r="P424" s="611"/>
      <c r="Q424" s="611"/>
      <c r="R424" s="611"/>
      <c r="S424" s="611"/>
      <c r="T424" s="643"/>
      <c r="U424" s="611"/>
      <c r="V424" s="611" t="s">
        <v>3049</v>
      </c>
      <c r="W424" s="611"/>
      <c r="X424" s="611"/>
      <c r="Y424" s="611"/>
      <c r="Z424" s="611"/>
      <c r="AA424" s="611"/>
      <c r="AB424" s="643"/>
      <c r="AC424" s="611"/>
      <c r="AD424" s="611"/>
      <c r="AE424" s="611"/>
      <c r="AF424" s="611"/>
      <c r="AG424" s="611"/>
      <c r="AH424" s="611"/>
      <c r="AI424" s="611"/>
      <c r="AJ424" s="611"/>
      <c r="AK424" s="611"/>
      <c r="AL424" s="611"/>
      <c r="AM424" s="643"/>
      <c r="AN424" s="611"/>
      <c r="AO424" s="611"/>
      <c r="AP42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4" s="565">
        <f>WWWW[[#This Row],[%Equitable and continuous access to sufficient quantity of safe drinking water]]*WWWW[[#This Row],[Total PoP ]]</f>
        <v>0</v>
      </c>
      <c r="AR42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4" s="565">
        <f>WWWW[[#This Row],[% Access to unimproved water points]]*WWWW[[#This Row],[Total PoP ]]</f>
        <v>0</v>
      </c>
      <c r="AT42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4" s="565">
        <f>WWWW[[#This Row],[HRP1]]/250</f>
        <v>0</v>
      </c>
      <c r="AW424" s="555">
        <f>1-WWWW[[#This Row],[% Equitable and continuous access to sufficient quantity of domestic water]]</f>
        <v>1</v>
      </c>
      <c r="AX424" s="565">
        <f>WWWW[[#This Row],[%equitable and continuous access to sufficient quantity of safe drinking and domestic water''s GAP]]*WWWW[[#This Row],[Total PoP ]]</f>
        <v>86</v>
      </c>
      <c r="AY424" s="557">
        <f>IF(WWWW[[#This Row],[Total required water points]]-WWWW[[#This Row],['#Water points coverage]]&lt;0,0,WWWW[[#This Row],[Total required water points]]-WWWW[[#This Row],['#Water points coverage]])</f>
        <v>1</v>
      </c>
      <c r="AZ424" s="557">
        <f>ROUND(IF(WWWW[[#This Row],[Total PoP ]]&lt;250,1,WWWW[[#This Row],[Total PoP ]]/250),0)</f>
        <v>1</v>
      </c>
      <c r="BA42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4" s="565">
        <f>WWWW[[#This Row],[% people access to functioning Latrine]]*WWWW[[#This Row],[Total PoP ]]</f>
        <v>0</v>
      </c>
      <c r="BC424" s="557">
        <f>WWWW[[#This Row],['#_of_Functioning_latrines_in_school]]*50</f>
        <v>0</v>
      </c>
      <c r="BD424" s="557">
        <f>ROUND((WWWW[[#This Row],[Total PoP ]]/6),0)</f>
        <v>14</v>
      </c>
      <c r="BE424" s="557">
        <f>IF(WWWW[[#This Row],[Total required Latrines]]-(WWWW[[#This Row],['#_of_sanitary_fly-proof_HH_latrines]])&lt;0,0,WWWW[[#This Row],[Total required Latrines]]-(WWWW[[#This Row],['#_of_sanitary_fly-proof_HH_latrines]]))</f>
        <v>14</v>
      </c>
      <c r="BF424" s="558">
        <f>1-WWWW[[#This Row],[% people access to functioning Latrine]]</f>
        <v>1</v>
      </c>
      <c r="BG42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4" s="565">
        <f>IF(WWWW[[#This Row],['#_of_functional_handwashing_facilities_at_HH_level]]*6&gt;WWWW[[#This Row],[Total PoP ]],WWWW[[#This Row],[Total PoP ]],WWWW[[#This Row],['#_of_functional_handwashing_facilities_at_HH_level]]*6)</f>
        <v>0</v>
      </c>
      <c r="BI424" s="557">
        <f>IF(WWWW[[#This Row],['# people reached by regular dedicated hygiene promotion]]&gt;WWWW[[#This Row],['# People received regular supply of hygiene items]],WWWW[[#This Row],['# people reached by regular dedicated hygiene promotion]],WWWW[[#This Row],['# People received regular supply of hygiene items]])</f>
        <v>0</v>
      </c>
      <c r="BJ424" s="555">
        <f>IF(WWWW[[#This Row],[HRP3]]/WWWW[[#This Row],[Total PoP ]]&gt;100%,100%,WWWW[[#This Row],[HRP3]]/WWWW[[#This Row],[Total PoP ]])</f>
        <v>0</v>
      </c>
      <c r="BK424" s="558">
        <f>1-WWWW[[#This Row],[Hygiene Coverage%]]</f>
        <v>1</v>
      </c>
      <c r="BL424" s="556">
        <f>WWWW[[#This Row],['# people reached by regular dedicated hygiene promotion]]/WWWW[[#This Row],[Total PoP ]]</f>
        <v>0</v>
      </c>
      <c r="BM42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4" s="557">
        <f>WWWW[[#This Row],['#_of_affected_women_and_girls_receiving_a_sufficient_quantity_of_sanitary_pads]]</f>
        <v>0</v>
      </c>
      <c r="BO424" s="611">
        <f>IF(WWWW[[#This Row],['# People with access to soap]]&gt;WWWW[[#This Row],['# People with access to Sanity Pads]],WWWW[[#This Row],['# People with access to soap]],WWWW[[#This Row],['# People with access to Sanity Pads]])</f>
        <v>0</v>
      </c>
      <c r="BP424" s="565" t="str">
        <f>IF(OR(WWWW[[#This Row],['#of students in school]]="",WWWW[[#This Row],['#of students in school]]=0),"No","Yes")</f>
        <v>No</v>
      </c>
      <c r="BQ424" s="559" t="str">
        <f>VLOOKUP(WWWW[[#This Row],[Village  Name]],SiteDB6[[Site Name]:[Location Type 1]],9,FALSE)</f>
        <v>Village</v>
      </c>
      <c r="BR424" s="559" t="str">
        <f>VLOOKUP(WWWW[[#This Row],[Village  Name]],SiteDB6[[Site Name]:[Type of Accommodation]],10,FALSE)</f>
        <v>Village</v>
      </c>
      <c r="BS424" s="559" t="str">
        <f>VLOOKUP(WWWW[[#This Row],[Village  Name]],SiteDB6[[Site Name]:[Ethnic or GCA/NGCA]],11,FALSE)</f>
        <v>Rakhine</v>
      </c>
      <c r="BT424" s="559">
        <f>VLOOKUP(WWWW[[#This Row],[Village  Name]],SiteDB6[[Site Name]:[Lat]],12,FALSE)</f>
        <v>0</v>
      </c>
      <c r="BU424" s="559">
        <f>VLOOKUP(WWWW[[#This Row],[Village  Name]],SiteDB6[[Site Name]:[Long]],13,FALSE)</f>
        <v>0</v>
      </c>
      <c r="BV424" s="559">
        <f>VLOOKUP(WWWW[[#This Row],[Village  Name]],SiteDB6[[Site Name]:[Pcode]],3,FALSE)</f>
        <v>198337</v>
      </c>
      <c r="BW424" s="559" t="str">
        <f t="shared" si="15"/>
        <v>Covered</v>
      </c>
      <c r="BX424" s="587"/>
    </row>
    <row r="425" spans="1:76">
      <c r="A425" s="612" t="s">
        <v>2381</v>
      </c>
      <c r="B425" s="612" t="s">
        <v>2540</v>
      </c>
      <c r="C425" s="457" t="s">
        <v>371</v>
      </c>
      <c r="D425" s="457" t="s">
        <v>2541</v>
      </c>
      <c r="E425" s="457" t="s">
        <v>2686</v>
      </c>
      <c r="F425" s="457" t="s">
        <v>321</v>
      </c>
      <c r="G425" s="551" t="str">
        <f>VLOOKUP(WWWW[[#This Row],[Village  Name]],SiteDB6[[Site Name]:[Location Type]],8,FALSE)</f>
        <v>Village</v>
      </c>
      <c r="H425" s="457" t="s">
        <v>2547</v>
      </c>
      <c r="I425" s="611">
        <v>74</v>
      </c>
      <c r="J425" s="611">
        <v>343</v>
      </c>
      <c r="K425" s="461">
        <v>43480</v>
      </c>
      <c r="L425" s="55">
        <v>43723</v>
      </c>
      <c r="M425" s="611"/>
      <c r="N425" s="611"/>
      <c r="O425" s="611"/>
      <c r="P425" s="611"/>
      <c r="Q425" s="611"/>
      <c r="R425" s="611"/>
      <c r="S425" s="611"/>
      <c r="T425" s="643"/>
      <c r="U425" s="611"/>
      <c r="V425" s="611" t="s">
        <v>3049</v>
      </c>
      <c r="W425" s="611"/>
      <c r="X425" s="611"/>
      <c r="Y425" s="611"/>
      <c r="Z425" s="611"/>
      <c r="AA425" s="611"/>
      <c r="AB425" s="643"/>
      <c r="AC425" s="611"/>
      <c r="AD425" s="611"/>
      <c r="AE425" s="611"/>
      <c r="AF425" s="611"/>
      <c r="AG425" s="611"/>
      <c r="AH425" s="611"/>
      <c r="AI425" s="611"/>
      <c r="AJ425" s="611"/>
      <c r="AK425" s="611"/>
      <c r="AL425" s="611"/>
      <c r="AM425" s="643"/>
      <c r="AN425" s="611"/>
      <c r="AO425" s="611"/>
      <c r="AP42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5" s="565">
        <f>WWWW[[#This Row],[%Equitable and continuous access to sufficient quantity of safe drinking water]]*WWWW[[#This Row],[Total PoP ]]</f>
        <v>0</v>
      </c>
      <c r="AR42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5" s="565">
        <f>WWWW[[#This Row],[% Access to unimproved water points]]*WWWW[[#This Row],[Total PoP ]]</f>
        <v>0</v>
      </c>
      <c r="AT42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5" s="565">
        <f>WWWW[[#This Row],[HRP1]]/250</f>
        <v>0</v>
      </c>
      <c r="AW425" s="555">
        <f>1-WWWW[[#This Row],[% Equitable and continuous access to sufficient quantity of domestic water]]</f>
        <v>1</v>
      </c>
      <c r="AX425" s="565">
        <f>WWWW[[#This Row],[%equitable and continuous access to sufficient quantity of safe drinking and domestic water''s GAP]]*WWWW[[#This Row],[Total PoP ]]</f>
        <v>343</v>
      </c>
      <c r="AY425" s="557">
        <f>IF(WWWW[[#This Row],[Total required water points]]-WWWW[[#This Row],['#Water points coverage]]&lt;0,0,WWWW[[#This Row],[Total required water points]]-WWWW[[#This Row],['#Water points coverage]])</f>
        <v>1</v>
      </c>
      <c r="AZ425" s="557">
        <f>ROUND(IF(WWWW[[#This Row],[Total PoP ]]&lt;250,1,WWWW[[#This Row],[Total PoP ]]/250),0)</f>
        <v>1</v>
      </c>
      <c r="BA42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5" s="565">
        <f>WWWW[[#This Row],[% people access to functioning Latrine]]*WWWW[[#This Row],[Total PoP ]]</f>
        <v>0</v>
      </c>
      <c r="BC425" s="557">
        <f>WWWW[[#This Row],['#_of_Functioning_latrines_in_school]]*50</f>
        <v>0</v>
      </c>
      <c r="BD425" s="557">
        <f>ROUND((WWWW[[#This Row],[Total PoP ]]/6),0)</f>
        <v>57</v>
      </c>
      <c r="BE425" s="557">
        <f>IF(WWWW[[#This Row],[Total required Latrines]]-(WWWW[[#This Row],['#_of_sanitary_fly-proof_HH_latrines]])&lt;0,0,WWWW[[#This Row],[Total required Latrines]]-(WWWW[[#This Row],['#_of_sanitary_fly-proof_HH_latrines]]))</f>
        <v>57</v>
      </c>
      <c r="BF425" s="558">
        <f>1-WWWW[[#This Row],[% people access to functioning Latrine]]</f>
        <v>1</v>
      </c>
      <c r="BG42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5" s="565">
        <f>IF(WWWW[[#This Row],['#_of_functional_handwashing_facilities_at_HH_level]]*6&gt;WWWW[[#This Row],[Total PoP ]],WWWW[[#This Row],[Total PoP ]],WWWW[[#This Row],['#_of_functional_handwashing_facilities_at_HH_level]]*6)</f>
        <v>0</v>
      </c>
      <c r="BI425" s="557">
        <f>IF(WWWW[[#This Row],['# people reached by regular dedicated hygiene promotion]]&gt;WWWW[[#This Row],['# People received regular supply of hygiene items]],WWWW[[#This Row],['# people reached by regular dedicated hygiene promotion]],WWWW[[#This Row],['# People received regular supply of hygiene items]])</f>
        <v>0</v>
      </c>
      <c r="BJ425" s="555">
        <f>IF(WWWW[[#This Row],[HRP3]]/WWWW[[#This Row],[Total PoP ]]&gt;100%,100%,WWWW[[#This Row],[HRP3]]/WWWW[[#This Row],[Total PoP ]])</f>
        <v>0</v>
      </c>
      <c r="BK425" s="558">
        <f>1-WWWW[[#This Row],[Hygiene Coverage%]]</f>
        <v>1</v>
      </c>
      <c r="BL425" s="556">
        <f>WWWW[[#This Row],['# people reached by regular dedicated hygiene promotion]]/WWWW[[#This Row],[Total PoP ]]</f>
        <v>0</v>
      </c>
      <c r="BM42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5" s="557">
        <f>WWWW[[#This Row],['#_of_affected_women_and_girls_receiving_a_sufficient_quantity_of_sanitary_pads]]</f>
        <v>0</v>
      </c>
      <c r="BO425" s="611">
        <f>IF(WWWW[[#This Row],['# People with access to soap]]&gt;WWWW[[#This Row],['# People with access to Sanity Pads]],WWWW[[#This Row],['# People with access to soap]],WWWW[[#This Row],['# People with access to Sanity Pads]])</f>
        <v>0</v>
      </c>
      <c r="BP425" s="565" t="str">
        <f>IF(OR(WWWW[[#This Row],['#of students in school]]="",WWWW[[#This Row],['#of students in school]]=0),"No","Yes")</f>
        <v>No</v>
      </c>
      <c r="BQ425" s="559" t="str">
        <f>VLOOKUP(WWWW[[#This Row],[Village  Name]],SiteDB6[[Site Name]:[Location Type 1]],9,FALSE)</f>
        <v>Village</v>
      </c>
      <c r="BR425" s="559" t="str">
        <f>VLOOKUP(WWWW[[#This Row],[Village  Name]],SiteDB6[[Site Name]:[Type of Accommodation]],10,FALSE)</f>
        <v>Village</v>
      </c>
      <c r="BS425" s="559" t="str">
        <f>VLOOKUP(WWWW[[#This Row],[Village  Name]],SiteDB6[[Site Name]:[Ethnic or GCA/NGCA]],11,FALSE)</f>
        <v>Rakhine</v>
      </c>
      <c r="BT425" s="559">
        <f>VLOOKUP(WWWW[[#This Row],[Village  Name]],SiteDB6[[Site Name]:[Lat]],12,FALSE)</f>
        <v>0</v>
      </c>
      <c r="BU425" s="559">
        <f>VLOOKUP(WWWW[[#This Row],[Village  Name]],SiteDB6[[Site Name]:[Long]],13,FALSE)</f>
        <v>0</v>
      </c>
      <c r="BV425" s="559">
        <f>VLOOKUP(WWWW[[#This Row],[Village  Name]],SiteDB6[[Site Name]:[Pcode]],3,FALSE)</f>
        <v>198363</v>
      </c>
      <c r="BW425" s="559" t="str">
        <f t="shared" si="15"/>
        <v>Covered</v>
      </c>
      <c r="BX425" s="587"/>
    </row>
    <row r="426" spans="1:76">
      <c r="A426" s="612" t="s">
        <v>2381</v>
      </c>
      <c r="B426" s="612" t="s">
        <v>2540</v>
      </c>
      <c r="C426" s="457" t="s">
        <v>371</v>
      </c>
      <c r="D426" s="457" t="s">
        <v>2541</v>
      </c>
      <c r="E426" s="457" t="s">
        <v>2686</v>
      </c>
      <c r="F426" s="457" t="s">
        <v>321</v>
      </c>
      <c r="G426" s="551" t="str">
        <f>VLOOKUP(WWWW[[#This Row],[Village  Name]],SiteDB6[[Site Name]:[Location Type]],8,FALSE)</f>
        <v>Village</v>
      </c>
      <c r="H426" s="457" t="s">
        <v>2557</v>
      </c>
      <c r="I426" s="611">
        <v>18</v>
      </c>
      <c r="J426" s="611">
        <v>73</v>
      </c>
      <c r="K426" s="461">
        <v>43480</v>
      </c>
      <c r="L426" s="55">
        <v>43723</v>
      </c>
      <c r="M426" s="611"/>
      <c r="N426" s="611"/>
      <c r="O426" s="611"/>
      <c r="P426" s="611"/>
      <c r="Q426" s="611"/>
      <c r="R426" s="611"/>
      <c r="S426" s="611"/>
      <c r="T426" s="643"/>
      <c r="U426" s="611"/>
      <c r="V426" s="611" t="s">
        <v>3049</v>
      </c>
      <c r="W426" s="611"/>
      <c r="X426" s="611"/>
      <c r="Y426" s="611"/>
      <c r="Z426" s="611"/>
      <c r="AA426" s="611"/>
      <c r="AB426" s="643"/>
      <c r="AC426" s="611"/>
      <c r="AD426" s="611"/>
      <c r="AE426" s="611"/>
      <c r="AF426" s="611"/>
      <c r="AG426" s="611"/>
      <c r="AH426" s="611"/>
      <c r="AI426" s="611"/>
      <c r="AJ426" s="611"/>
      <c r="AK426" s="611"/>
      <c r="AL426" s="611"/>
      <c r="AM426" s="643"/>
      <c r="AN426" s="611"/>
      <c r="AO426" s="611"/>
      <c r="AP42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6" s="565">
        <f>WWWW[[#This Row],[%Equitable and continuous access to sufficient quantity of safe drinking water]]*WWWW[[#This Row],[Total PoP ]]</f>
        <v>0</v>
      </c>
      <c r="AR42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6" s="565">
        <f>WWWW[[#This Row],[% Access to unimproved water points]]*WWWW[[#This Row],[Total PoP ]]</f>
        <v>0</v>
      </c>
      <c r="AT42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6" s="565">
        <f>WWWW[[#This Row],[HRP1]]/250</f>
        <v>0</v>
      </c>
      <c r="AW426" s="555">
        <f>1-WWWW[[#This Row],[% Equitable and continuous access to sufficient quantity of domestic water]]</f>
        <v>1</v>
      </c>
      <c r="AX426" s="565">
        <f>WWWW[[#This Row],[%equitable and continuous access to sufficient quantity of safe drinking and domestic water''s GAP]]*WWWW[[#This Row],[Total PoP ]]</f>
        <v>73</v>
      </c>
      <c r="AY426" s="557">
        <f>IF(WWWW[[#This Row],[Total required water points]]-WWWW[[#This Row],['#Water points coverage]]&lt;0,0,WWWW[[#This Row],[Total required water points]]-WWWW[[#This Row],['#Water points coverage]])</f>
        <v>1</v>
      </c>
      <c r="AZ426" s="557">
        <f>ROUND(IF(WWWW[[#This Row],[Total PoP ]]&lt;250,1,WWWW[[#This Row],[Total PoP ]]/250),0)</f>
        <v>1</v>
      </c>
      <c r="BA42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6" s="565">
        <f>WWWW[[#This Row],[% people access to functioning Latrine]]*WWWW[[#This Row],[Total PoP ]]</f>
        <v>0</v>
      </c>
      <c r="BC426" s="557">
        <f>WWWW[[#This Row],['#_of_Functioning_latrines_in_school]]*50</f>
        <v>0</v>
      </c>
      <c r="BD426" s="557">
        <f>ROUND((WWWW[[#This Row],[Total PoP ]]/6),0)</f>
        <v>12</v>
      </c>
      <c r="BE426" s="557">
        <f>IF(WWWW[[#This Row],[Total required Latrines]]-(WWWW[[#This Row],['#_of_sanitary_fly-proof_HH_latrines]])&lt;0,0,WWWW[[#This Row],[Total required Latrines]]-(WWWW[[#This Row],['#_of_sanitary_fly-proof_HH_latrines]]))</f>
        <v>12</v>
      </c>
      <c r="BF426" s="558">
        <f>1-WWWW[[#This Row],[% people access to functioning Latrine]]</f>
        <v>1</v>
      </c>
      <c r="BG42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6" s="565">
        <f>IF(WWWW[[#This Row],['#_of_functional_handwashing_facilities_at_HH_level]]*6&gt;WWWW[[#This Row],[Total PoP ]],WWWW[[#This Row],[Total PoP ]],WWWW[[#This Row],['#_of_functional_handwashing_facilities_at_HH_level]]*6)</f>
        <v>0</v>
      </c>
      <c r="BI426" s="557">
        <f>IF(WWWW[[#This Row],['# people reached by regular dedicated hygiene promotion]]&gt;WWWW[[#This Row],['# People received regular supply of hygiene items]],WWWW[[#This Row],['# people reached by regular dedicated hygiene promotion]],WWWW[[#This Row],['# People received regular supply of hygiene items]])</f>
        <v>0</v>
      </c>
      <c r="BJ426" s="555">
        <f>IF(WWWW[[#This Row],[HRP3]]/WWWW[[#This Row],[Total PoP ]]&gt;100%,100%,WWWW[[#This Row],[HRP3]]/WWWW[[#This Row],[Total PoP ]])</f>
        <v>0</v>
      </c>
      <c r="BK426" s="558">
        <f>1-WWWW[[#This Row],[Hygiene Coverage%]]</f>
        <v>1</v>
      </c>
      <c r="BL426" s="556">
        <f>WWWW[[#This Row],['# people reached by regular dedicated hygiene promotion]]/WWWW[[#This Row],[Total PoP ]]</f>
        <v>0</v>
      </c>
      <c r="BM42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6" s="557">
        <f>WWWW[[#This Row],['#_of_affected_women_and_girls_receiving_a_sufficient_quantity_of_sanitary_pads]]</f>
        <v>0</v>
      </c>
      <c r="BO426" s="611">
        <f>IF(WWWW[[#This Row],['# People with access to soap]]&gt;WWWW[[#This Row],['# People with access to Sanity Pads]],WWWW[[#This Row],['# People with access to soap]],WWWW[[#This Row],['# People with access to Sanity Pads]])</f>
        <v>0</v>
      </c>
      <c r="BP426" s="565" t="str">
        <f>IF(OR(WWWW[[#This Row],['#of students in school]]="",WWWW[[#This Row],['#of students in school]]=0),"No","Yes")</f>
        <v>No</v>
      </c>
      <c r="BQ426" s="559" t="str">
        <f>VLOOKUP(WWWW[[#This Row],[Village  Name]],SiteDB6[[Site Name]:[Location Type 1]],9,FALSE)</f>
        <v>Village</v>
      </c>
      <c r="BR426" s="559" t="str">
        <f>VLOOKUP(WWWW[[#This Row],[Village  Name]],SiteDB6[[Site Name]:[Type of Accommodation]],10,FALSE)</f>
        <v>Village</v>
      </c>
      <c r="BS426" s="559" t="str">
        <f>VLOOKUP(WWWW[[#This Row],[Village  Name]],SiteDB6[[Site Name]:[Ethnic or GCA/NGCA]],11,FALSE)</f>
        <v>Rakhine</v>
      </c>
      <c r="BT426" s="559">
        <f>VLOOKUP(WWWW[[#This Row],[Village  Name]],SiteDB6[[Site Name]:[Lat]],12,FALSE)</f>
        <v>20.887420649999999</v>
      </c>
      <c r="BU426" s="559">
        <f>VLOOKUP(WWWW[[#This Row],[Village  Name]],SiteDB6[[Site Name]:[Long]],13,FALSE)</f>
        <v>92.545410160000003</v>
      </c>
      <c r="BV426" s="559">
        <f>VLOOKUP(WWWW[[#This Row],[Village  Name]],SiteDB6[[Site Name]:[Pcode]],3,FALSE)</f>
        <v>198300</v>
      </c>
      <c r="BW426" s="559" t="str">
        <f t="shared" si="15"/>
        <v>Covered</v>
      </c>
      <c r="BX426" s="587"/>
    </row>
    <row r="427" spans="1:76">
      <c r="A427" s="612" t="s">
        <v>2381</v>
      </c>
      <c r="B427" s="612" t="s">
        <v>2540</v>
      </c>
      <c r="C427" s="457" t="s">
        <v>371</v>
      </c>
      <c r="D427" s="457" t="s">
        <v>2541</v>
      </c>
      <c r="E427" s="457" t="s">
        <v>2686</v>
      </c>
      <c r="F427" s="457" t="s">
        <v>321</v>
      </c>
      <c r="G427" s="551" t="str">
        <f>VLOOKUP(WWWW[[#This Row],[Village  Name]],SiteDB6[[Site Name]:[Location Type]],8,FALSE)</f>
        <v>Village</v>
      </c>
      <c r="H427" s="457" t="s">
        <v>2553</v>
      </c>
      <c r="I427" s="611">
        <v>218</v>
      </c>
      <c r="J427" s="611">
        <v>1207</v>
      </c>
      <c r="K427" s="461">
        <v>43480</v>
      </c>
      <c r="L427" s="55">
        <v>43723</v>
      </c>
      <c r="M427" s="611"/>
      <c r="N427" s="611"/>
      <c r="O427" s="611"/>
      <c r="P427" s="611"/>
      <c r="Q427" s="611"/>
      <c r="R427" s="611"/>
      <c r="S427" s="611"/>
      <c r="T427" s="643"/>
      <c r="U427" s="611"/>
      <c r="V427" s="611" t="s">
        <v>3049</v>
      </c>
      <c r="W427" s="611"/>
      <c r="X427" s="611"/>
      <c r="Y427" s="611"/>
      <c r="Z427" s="611"/>
      <c r="AA427" s="611"/>
      <c r="AB427" s="643"/>
      <c r="AC427" s="611"/>
      <c r="AD427" s="611"/>
      <c r="AE427" s="611"/>
      <c r="AF427" s="611"/>
      <c r="AG427" s="611"/>
      <c r="AH427" s="611"/>
      <c r="AI427" s="611"/>
      <c r="AJ427" s="611"/>
      <c r="AK427" s="611"/>
      <c r="AL427" s="611"/>
      <c r="AM427" s="643"/>
      <c r="AN427" s="611"/>
      <c r="AO427" s="611"/>
      <c r="AP42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7" s="565">
        <f>WWWW[[#This Row],[%Equitable and continuous access to sufficient quantity of safe drinking water]]*WWWW[[#This Row],[Total PoP ]]</f>
        <v>0</v>
      </c>
      <c r="AR42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7" s="565">
        <f>WWWW[[#This Row],[% Access to unimproved water points]]*WWWW[[#This Row],[Total PoP ]]</f>
        <v>0</v>
      </c>
      <c r="AT42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7" s="565">
        <f>WWWW[[#This Row],[HRP1]]/250</f>
        <v>0</v>
      </c>
      <c r="AW427" s="555">
        <f>1-WWWW[[#This Row],[% Equitable and continuous access to sufficient quantity of domestic water]]</f>
        <v>1</v>
      </c>
      <c r="AX427" s="565">
        <f>WWWW[[#This Row],[%equitable and continuous access to sufficient quantity of safe drinking and domestic water''s GAP]]*WWWW[[#This Row],[Total PoP ]]</f>
        <v>1207</v>
      </c>
      <c r="AY427" s="557">
        <f>IF(WWWW[[#This Row],[Total required water points]]-WWWW[[#This Row],['#Water points coverage]]&lt;0,0,WWWW[[#This Row],[Total required water points]]-WWWW[[#This Row],['#Water points coverage]])</f>
        <v>5</v>
      </c>
      <c r="AZ427" s="557">
        <f>ROUND(IF(WWWW[[#This Row],[Total PoP ]]&lt;250,1,WWWW[[#This Row],[Total PoP ]]/250),0)</f>
        <v>5</v>
      </c>
      <c r="BA42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7" s="565">
        <f>WWWW[[#This Row],[% people access to functioning Latrine]]*WWWW[[#This Row],[Total PoP ]]</f>
        <v>0</v>
      </c>
      <c r="BC427" s="557">
        <f>WWWW[[#This Row],['#_of_Functioning_latrines_in_school]]*50</f>
        <v>0</v>
      </c>
      <c r="BD427" s="557">
        <f>ROUND((WWWW[[#This Row],[Total PoP ]]/6),0)</f>
        <v>201</v>
      </c>
      <c r="BE427" s="557">
        <f>IF(WWWW[[#This Row],[Total required Latrines]]-(WWWW[[#This Row],['#_of_sanitary_fly-proof_HH_latrines]])&lt;0,0,WWWW[[#This Row],[Total required Latrines]]-(WWWW[[#This Row],['#_of_sanitary_fly-proof_HH_latrines]]))</f>
        <v>201</v>
      </c>
      <c r="BF427" s="558">
        <f>1-WWWW[[#This Row],[% people access to functioning Latrine]]</f>
        <v>1</v>
      </c>
      <c r="BG42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7" s="565">
        <f>IF(WWWW[[#This Row],['#_of_functional_handwashing_facilities_at_HH_level]]*6&gt;WWWW[[#This Row],[Total PoP ]],WWWW[[#This Row],[Total PoP ]],WWWW[[#This Row],['#_of_functional_handwashing_facilities_at_HH_level]]*6)</f>
        <v>0</v>
      </c>
      <c r="BI427" s="557">
        <f>IF(WWWW[[#This Row],['# people reached by regular dedicated hygiene promotion]]&gt;WWWW[[#This Row],['# People received regular supply of hygiene items]],WWWW[[#This Row],['# people reached by regular dedicated hygiene promotion]],WWWW[[#This Row],['# People received regular supply of hygiene items]])</f>
        <v>0</v>
      </c>
      <c r="BJ427" s="555">
        <f>IF(WWWW[[#This Row],[HRP3]]/WWWW[[#This Row],[Total PoP ]]&gt;100%,100%,WWWW[[#This Row],[HRP3]]/WWWW[[#This Row],[Total PoP ]])</f>
        <v>0</v>
      </c>
      <c r="BK427" s="558">
        <f>1-WWWW[[#This Row],[Hygiene Coverage%]]</f>
        <v>1</v>
      </c>
      <c r="BL427" s="556">
        <f>WWWW[[#This Row],['# people reached by regular dedicated hygiene promotion]]/WWWW[[#This Row],[Total PoP ]]</f>
        <v>0</v>
      </c>
      <c r="BM42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7" s="557">
        <f>WWWW[[#This Row],['#_of_affected_women_and_girls_receiving_a_sufficient_quantity_of_sanitary_pads]]</f>
        <v>0</v>
      </c>
      <c r="BO427" s="611">
        <f>IF(WWWW[[#This Row],['# People with access to soap]]&gt;WWWW[[#This Row],['# People with access to Sanity Pads]],WWWW[[#This Row],['# People with access to soap]],WWWW[[#This Row],['# People with access to Sanity Pads]])</f>
        <v>0</v>
      </c>
      <c r="BP427" s="565" t="str">
        <f>IF(OR(WWWW[[#This Row],['#of students in school]]="",WWWW[[#This Row],['#of students in school]]=0),"No","Yes")</f>
        <v>No</v>
      </c>
      <c r="BQ427" s="559" t="str">
        <f>VLOOKUP(WWWW[[#This Row],[Village  Name]],SiteDB6[[Site Name]:[Location Type 1]],9,FALSE)</f>
        <v>Village</v>
      </c>
      <c r="BR427" s="559" t="str">
        <f>VLOOKUP(WWWW[[#This Row],[Village  Name]],SiteDB6[[Site Name]:[Type of Accommodation]],10,FALSE)</f>
        <v>Village</v>
      </c>
      <c r="BS427" s="559" t="str">
        <f>VLOOKUP(WWWW[[#This Row],[Village  Name]],SiteDB6[[Site Name]:[Ethnic or GCA/NGCA]],11,FALSE)</f>
        <v>Muslim</v>
      </c>
      <c r="BT427" s="559">
        <f>VLOOKUP(WWWW[[#This Row],[Village  Name]],SiteDB6[[Site Name]:[Lat]],12,FALSE)</f>
        <v>0</v>
      </c>
      <c r="BU427" s="559">
        <f>VLOOKUP(WWWW[[#This Row],[Village  Name]],SiteDB6[[Site Name]:[Long]],13,FALSE)</f>
        <v>0</v>
      </c>
      <c r="BV427" s="559">
        <f>VLOOKUP(WWWW[[#This Row],[Village  Name]],SiteDB6[[Site Name]:[Pcode]],3,FALSE)</f>
        <v>198434</v>
      </c>
      <c r="BW427" s="559" t="str">
        <f t="shared" si="15"/>
        <v>Covered</v>
      </c>
      <c r="BX427" s="587"/>
    </row>
    <row r="428" spans="1:76">
      <c r="A428" s="612" t="s">
        <v>2381</v>
      </c>
      <c r="B428" s="612" t="s">
        <v>2540</v>
      </c>
      <c r="C428" s="457" t="s">
        <v>371</v>
      </c>
      <c r="D428" s="457" t="s">
        <v>2541</v>
      </c>
      <c r="E428" s="457" t="s">
        <v>2686</v>
      </c>
      <c r="F428" s="457" t="s">
        <v>321</v>
      </c>
      <c r="G428" s="551" t="str">
        <f>VLOOKUP(WWWW[[#This Row],[Village  Name]],SiteDB6[[Site Name]:[Location Type]],8,FALSE)</f>
        <v>Village</v>
      </c>
      <c r="H428" s="457" t="s">
        <v>2554</v>
      </c>
      <c r="I428" s="611">
        <v>11</v>
      </c>
      <c r="J428" s="611">
        <v>39</v>
      </c>
      <c r="K428" s="461">
        <v>43480</v>
      </c>
      <c r="L428" s="55">
        <v>43723</v>
      </c>
      <c r="M428" s="611"/>
      <c r="N428" s="611"/>
      <c r="O428" s="611"/>
      <c r="P428" s="611"/>
      <c r="Q428" s="611"/>
      <c r="R428" s="611"/>
      <c r="S428" s="611"/>
      <c r="T428" s="643"/>
      <c r="U428" s="611"/>
      <c r="V428" s="611" t="s">
        <v>3049</v>
      </c>
      <c r="W428" s="611"/>
      <c r="X428" s="611"/>
      <c r="Y428" s="611"/>
      <c r="Z428" s="611"/>
      <c r="AA428" s="611"/>
      <c r="AB428" s="643"/>
      <c r="AC428" s="611"/>
      <c r="AD428" s="611"/>
      <c r="AE428" s="611"/>
      <c r="AF428" s="611"/>
      <c r="AG428" s="611"/>
      <c r="AH428" s="611"/>
      <c r="AI428" s="611"/>
      <c r="AJ428" s="611"/>
      <c r="AK428" s="611"/>
      <c r="AL428" s="611"/>
      <c r="AM428" s="643"/>
      <c r="AN428" s="611"/>
      <c r="AO428" s="611"/>
      <c r="AP42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8" s="565">
        <f>WWWW[[#This Row],[%Equitable and continuous access to sufficient quantity of safe drinking water]]*WWWW[[#This Row],[Total PoP ]]</f>
        <v>0</v>
      </c>
      <c r="AR42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8" s="565">
        <f>WWWW[[#This Row],[% Access to unimproved water points]]*WWWW[[#This Row],[Total PoP ]]</f>
        <v>0</v>
      </c>
      <c r="AT42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8" s="565">
        <f>WWWW[[#This Row],[HRP1]]/250</f>
        <v>0</v>
      </c>
      <c r="AW428" s="555">
        <f>1-WWWW[[#This Row],[% Equitable and continuous access to sufficient quantity of domestic water]]</f>
        <v>1</v>
      </c>
      <c r="AX428" s="565">
        <f>WWWW[[#This Row],[%equitable and continuous access to sufficient quantity of safe drinking and domestic water''s GAP]]*WWWW[[#This Row],[Total PoP ]]</f>
        <v>39</v>
      </c>
      <c r="AY428" s="557">
        <f>IF(WWWW[[#This Row],[Total required water points]]-WWWW[[#This Row],['#Water points coverage]]&lt;0,0,WWWW[[#This Row],[Total required water points]]-WWWW[[#This Row],['#Water points coverage]])</f>
        <v>1</v>
      </c>
      <c r="AZ428" s="557">
        <f>ROUND(IF(WWWW[[#This Row],[Total PoP ]]&lt;250,1,WWWW[[#This Row],[Total PoP ]]/250),0)</f>
        <v>1</v>
      </c>
      <c r="BA42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8" s="565">
        <f>WWWW[[#This Row],[% people access to functioning Latrine]]*WWWW[[#This Row],[Total PoP ]]</f>
        <v>0</v>
      </c>
      <c r="BC428" s="557">
        <f>WWWW[[#This Row],['#_of_Functioning_latrines_in_school]]*50</f>
        <v>0</v>
      </c>
      <c r="BD428" s="557">
        <f>ROUND((WWWW[[#This Row],[Total PoP ]]/6),0)</f>
        <v>7</v>
      </c>
      <c r="BE428" s="557">
        <f>IF(WWWW[[#This Row],[Total required Latrines]]-(WWWW[[#This Row],['#_of_sanitary_fly-proof_HH_latrines]])&lt;0,0,WWWW[[#This Row],[Total required Latrines]]-(WWWW[[#This Row],['#_of_sanitary_fly-proof_HH_latrines]]))</f>
        <v>7</v>
      </c>
      <c r="BF428" s="558">
        <f>1-WWWW[[#This Row],[% people access to functioning Latrine]]</f>
        <v>1</v>
      </c>
      <c r="BG42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8" s="565">
        <f>IF(WWWW[[#This Row],['#_of_functional_handwashing_facilities_at_HH_level]]*6&gt;WWWW[[#This Row],[Total PoP ]],WWWW[[#This Row],[Total PoP ]],WWWW[[#This Row],['#_of_functional_handwashing_facilities_at_HH_level]]*6)</f>
        <v>0</v>
      </c>
      <c r="BI428" s="557">
        <f>IF(WWWW[[#This Row],['# people reached by regular dedicated hygiene promotion]]&gt;WWWW[[#This Row],['# People received regular supply of hygiene items]],WWWW[[#This Row],['# people reached by regular dedicated hygiene promotion]],WWWW[[#This Row],['# People received regular supply of hygiene items]])</f>
        <v>0</v>
      </c>
      <c r="BJ428" s="555">
        <f>IF(WWWW[[#This Row],[HRP3]]/WWWW[[#This Row],[Total PoP ]]&gt;100%,100%,WWWW[[#This Row],[HRP3]]/WWWW[[#This Row],[Total PoP ]])</f>
        <v>0</v>
      </c>
      <c r="BK428" s="558">
        <f>1-WWWW[[#This Row],[Hygiene Coverage%]]</f>
        <v>1</v>
      </c>
      <c r="BL428" s="556">
        <f>WWWW[[#This Row],['# people reached by regular dedicated hygiene promotion]]/WWWW[[#This Row],[Total PoP ]]</f>
        <v>0</v>
      </c>
      <c r="BM42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8" s="557">
        <f>WWWW[[#This Row],['#_of_affected_women_and_girls_receiving_a_sufficient_quantity_of_sanitary_pads]]</f>
        <v>0</v>
      </c>
      <c r="BO428" s="611">
        <f>IF(WWWW[[#This Row],['# People with access to soap]]&gt;WWWW[[#This Row],['# People with access to Sanity Pads]],WWWW[[#This Row],['# People with access to soap]],WWWW[[#This Row],['# People with access to Sanity Pads]])</f>
        <v>0</v>
      </c>
      <c r="BP428" s="565" t="str">
        <f>IF(OR(WWWW[[#This Row],['#of students in school]]="",WWWW[[#This Row],['#of students in school]]=0),"No","Yes")</f>
        <v>No</v>
      </c>
      <c r="BQ428" s="559" t="str">
        <f>VLOOKUP(WWWW[[#This Row],[Village  Name]],SiteDB6[[Site Name]:[Location Type 1]],9,FALSE)</f>
        <v>Village</v>
      </c>
      <c r="BR428" s="559" t="str">
        <f>VLOOKUP(WWWW[[#This Row],[Village  Name]],SiteDB6[[Site Name]:[Type of Accommodation]],10,FALSE)</f>
        <v>Village</v>
      </c>
      <c r="BS428" s="559" t="str">
        <f>VLOOKUP(WWWW[[#This Row],[Village  Name]],SiteDB6[[Site Name]:[Ethnic or GCA/NGCA]],11,FALSE)</f>
        <v>Rakhine</v>
      </c>
      <c r="BT428" s="559">
        <f>VLOOKUP(WWWW[[#This Row],[Village  Name]],SiteDB6[[Site Name]:[Lat]],12,FALSE)</f>
        <v>0</v>
      </c>
      <c r="BU428" s="559">
        <f>VLOOKUP(WWWW[[#This Row],[Village  Name]],SiteDB6[[Site Name]:[Long]],13,FALSE)</f>
        <v>0</v>
      </c>
      <c r="BV428" s="559">
        <f>VLOOKUP(WWWW[[#This Row],[Village  Name]],SiteDB6[[Site Name]:[Pcode]],3,FALSE)</f>
        <v>198433</v>
      </c>
      <c r="BW428" s="559" t="str">
        <f t="shared" si="15"/>
        <v>Covered</v>
      </c>
      <c r="BX428" s="587"/>
    </row>
    <row r="429" spans="1:76">
      <c r="A429" s="612" t="s">
        <v>2381</v>
      </c>
      <c r="B429" s="612" t="s">
        <v>2540</v>
      </c>
      <c r="C429" s="457" t="s">
        <v>371</v>
      </c>
      <c r="D429" s="457" t="s">
        <v>2541</v>
      </c>
      <c r="E429" s="457" t="s">
        <v>2686</v>
      </c>
      <c r="F429" s="457" t="s">
        <v>307</v>
      </c>
      <c r="G429" s="551" t="str">
        <f>VLOOKUP(WWWW[[#This Row],[Village  Name]],SiteDB6[[Site Name]:[Location Type]],8,FALSE)</f>
        <v>Village</v>
      </c>
      <c r="H429" s="457" t="s">
        <v>2560</v>
      </c>
      <c r="I429" s="611">
        <v>53</v>
      </c>
      <c r="J429" s="611">
        <v>263</v>
      </c>
      <c r="K429" s="461">
        <v>43480</v>
      </c>
      <c r="L429" s="55">
        <v>43723</v>
      </c>
      <c r="M429" s="611"/>
      <c r="N429" s="611"/>
      <c r="O429" s="611"/>
      <c r="P429" s="611"/>
      <c r="Q429" s="611"/>
      <c r="R429" s="611"/>
      <c r="S429" s="611"/>
      <c r="T429" s="643"/>
      <c r="U429" s="611"/>
      <c r="V429" s="611" t="s">
        <v>3049</v>
      </c>
      <c r="W429" s="611"/>
      <c r="X429" s="611"/>
      <c r="Y429" s="611"/>
      <c r="Z429" s="611"/>
      <c r="AA429" s="611"/>
      <c r="AB429" s="643"/>
      <c r="AC429" s="611"/>
      <c r="AD429" s="611"/>
      <c r="AE429" s="611"/>
      <c r="AF429" s="611"/>
      <c r="AG429" s="611"/>
      <c r="AH429" s="611"/>
      <c r="AI429" s="611"/>
      <c r="AJ429" s="611"/>
      <c r="AK429" s="611"/>
      <c r="AL429" s="611"/>
      <c r="AM429" s="643"/>
      <c r="AN429" s="611"/>
      <c r="AO429" s="611"/>
      <c r="AP42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29" s="565">
        <f>WWWW[[#This Row],[%Equitable and continuous access to sufficient quantity of safe drinking water]]*WWWW[[#This Row],[Total PoP ]]</f>
        <v>0</v>
      </c>
      <c r="AR42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29" s="565">
        <f>WWWW[[#This Row],[% Access to unimproved water points]]*WWWW[[#This Row],[Total PoP ]]</f>
        <v>0</v>
      </c>
      <c r="AT42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2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29" s="565">
        <f>WWWW[[#This Row],[HRP1]]/250</f>
        <v>0</v>
      </c>
      <c r="AW429" s="555">
        <f>1-WWWW[[#This Row],[% Equitable and continuous access to sufficient quantity of domestic water]]</f>
        <v>1</v>
      </c>
      <c r="AX429" s="565">
        <f>WWWW[[#This Row],[%equitable and continuous access to sufficient quantity of safe drinking and domestic water''s GAP]]*WWWW[[#This Row],[Total PoP ]]</f>
        <v>263</v>
      </c>
      <c r="AY429" s="557">
        <f>IF(WWWW[[#This Row],[Total required water points]]-WWWW[[#This Row],['#Water points coverage]]&lt;0,0,WWWW[[#This Row],[Total required water points]]-WWWW[[#This Row],['#Water points coverage]])</f>
        <v>1</v>
      </c>
      <c r="AZ429" s="557">
        <f>ROUND(IF(WWWW[[#This Row],[Total PoP ]]&lt;250,1,WWWW[[#This Row],[Total PoP ]]/250),0)</f>
        <v>1</v>
      </c>
      <c r="BA42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29" s="565">
        <f>WWWW[[#This Row],[% people access to functioning Latrine]]*WWWW[[#This Row],[Total PoP ]]</f>
        <v>0</v>
      </c>
      <c r="BC429" s="557">
        <f>WWWW[[#This Row],['#_of_Functioning_latrines_in_school]]*50</f>
        <v>0</v>
      </c>
      <c r="BD429" s="557">
        <f>ROUND((WWWW[[#This Row],[Total PoP ]]/6),0)</f>
        <v>44</v>
      </c>
      <c r="BE429" s="557">
        <f>IF(WWWW[[#This Row],[Total required Latrines]]-(WWWW[[#This Row],['#_of_sanitary_fly-proof_HH_latrines]])&lt;0,0,WWWW[[#This Row],[Total required Latrines]]-(WWWW[[#This Row],['#_of_sanitary_fly-proof_HH_latrines]]))</f>
        <v>44</v>
      </c>
      <c r="BF429" s="558">
        <f>1-WWWW[[#This Row],[% people access to functioning Latrine]]</f>
        <v>1</v>
      </c>
      <c r="BG42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29" s="565">
        <f>IF(WWWW[[#This Row],['#_of_functional_handwashing_facilities_at_HH_level]]*6&gt;WWWW[[#This Row],[Total PoP ]],WWWW[[#This Row],[Total PoP ]],WWWW[[#This Row],['#_of_functional_handwashing_facilities_at_HH_level]]*6)</f>
        <v>0</v>
      </c>
      <c r="BI429" s="557">
        <f>IF(WWWW[[#This Row],['# people reached by regular dedicated hygiene promotion]]&gt;WWWW[[#This Row],['# People received regular supply of hygiene items]],WWWW[[#This Row],['# people reached by regular dedicated hygiene promotion]],WWWW[[#This Row],['# People received regular supply of hygiene items]])</f>
        <v>0</v>
      </c>
      <c r="BJ429" s="555">
        <f>IF(WWWW[[#This Row],[HRP3]]/WWWW[[#This Row],[Total PoP ]]&gt;100%,100%,WWWW[[#This Row],[HRP3]]/WWWW[[#This Row],[Total PoP ]])</f>
        <v>0</v>
      </c>
      <c r="BK429" s="558">
        <f>1-WWWW[[#This Row],[Hygiene Coverage%]]</f>
        <v>1</v>
      </c>
      <c r="BL429" s="556">
        <f>WWWW[[#This Row],['# people reached by regular dedicated hygiene promotion]]/WWWW[[#This Row],[Total PoP ]]</f>
        <v>0</v>
      </c>
      <c r="BM42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29" s="557">
        <f>WWWW[[#This Row],['#_of_affected_women_and_girls_receiving_a_sufficient_quantity_of_sanitary_pads]]</f>
        <v>0</v>
      </c>
      <c r="BO429" s="611">
        <f>IF(WWWW[[#This Row],['# People with access to soap]]&gt;WWWW[[#This Row],['# People with access to Sanity Pads]],WWWW[[#This Row],['# People with access to soap]],WWWW[[#This Row],['# People with access to Sanity Pads]])</f>
        <v>0</v>
      </c>
      <c r="BP429" s="565" t="str">
        <f>IF(OR(WWWW[[#This Row],['#of students in school]]="",WWWW[[#This Row],['#of students in school]]=0),"No","Yes")</f>
        <v>No</v>
      </c>
      <c r="BQ429" s="559" t="str">
        <f>VLOOKUP(WWWW[[#This Row],[Village  Name]],SiteDB6[[Site Name]:[Location Type 1]],9,FALSE)</f>
        <v>Village</v>
      </c>
      <c r="BR429" s="559" t="str">
        <f>VLOOKUP(WWWW[[#This Row],[Village  Name]],SiteDB6[[Site Name]:[Type of Accommodation]],10,FALSE)</f>
        <v>Village</v>
      </c>
      <c r="BS429" s="559" t="str">
        <f>VLOOKUP(WWWW[[#This Row],[Village  Name]],SiteDB6[[Site Name]:[Ethnic or GCA/NGCA]],11,FALSE)</f>
        <v>Rakhine</v>
      </c>
      <c r="BT429" s="559">
        <f>VLOOKUP(WWWW[[#This Row],[Village  Name]],SiteDB6[[Site Name]:[Lat]],12,FALSE)</f>
        <v>0</v>
      </c>
      <c r="BU429" s="559">
        <f>VLOOKUP(WWWW[[#This Row],[Village  Name]],SiteDB6[[Site Name]:[Long]],13,FALSE)</f>
        <v>0</v>
      </c>
      <c r="BV429" s="559">
        <f>VLOOKUP(WWWW[[#This Row],[Village  Name]],SiteDB6[[Site Name]:[Pcode]],3,FALSE)</f>
        <v>220736</v>
      </c>
      <c r="BW429" s="559" t="str">
        <f t="shared" si="15"/>
        <v>Covered</v>
      </c>
      <c r="BX429" s="587"/>
    </row>
    <row r="430" spans="1:76">
      <c r="A430" s="612" t="s">
        <v>2381</v>
      </c>
      <c r="B430" s="612" t="s">
        <v>2540</v>
      </c>
      <c r="C430" s="457" t="s">
        <v>371</v>
      </c>
      <c r="D430" s="457" t="s">
        <v>2541</v>
      </c>
      <c r="E430" s="457" t="s">
        <v>2686</v>
      </c>
      <c r="F430" s="457" t="s">
        <v>321</v>
      </c>
      <c r="G430" s="551" t="str">
        <f>VLOOKUP(WWWW[[#This Row],[Village  Name]],SiteDB6[[Site Name]:[Location Type]],8,FALSE)</f>
        <v>Village</v>
      </c>
      <c r="H430" s="457" t="s">
        <v>2545</v>
      </c>
      <c r="I430" s="611">
        <v>125</v>
      </c>
      <c r="J430" s="611">
        <v>580</v>
      </c>
      <c r="K430" s="461">
        <v>43480</v>
      </c>
      <c r="L430" s="55">
        <v>43723</v>
      </c>
      <c r="M430" s="611"/>
      <c r="N430" s="611"/>
      <c r="O430" s="611"/>
      <c r="P430" s="611"/>
      <c r="Q430" s="611"/>
      <c r="R430" s="611"/>
      <c r="S430" s="611"/>
      <c r="T430" s="643"/>
      <c r="U430" s="611"/>
      <c r="V430" s="611" t="s">
        <v>3049</v>
      </c>
      <c r="W430" s="611"/>
      <c r="X430" s="611"/>
      <c r="Y430" s="611"/>
      <c r="Z430" s="611"/>
      <c r="AA430" s="611"/>
      <c r="AB430" s="643"/>
      <c r="AC430" s="611"/>
      <c r="AD430" s="611"/>
      <c r="AE430" s="611"/>
      <c r="AF430" s="611"/>
      <c r="AG430" s="611"/>
      <c r="AH430" s="611"/>
      <c r="AI430" s="611"/>
      <c r="AJ430" s="611"/>
      <c r="AK430" s="611"/>
      <c r="AL430" s="611"/>
      <c r="AM430" s="643"/>
      <c r="AN430" s="611"/>
      <c r="AO430" s="611"/>
      <c r="AP43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30" s="565">
        <f>WWWW[[#This Row],[%Equitable and continuous access to sufficient quantity of safe drinking water]]*WWWW[[#This Row],[Total PoP ]]</f>
        <v>0</v>
      </c>
      <c r="AR43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30" s="565">
        <f>WWWW[[#This Row],[% Access to unimproved water points]]*WWWW[[#This Row],[Total PoP ]]</f>
        <v>0</v>
      </c>
      <c r="AT43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3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30" s="565">
        <f>WWWW[[#This Row],[HRP1]]/250</f>
        <v>0</v>
      </c>
      <c r="AW430" s="555">
        <f>1-WWWW[[#This Row],[% Equitable and continuous access to sufficient quantity of domestic water]]</f>
        <v>1</v>
      </c>
      <c r="AX430" s="565">
        <f>WWWW[[#This Row],[%equitable and continuous access to sufficient quantity of safe drinking and domestic water''s GAP]]*WWWW[[#This Row],[Total PoP ]]</f>
        <v>580</v>
      </c>
      <c r="AY430" s="557">
        <f>IF(WWWW[[#This Row],[Total required water points]]-WWWW[[#This Row],['#Water points coverage]]&lt;0,0,WWWW[[#This Row],[Total required water points]]-WWWW[[#This Row],['#Water points coverage]])</f>
        <v>2</v>
      </c>
      <c r="AZ430" s="557">
        <f>ROUND(IF(WWWW[[#This Row],[Total PoP ]]&lt;250,1,WWWW[[#This Row],[Total PoP ]]/250),0)</f>
        <v>2</v>
      </c>
      <c r="BA43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30" s="565">
        <f>WWWW[[#This Row],[% people access to functioning Latrine]]*WWWW[[#This Row],[Total PoP ]]</f>
        <v>0</v>
      </c>
      <c r="BC430" s="557">
        <f>WWWW[[#This Row],['#_of_Functioning_latrines_in_school]]*50</f>
        <v>0</v>
      </c>
      <c r="BD430" s="557">
        <f>ROUND((WWWW[[#This Row],[Total PoP ]]/6),0)</f>
        <v>97</v>
      </c>
      <c r="BE430" s="557">
        <f>IF(WWWW[[#This Row],[Total required Latrines]]-(WWWW[[#This Row],['#_of_sanitary_fly-proof_HH_latrines]])&lt;0,0,WWWW[[#This Row],[Total required Latrines]]-(WWWW[[#This Row],['#_of_sanitary_fly-proof_HH_latrines]]))</f>
        <v>97</v>
      </c>
      <c r="BF430" s="558">
        <f>1-WWWW[[#This Row],[% people access to functioning Latrine]]</f>
        <v>1</v>
      </c>
      <c r="BG43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0" s="565">
        <f>IF(WWWW[[#This Row],['#_of_functional_handwashing_facilities_at_HH_level]]*6&gt;WWWW[[#This Row],[Total PoP ]],WWWW[[#This Row],[Total PoP ]],WWWW[[#This Row],['#_of_functional_handwashing_facilities_at_HH_level]]*6)</f>
        <v>0</v>
      </c>
      <c r="BI430" s="557">
        <f>IF(WWWW[[#This Row],['# people reached by regular dedicated hygiene promotion]]&gt;WWWW[[#This Row],['# People received regular supply of hygiene items]],WWWW[[#This Row],['# people reached by regular dedicated hygiene promotion]],WWWW[[#This Row],['# People received regular supply of hygiene items]])</f>
        <v>0</v>
      </c>
      <c r="BJ430" s="555">
        <f>IF(WWWW[[#This Row],[HRP3]]/WWWW[[#This Row],[Total PoP ]]&gt;100%,100%,WWWW[[#This Row],[HRP3]]/WWWW[[#This Row],[Total PoP ]])</f>
        <v>0</v>
      </c>
      <c r="BK430" s="558">
        <f>1-WWWW[[#This Row],[Hygiene Coverage%]]</f>
        <v>1</v>
      </c>
      <c r="BL430" s="556">
        <f>WWWW[[#This Row],['# people reached by regular dedicated hygiene promotion]]/WWWW[[#This Row],[Total PoP ]]</f>
        <v>0</v>
      </c>
      <c r="BM43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0" s="557">
        <f>WWWW[[#This Row],['#_of_affected_women_and_girls_receiving_a_sufficient_quantity_of_sanitary_pads]]</f>
        <v>0</v>
      </c>
      <c r="BO430" s="611">
        <f>IF(WWWW[[#This Row],['# People with access to soap]]&gt;WWWW[[#This Row],['# People with access to Sanity Pads]],WWWW[[#This Row],['# People with access to soap]],WWWW[[#This Row],['# People with access to Sanity Pads]])</f>
        <v>0</v>
      </c>
      <c r="BP430" s="565" t="str">
        <f>IF(OR(WWWW[[#This Row],['#of students in school]]="",WWWW[[#This Row],['#of students in school]]=0),"No","Yes")</f>
        <v>No</v>
      </c>
      <c r="BQ430" s="559" t="str">
        <f>VLOOKUP(WWWW[[#This Row],[Village  Name]],SiteDB6[[Site Name]:[Location Type 1]],9,FALSE)</f>
        <v>Village</v>
      </c>
      <c r="BR430" s="559" t="str">
        <f>VLOOKUP(WWWW[[#This Row],[Village  Name]],SiteDB6[[Site Name]:[Type of Accommodation]],10,FALSE)</f>
        <v>Village</v>
      </c>
      <c r="BS430" s="559" t="str">
        <f>VLOOKUP(WWWW[[#This Row],[Village  Name]],SiteDB6[[Site Name]:[Ethnic or GCA/NGCA]],11,FALSE)</f>
        <v>Muslim</v>
      </c>
      <c r="BT430" s="559">
        <f>VLOOKUP(WWWW[[#This Row],[Village  Name]],SiteDB6[[Site Name]:[Lat]],12,FALSE)</f>
        <v>0</v>
      </c>
      <c r="BU430" s="559">
        <f>VLOOKUP(WWWW[[#This Row],[Village  Name]],SiteDB6[[Site Name]:[Long]],13,FALSE)</f>
        <v>0</v>
      </c>
      <c r="BV430" s="559">
        <f>VLOOKUP(WWWW[[#This Row],[Village  Name]],SiteDB6[[Site Name]:[Pcode]],3,FALSE)</f>
        <v>198370</v>
      </c>
      <c r="BW430" s="559" t="str">
        <f t="shared" si="15"/>
        <v>Covered</v>
      </c>
      <c r="BX430" s="587"/>
    </row>
    <row r="431" spans="1:76">
      <c r="A431" s="612" t="s">
        <v>2381</v>
      </c>
      <c r="B431" s="612" t="s">
        <v>2864</v>
      </c>
      <c r="C431" s="457" t="s">
        <v>371</v>
      </c>
      <c r="D431" s="457" t="s">
        <v>3050</v>
      </c>
      <c r="E431" s="457" t="s">
        <v>2686</v>
      </c>
      <c r="F431" s="457" t="s">
        <v>321</v>
      </c>
      <c r="G431" s="551" t="str">
        <f>VLOOKUP(WWWW[[#This Row],[Village  Name]],SiteDB6[[Site Name]:[Location Type]],8,FALSE)</f>
        <v>Village</v>
      </c>
      <c r="H431" s="457" t="s">
        <v>2866</v>
      </c>
      <c r="I431" s="611">
        <v>38</v>
      </c>
      <c r="J431" s="611">
        <v>184</v>
      </c>
      <c r="K431" s="461">
        <v>43221</v>
      </c>
      <c r="L431" s="55">
        <v>43677</v>
      </c>
      <c r="M431" s="611">
        <v>25</v>
      </c>
      <c r="N431" s="611"/>
      <c r="O431" s="611">
        <v>3</v>
      </c>
      <c r="P431" s="611">
        <v>1</v>
      </c>
      <c r="Q431" s="611">
        <v>1</v>
      </c>
      <c r="R431" s="611"/>
      <c r="S431" s="611"/>
      <c r="T431" s="643"/>
      <c r="U431" s="611">
        <v>24</v>
      </c>
      <c r="V431" s="611" t="s">
        <v>128</v>
      </c>
      <c r="W431" s="611"/>
      <c r="X431" s="611"/>
      <c r="Y431" s="611"/>
      <c r="Z431" s="611"/>
      <c r="AA431" s="611"/>
      <c r="AB431" s="643"/>
      <c r="AC431" s="611"/>
      <c r="AD431" s="611"/>
      <c r="AE431" s="611"/>
      <c r="AF431" s="611"/>
      <c r="AG431" s="611"/>
      <c r="AH431" s="611"/>
      <c r="AI431" s="611" t="s">
        <v>3051</v>
      </c>
      <c r="AJ431" s="611"/>
      <c r="AK431" s="611"/>
      <c r="AL431" s="611"/>
      <c r="AM431" s="643"/>
      <c r="AN431" s="611"/>
      <c r="AO431" s="611"/>
      <c r="AP43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31" s="565">
        <f>WWWW[[#This Row],[%Equitable and continuous access to sufficient quantity of safe drinking water]]*WWWW[[#This Row],[Total PoP ]]</f>
        <v>184</v>
      </c>
      <c r="AR43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31" s="565">
        <f>WWWW[[#This Row],[% Access to unimproved water points]]*WWWW[[#This Row],[Total PoP ]]</f>
        <v>184</v>
      </c>
      <c r="AT43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AV431" s="565">
        <f>WWWW[[#This Row],[HRP1]]/250</f>
        <v>0.73599999999999999</v>
      </c>
      <c r="AW431" s="555">
        <f>1-WWWW[[#This Row],[% Equitable and continuous access to sufficient quantity of domestic water]]</f>
        <v>0</v>
      </c>
      <c r="AX431" s="565">
        <f>WWWW[[#This Row],[%equitable and continuous access to sufficient quantity of safe drinking and domestic water''s GAP]]*WWWW[[#This Row],[Total PoP ]]</f>
        <v>0</v>
      </c>
      <c r="AY431" s="557">
        <f>IF(WWWW[[#This Row],[Total required water points]]-WWWW[[#This Row],['#Water points coverage]]&lt;0,0,WWWW[[#This Row],[Total required water points]]-WWWW[[#This Row],['#Water points coverage]])</f>
        <v>0.26400000000000001</v>
      </c>
      <c r="AZ431" s="557">
        <f>ROUND(IF(WWWW[[#This Row],[Total PoP ]]&lt;250,1,WWWW[[#This Row],[Total PoP ]]/250),0)</f>
        <v>1</v>
      </c>
      <c r="BA43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0.78260869565217395</v>
      </c>
      <c r="BB431" s="565">
        <f>WWWW[[#This Row],[% people access to functioning Latrine]]*WWWW[[#This Row],[Total PoP ]]</f>
        <v>144</v>
      </c>
      <c r="BC431" s="557">
        <f>WWWW[[#This Row],['#_of_Functioning_latrines_in_school]]*50</f>
        <v>0</v>
      </c>
      <c r="BD431" s="557">
        <f>ROUND((WWWW[[#This Row],[Total PoP ]]/6),0)</f>
        <v>31</v>
      </c>
      <c r="BE431" s="557">
        <f>IF(WWWW[[#This Row],[Total required Latrines]]-(WWWW[[#This Row],['#_of_sanitary_fly-proof_HH_latrines]])&lt;0,0,WWWW[[#This Row],[Total required Latrines]]-(WWWW[[#This Row],['#_of_sanitary_fly-proof_HH_latrines]]))</f>
        <v>7</v>
      </c>
      <c r="BF431" s="558">
        <f>1-WWWW[[#This Row],[% people access to functioning Latrine]]</f>
        <v>0.21739130434782605</v>
      </c>
      <c r="BG43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1" s="565" t="e">
        <f>IF(WWWW[[#This Row],['#_of_functional_handwashing_facilities_at_HH_level]]*6&gt;WWWW[[#This Row],[Total PoP ]],WWWW[[#This Row],[Total PoP ]],WWWW[[#This Row],['#_of_functional_handwashing_facilities_at_HH_level]]*6)</f>
        <v>#VALUE!</v>
      </c>
      <c r="BI431" s="557">
        <f>IF(WWWW[[#This Row],['# people reached by regular dedicated hygiene promotion]]&gt;WWWW[[#This Row],['# People received regular supply of hygiene items]],WWWW[[#This Row],['# people reached by regular dedicated hygiene promotion]],WWWW[[#This Row],['# People received regular supply of hygiene items]])</f>
        <v>0</v>
      </c>
      <c r="BJ431" s="555">
        <f>IF(WWWW[[#This Row],[HRP3]]/WWWW[[#This Row],[Total PoP ]]&gt;100%,100%,WWWW[[#This Row],[HRP3]]/WWWW[[#This Row],[Total PoP ]])</f>
        <v>0</v>
      </c>
      <c r="BK431" s="558">
        <f>1-WWWW[[#This Row],[Hygiene Coverage%]]</f>
        <v>1</v>
      </c>
      <c r="BL431" s="556">
        <f>WWWW[[#This Row],['# people reached by regular dedicated hygiene promotion]]/WWWW[[#This Row],[Total PoP ]]</f>
        <v>0</v>
      </c>
      <c r="BM43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1" s="557">
        <f>WWWW[[#This Row],['#_of_affected_women_and_girls_receiving_a_sufficient_quantity_of_sanitary_pads]]</f>
        <v>0</v>
      </c>
      <c r="BO431" s="611">
        <f>IF(WWWW[[#This Row],['# People with access to soap]]&gt;WWWW[[#This Row],['# People with access to Sanity Pads]],WWWW[[#This Row],['# People with access to soap]],WWWW[[#This Row],['# People with access to Sanity Pads]])</f>
        <v>0</v>
      </c>
      <c r="BP431" s="565" t="str">
        <f>IF(OR(WWWW[[#This Row],['#of students in school]]="",WWWW[[#This Row],['#of students in school]]=0),"No","Yes")</f>
        <v>Yes</v>
      </c>
      <c r="BQ431" s="559" t="str">
        <f>VLOOKUP(WWWW[[#This Row],[Village  Name]],SiteDB6[[Site Name]:[Location Type 1]],9,FALSE)</f>
        <v>Village</v>
      </c>
      <c r="BR431" s="559" t="str">
        <f>VLOOKUP(WWWW[[#This Row],[Village  Name]],SiteDB6[[Site Name]:[Type of Accommodation]],10,FALSE)</f>
        <v>Village</v>
      </c>
      <c r="BS431" s="559">
        <f>VLOOKUP(WWWW[[#This Row],[Village  Name]],SiteDB6[[Site Name]:[Ethnic or GCA/NGCA]],11,FALSE)</f>
        <v>0</v>
      </c>
      <c r="BT431" s="559">
        <f>VLOOKUP(WWWW[[#This Row],[Village  Name]],SiteDB6[[Site Name]:[Lat]],12,FALSE)</f>
        <v>20.813840866088899</v>
      </c>
      <c r="BU431" s="559">
        <f>VLOOKUP(WWWW[[#This Row],[Village  Name]],SiteDB6[[Site Name]:[Long]],13,FALSE)</f>
        <v>92.599952697753906</v>
      </c>
      <c r="BV431" s="559">
        <f>VLOOKUP(WWWW[[#This Row],[Village  Name]],SiteDB6[[Site Name]:[Pcode]],3,FALSE)</f>
        <v>198357</v>
      </c>
      <c r="BW431" s="559" t="str">
        <f t="shared" si="15"/>
        <v>Covered</v>
      </c>
      <c r="BX431" s="587"/>
    </row>
    <row r="432" spans="1:76">
      <c r="A432" s="612" t="s">
        <v>2381</v>
      </c>
      <c r="B432" s="612" t="s">
        <v>2864</v>
      </c>
      <c r="C432" s="457" t="s">
        <v>371</v>
      </c>
      <c r="D432" s="457" t="s">
        <v>3050</v>
      </c>
      <c r="E432" s="457" t="s">
        <v>2686</v>
      </c>
      <c r="F432" s="457" t="s">
        <v>307</v>
      </c>
      <c r="G432" s="551" t="str">
        <f>VLOOKUP(WWWW[[#This Row],[Village  Name]],SiteDB6[[Site Name]:[Location Type]],8,FALSE)</f>
        <v>Village</v>
      </c>
      <c r="H432" s="457" t="s">
        <v>2075</v>
      </c>
      <c r="I432" s="611">
        <v>60</v>
      </c>
      <c r="J432" s="611">
        <v>266</v>
      </c>
      <c r="K432" s="461">
        <v>43221</v>
      </c>
      <c r="L432" s="55">
        <v>43677</v>
      </c>
      <c r="M432" s="611">
        <v>47</v>
      </c>
      <c r="N432" s="611"/>
      <c r="O432" s="611">
        <v>0</v>
      </c>
      <c r="P432" s="611"/>
      <c r="Q432" s="611">
        <v>2</v>
      </c>
      <c r="R432" s="611"/>
      <c r="S432" s="611"/>
      <c r="T432" s="643"/>
      <c r="U432" s="611">
        <v>50</v>
      </c>
      <c r="V432" s="611" t="s">
        <v>128</v>
      </c>
      <c r="W432" s="611"/>
      <c r="X432" s="611"/>
      <c r="Y432" s="611"/>
      <c r="Z432" s="611"/>
      <c r="AA432" s="611"/>
      <c r="AB432" s="643"/>
      <c r="AC432" s="611"/>
      <c r="AD432" s="611"/>
      <c r="AE432" s="611"/>
      <c r="AF432" s="611"/>
      <c r="AG432" s="611"/>
      <c r="AH432" s="611"/>
      <c r="AI432" s="611" t="s">
        <v>3051</v>
      </c>
      <c r="AJ432" s="611" t="s">
        <v>3051</v>
      </c>
      <c r="AK432" s="611"/>
      <c r="AL432" s="611"/>
      <c r="AM432" s="643"/>
      <c r="AN432" s="611"/>
      <c r="AO432" s="611"/>
      <c r="AP43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32" s="565">
        <f>WWWW[[#This Row],[%Equitable and continuous access to sufficient quantity of safe drinking water]]*WWWW[[#This Row],[Total PoP ]]</f>
        <v>0</v>
      </c>
      <c r="AR43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32" s="565">
        <f>WWWW[[#This Row],[% Access to unimproved water points]]*WWWW[[#This Row],[Total PoP ]]</f>
        <v>266</v>
      </c>
      <c r="AT43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AV432" s="565">
        <f>WWWW[[#This Row],[HRP1]]/250</f>
        <v>1.0640000000000001</v>
      </c>
      <c r="AW432" s="555">
        <f>1-WWWW[[#This Row],[% Equitable and continuous access to sufficient quantity of domestic water]]</f>
        <v>0</v>
      </c>
      <c r="AX432" s="565">
        <f>WWWW[[#This Row],[%equitable and continuous access to sufficient quantity of safe drinking and domestic water''s GAP]]*WWWW[[#This Row],[Total PoP ]]</f>
        <v>0</v>
      </c>
      <c r="AY432" s="557">
        <f>IF(WWWW[[#This Row],[Total required water points]]-WWWW[[#This Row],['#Water points coverage]]&lt;0,0,WWWW[[#This Row],[Total required water points]]-WWWW[[#This Row],['#Water points coverage]])</f>
        <v>0</v>
      </c>
      <c r="AZ432" s="557">
        <f>ROUND(IF(WWWW[[#This Row],[Total PoP ]]&lt;250,1,WWWW[[#This Row],[Total PoP ]]/250),0)</f>
        <v>1</v>
      </c>
      <c r="BA43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32" s="565">
        <f>WWWW[[#This Row],[% people access to functioning Latrine]]*WWWW[[#This Row],[Total PoP ]]</f>
        <v>266</v>
      </c>
      <c r="BC432" s="557">
        <f>WWWW[[#This Row],['#_of_Functioning_latrines_in_school]]*50</f>
        <v>0</v>
      </c>
      <c r="BD432" s="557">
        <f>ROUND((WWWW[[#This Row],[Total PoP ]]/6),0)</f>
        <v>44</v>
      </c>
      <c r="BE432" s="557">
        <f>IF(WWWW[[#This Row],[Total required Latrines]]-(WWWW[[#This Row],['#_of_sanitary_fly-proof_HH_latrines]])&lt;0,0,WWWW[[#This Row],[Total required Latrines]]-(WWWW[[#This Row],['#_of_sanitary_fly-proof_HH_latrines]]))</f>
        <v>0</v>
      </c>
      <c r="BF432" s="558">
        <f>1-WWWW[[#This Row],[% people access to functioning Latrine]]</f>
        <v>0</v>
      </c>
      <c r="BG43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2" s="565" t="e">
        <f>IF(WWWW[[#This Row],['#_of_functional_handwashing_facilities_at_HH_level]]*6&gt;WWWW[[#This Row],[Total PoP ]],WWWW[[#This Row],[Total PoP ]],WWWW[[#This Row],['#_of_functional_handwashing_facilities_at_HH_level]]*6)</f>
        <v>#VALUE!</v>
      </c>
      <c r="BI432" s="557">
        <f>IF(WWWW[[#This Row],['# people reached by regular dedicated hygiene promotion]]&gt;WWWW[[#This Row],['# People received regular supply of hygiene items]],WWWW[[#This Row],['# people reached by regular dedicated hygiene promotion]],WWWW[[#This Row],['# People received regular supply of hygiene items]])</f>
        <v>0</v>
      </c>
      <c r="BJ432" s="555">
        <f>IF(WWWW[[#This Row],[HRP3]]/WWWW[[#This Row],[Total PoP ]]&gt;100%,100%,WWWW[[#This Row],[HRP3]]/WWWW[[#This Row],[Total PoP ]])</f>
        <v>0</v>
      </c>
      <c r="BK432" s="558">
        <f>1-WWWW[[#This Row],[Hygiene Coverage%]]</f>
        <v>1</v>
      </c>
      <c r="BL432" s="556">
        <f>WWWW[[#This Row],['# people reached by regular dedicated hygiene promotion]]/WWWW[[#This Row],[Total PoP ]]</f>
        <v>0</v>
      </c>
      <c r="BM43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2" s="557">
        <f>WWWW[[#This Row],['#_of_affected_women_and_girls_receiving_a_sufficient_quantity_of_sanitary_pads]]</f>
        <v>0</v>
      </c>
      <c r="BO432" s="611">
        <f>IF(WWWW[[#This Row],['# People with access to soap]]&gt;WWWW[[#This Row],['# People with access to Sanity Pads]],WWWW[[#This Row],['# People with access to soap]],WWWW[[#This Row],['# People with access to Sanity Pads]])</f>
        <v>0</v>
      </c>
      <c r="BP432" s="565" t="str">
        <f>IF(OR(WWWW[[#This Row],['#of students in school]]="",WWWW[[#This Row],['#of students in school]]=0),"No","Yes")</f>
        <v>Yes</v>
      </c>
      <c r="BQ432" s="559" t="str">
        <f>VLOOKUP(WWWW[[#This Row],[Village  Name]],SiteDB6[[Site Name]:[Location Type 1]],9,FALSE)</f>
        <v>Village</v>
      </c>
      <c r="BR432" s="559" t="str">
        <f>VLOOKUP(WWWW[[#This Row],[Village  Name]],SiteDB6[[Site Name]:[Type of Accommodation]],10,FALSE)</f>
        <v>Village</v>
      </c>
      <c r="BS432" s="559" t="str">
        <f>VLOOKUP(WWWW[[#This Row],[Village  Name]],SiteDB6[[Site Name]:[Ethnic or GCA/NGCA]],11,FALSE)</f>
        <v>Rakhine</v>
      </c>
      <c r="BT432" s="559">
        <f>VLOOKUP(WWWW[[#This Row],[Village  Name]],SiteDB6[[Site Name]:[Lat]],12,FALSE)</f>
        <v>20.991559980000002</v>
      </c>
      <c r="BU432" s="559">
        <f>VLOOKUP(WWWW[[#This Row],[Village  Name]],SiteDB6[[Site Name]:[Long]],13,FALSE)</f>
        <v>92.290878300000003</v>
      </c>
      <c r="BV432" s="559">
        <f>VLOOKUP(WWWW[[#This Row],[Village  Name]],SiteDB6[[Site Name]:[Pcode]],3,FALSE)</f>
        <v>197896</v>
      </c>
      <c r="BW432" s="559" t="str">
        <f t="shared" si="15"/>
        <v>Covered</v>
      </c>
      <c r="BX432" s="587"/>
    </row>
    <row r="433" spans="1:76">
      <c r="A433" s="612" t="s">
        <v>2381</v>
      </c>
      <c r="B433" s="612" t="s">
        <v>2864</v>
      </c>
      <c r="C433" s="457" t="s">
        <v>371</v>
      </c>
      <c r="D433" s="457" t="s">
        <v>3050</v>
      </c>
      <c r="E433" s="457" t="s">
        <v>2686</v>
      </c>
      <c r="F433" s="457" t="s">
        <v>321</v>
      </c>
      <c r="G433" s="551" t="str">
        <f>VLOOKUP(WWWW[[#This Row],[Village  Name]],SiteDB6[[Site Name]:[Location Type]],8,FALSE)</f>
        <v>Village</v>
      </c>
      <c r="H433" s="457" t="s">
        <v>619</v>
      </c>
      <c r="I433" s="611">
        <v>41</v>
      </c>
      <c r="J433" s="611">
        <v>172</v>
      </c>
      <c r="K433" s="461">
        <v>43221</v>
      </c>
      <c r="L433" s="55">
        <v>43677</v>
      </c>
      <c r="M433" s="611">
        <v>37</v>
      </c>
      <c r="N433" s="611"/>
      <c r="O433" s="611">
        <v>0</v>
      </c>
      <c r="P433" s="611">
        <v>4</v>
      </c>
      <c r="Q433" s="611">
        <v>2</v>
      </c>
      <c r="R433" s="611"/>
      <c r="S433" s="611"/>
      <c r="T433" s="643"/>
      <c r="U433" s="611">
        <v>30</v>
      </c>
      <c r="V433" s="611" t="s">
        <v>128</v>
      </c>
      <c r="W433" s="611">
        <v>2</v>
      </c>
      <c r="X433" s="611"/>
      <c r="Y433" s="611"/>
      <c r="Z433" s="611"/>
      <c r="AA433" s="611"/>
      <c r="AB433" s="643"/>
      <c r="AC433" s="611"/>
      <c r="AD433" s="611"/>
      <c r="AE433" s="611"/>
      <c r="AF433" s="611"/>
      <c r="AG433" s="611"/>
      <c r="AH433" s="611"/>
      <c r="AI433" s="611" t="s">
        <v>3051</v>
      </c>
      <c r="AJ433" s="611">
        <v>1</v>
      </c>
      <c r="AK433" s="611"/>
      <c r="AL433" s="611"/>
      <c r="AM433" s="643"/>
      <c r="AN433" s="611"/>
      <c r="AO433" s="611"/>
      <c r="AP43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33" s="565">
        <f>WWWW[[#This Row],[%Equitable and continuous access to sufficient quantity of safe drinking water]]*WWWW[[#This Row],[Total PoP ]]</f>
        <v>172</v>
      </c>
      <c r="AR43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33" s="565">
        <f>WWWW[[#This Row],[% Access to unimproved water points]]*WWWW[[#This Row],[Total PoP ]]</f>
        <v>172</v>
      </c>
      <c r="AT43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AV433" s="565">
        <f>WWWW[[#This Row],[HRP1]]/250</f>
        <v>0.68799999999999994</v>
      </c>
      <c r="AW433" s="555">
        <f>1-WWWW[[#This Row],[% Equitable and continuous access to sufficient quantity of domestic water]]</f>
        <v>0</v>
      </c>
      <c r="AX433" s="565">
        <f>WWWW[[#This Row],[%equitable and continuous access to sufficient quantity of safe drinking and domestic water''s GAP]]*WWWW[[#This Row],[Total PoP ]]</f>
        <v>0</v>
      </c>
      <c r="AY433" s="557">
        <f>IF(WWWW[[#This Row],[Total required water points]]-WWWW[[#This Row],['#Water points coverage]]&lt;0,0,WWWW[[#This Row],[Total required water points]]-WWWW[[#This Row],['#Water points coverage]])</f>
        <v>0.31200000000000006</v>
      </c>
      <c r="AZ433" s="557">
        <f>ROUND(IF(WWWW[[#This Row],[Total PoP ]]&lt;250,1,WWWW[[#This Row],[Total PoP ]]/250),0)</f>
        <v>1</v>
      </c>
      <c r="BA43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33" s="565">
        <f>WWWW[[#This Row],[% people access to functioning Latrine]]*WWWW[[#This Row],[Total PoP ]]</f>
        <v>172</v>
      </c>
      <c r="BC433" s="557">
        <f>WWWW[[#This Row],['#_of_Functioning_latrines_in_school]]*50</f>
        <v>100</v>
      </c>
      <c r="BD433" s="557">
        <f>ROUND((WWWW[[#This Row],[Total PoP ]]/6),0)</f>
        <v>29</v>
      </c>
      <c r="BE433" s="557">
        <f>IF(WWWW[[#This Row],[Total required Latrines]]-(WWWW[[#This Row],['#_of_sanitary_fly-proof_HH_latrines]])&lt;0,0,WWWW[[#This Row],[Total required Latrines]]-(WWWW[[#This Row],['#_of_sanitary_fly-proof_HH_latrines]]))</f>
        <v>0</v>
      </c>
      <c r="BF433" s="558">
        <f>1-WWWW[[#This Row],[% people access to functioning Latrine]]</f>
        <v>0</v>
      </c>
      <c r="BG43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3" s="565" t="e">
        <f>IF(WWWW[[#This Row],['#_of_functional_handwashing_facilities_at_HH_level]]*6&gt;WWWW[[#This Row],[Total PoP ]],WWWW[[#This Row],[Total PoP ]],WWWW[[#This Row],['#_of_functional_handwashing_facilities_at_HH_level]]*6)</f>
        <v>#VALUE!</v>
      </c>
      <c r="BI433" s="557">
        <f>IF(WWWW[[#This Row],['# people reached by regular dedicated hygiene promotion]]&gt;WWWW[[#This Row],['# People received regular supply of hygiene items]],WWWW[[#This Row],['# people reached by regular dedicated hygiene promotion]],WWWW[[#This Row],['# People received regular supply of hygiene items]])</f>
        <v>0</v>
      </c>
      <c r="BJ433" s="555">
        <f>IF(WWWW[[#This Row],[HRP3]]/WWWW[[#This Row],[Total PoP ]]&gt;100%,100%,WWWW[[#This Row],[HRP3]]/WWWW[[#This Row],[Total PoP ]])</f>
        <v>0</v>
      </c>
      <c r="BK433" s="558">
        <f>1-WWWW[[#This Row],[Hygiene Coverage%]]</f>
        <v>1</v>
      </c>
      <c r="BL433" s="556">
        <f>WWWW[[#This Row],['# people reached by regular dedicated hygiene promotion]]/WWWW[[#This Row],[Total PoP ]]</f>
        <v>0</v>
      </c>
      <c r="BM43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3" s="557">
        <f>WWWW[[#This Row],['#_of_affected_women_and_girls_receiving_a_sufficient_quantity_of_sanitary_pads]]</f>
        <v>0</v>
      </c>
      <c r="BO433" s="611">
        <f>IF(WWWW[[#This Row],['# People with access to soap]]&gt;WWWW[[#This Row],['# People with access to Sanity Pads]],WWWW[[#This Row],['# People with access to soap]],WWWW[[#This Row],['# People with access to Sanity Pads]])</f>
        <v>0</v>
      </c>
      <c r="BP433" s="565" t="str">
        <f>IF(OR(WWWW[[#This Row],['#of students in school]]="",WWWW[[#This Row],['#of students in school]]=0),"No","Yes")</f>
        <v>Yes</v>
      </c>
      <c r="BQ433" s="559" t="str">
        <f>VLOOKUP(WWWW[[#This Row],[Village  Name]],SiteDB6[[Site Name]:[Location Type 1]],9,FALSE)</f>
        <v>Village</v>
      </c>
      <c r="BR433" s="559" t="str">
        <f>VLOOKUP(WWWW[[#This Row],[Village  Name]],SiteDB6[[Site Name]:[Type of Accommodation]],10,FALSE)</f>
        <v>Village</v>
      </c>
      <c r="BS433" s="559" t="str">
        <f>VLOOKUP(WWWW[[#This Row],[Village  Name]],SiteDB6[[Site Name]:[Ethnic or GCA/NGCA]],11,FALSE)</f>
        <v>Rakhine</v>
      </c>
      <c r="BT433" s="559">
        <f>VLOOKUP(WWWW[[#This Row],[Village  Name]],SiteDB6[[Site Name]:[Lat]],12,FALSE)</f>
        <v>20.818290709999999</v>
      </c>
      <c r="BU433" s="559">
        <f>VLOOKUP(WWWW[[#This Row],[Village  Name]],SiteDB6[[Site Name]:[Long]],13,FALSE)</f>
        <v>92.594978330000004</v>
      </c>
      <c r="BV433" s="559">
        <f>VLOOKUP(WWWW[[#This Row],[Village  Name]],SiteDB6[[Site Name]:[Pcode]],3,FALSE)</f>
        <v>217876</v>
      </c>
      <c r="BW433" s="559" t="str">
        <f t="shared" si="15"/>
        <v>Covered</v>
      </c>
      <c r="BX433" s="587"/>
    </row>
    <row r="434" spans="1:76">
      <c r="A434" s="612" t="s">
        <v>2381</v>
      </c>
      <c r="B434" s="612" t="s">
        <v>2864</v>
      </c>
      <c r="C434" s="457" t="s">
        <v>371</v>
      </c>
      <c r="D434" s="457" t="s">
        <v>3050</v>
      </c>
      <c r="E434" s="457" t="s">
        <v>2686</v>
      </c>
      <c r="F434" s="457" t="s">
        <v>321</v>
      </c>
      <c r="G434" s="551" t="str">
        <f>VLOOKUP(WWWW[[#This Row],[Village  Name]],SiteDB6[[Site Name]:[Location Type]],8,FALSE)</f>
        <v>Village</v>
      </c>
      <c r="H434" s="457" t="s">
        <v>636</v>
      </c>
      <c r="I434" s="611">
        <v>24</v>
      </c>
      <c r="J434" s="611">
        <v>91</v>
      </c>
      <c r="K434" s="461">
        <v>43221</v>
      </c>
      <c r="L434" s="55">
        <v>43677</v>
      </c>
      <c r="M434" s="611">
        <v>15</v>
      </c>
      <c r="N434" s="611"/>
      <c r="O434" s="611">
        <v>0</v>
      </c>
      <c r="P434" s="611">
        <v>2</v>
      </c>
      <c r="Q434" s="611"/>
      <c r="R434" s="611"/>
      <c r="S434" s="611"/>
      <c r="T434" s="643"/>
      <c r="U434" s="611">
        <v>20</v>
      </c>
      <c r="V434" s="611" t="s">
        <v>128</v>
      </c>
      <c r="W434" s="611"/>
      <c r="X434" s="611"/>
      <c r="Y434" s="611"/>
      <c r="Z434" s="611"/>
      <c r="AA434" s="611"/>
      <c r="AB434" s="643"/>
      <c r="AC434" s="611"/>
      <c r="AD434" s="611"/>
      <c r="AE434" s="611"/>
      <c r="AF434" s="611"/>
      <c r="AG434" s="611"/>
      <c r="AH434" s="611"/>
      <c r="AI434" s="611" t="s">
        <v>3051</v>
      </c>
      <c r="AJ434" s="611" t="s">
        <v>3051</v>
      </c>
      <c r="AK434" s="611"/>
      <c r="AL434" s="611"/>
      <c r="AM434" s="643"/>
      <c r="AN434" s="611"/>
      <c r="AO434" s="611"/>
      <c r="AP43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34" s="565">
        <f>WWWW[[#This Row],[%Equitable and continuous access to sufficient quantity of safe drinking water]]*WWWW[[#This Row],[Total PoP ]]</f>
        <v>91</v>
      </c>
      <c r="AR43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34" s="565">
        <f>WWWW[[#This Row],[% Access to unimproved water points]]*WWWW[[#This Row],[Total PoP ]]</f>
        <v>0</v>
      </c>
      <c r="AT43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AV434" s="565">
        <f>WWWW[[#This Row],[HRP1]]/250</f>
        <v>0.36399999999999999</v>
      </c>
      <c r="AW434" s="555">
        <f>1-WWWW[[#This Row],[% Equitable and continuous access to sufficient quantity of domestic water]]</f>
        <v>0</v>
      </c>
      <c r="AX434" s="565">
        <f>WWWW[[#This Row],[%equitable and continuous access to sufficient quantity of safe drinking and domestic water''s GAP]]*WWWW[[#This Row],[Total PoP ]]</f>
        <v>0</v>
      </c>
      <c r="AY434" s="557">
        <f>IF(WWWW[[#This Row],[Total required water points]]-WWWW[[#This Row],['#Water points coverage]]&lt;0,0,WWWW[[#This Row],[Total required water points]]-WWWW[[#This Row],['#Water points coverage]])</f>
        <v>0.63600000000000001</v>
      </c>
      <c r="AZ434" s="557">
        <f>ROUND(IF(WWWW[[#This Row],[Total PoP ]]&lt;250,1,WWWW[[#This Row],[Total PoP ]]/250),0)</f>
        <v>1</v>
      </c>
      <c r="BA43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34" s="565">
        <f>WWWW[[#This Row],[% people access to functioning Latrine]]*WWWW[[#This Row],[Total PoP ]]</f>
        <v>91</v>
      </c>
      <c r="BC434" s="557">
        <f>WWWW[[#This Row],['#_of_Functioning_latrines_in_school]]*50</f>
        <v>0</v>
      </c>
      <c r="BD434" s="557">
        <f>ROUND((WWWW[[#This Row],[Total PoP ]]/6),0)</f>
        <v>15</v>
      </c>
      <c r="BE434" s="557">
        <f>IF(WWWW[[#This Row],[Total required Latrines]]-(WWWW[[#This Row],['#_of_sanitary_fly-proof_HH_latrines]])&lt;0,0,WWWW[[#This Row],[Total required Latrines]]-(WWWW[[#This Row],['#_of_sanitary_fly-proof_HH_latrines]]))</f>
        <v>0</v>
      </c>
      <c r="BF434" s="558">
        <f>1-WWWW[[#This Row],[% people access to functioning Latrine]]</f>
        <v>0</v>
      </c>
      <c r="BG43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4" s="565" t="e">
        <f>IF(WWWW[[#This Row],['#_of_functional_handwashing_facilities_at_HH_level]]*6&gt;WWWW[[#This Row],[Total PoP ]],WWWW[[#This Row],[Total PoP ]],WWWW[[#This Row],['#_of_functional_handwashing_facilities_at_HH_level]]*6)</f>
        <v>#VALUE!</v>
      </c>
      <c r="BI434" s="557">
        <f>IF(WWWW[[#This Row],['# people reached by regular dedicated hygiene promotion]]&gt;WWWW[[#This Row],['# People received regular supply of hygiene items]],WWWW[[#This Row],['# people reached by regular dedicated hygiene promotion]],WWWW[[#This Row],['# People received regular supply of hygiene items]])</f>
        <v>0</v>
      </c>
      <c r="BJ434" s="555">
        <f>IF(WWWW[[#This Row],[HRP3]]/WWWW[[#This Row],[Total PoP ]]&gt;100%,100%,WWWW[[#This Row],[HRP3]]/WWWW[[#This Row],[Total PoP ]])</f>
        <v>0</v>
      </c>
      <c r="BK434" s="558">
        <f>1-WWWW[[#This Row],[Hygiene Coverage%]]</f>
        <v>1</v>
      </c>
      <c r="BL434" s="556">
        <f>WWWW[[#This Row],['# people reached by regular dedicated hygiene promotion]]/WWWW[[#This Row],[Total PoP ]]</f>
        <v>0</v>
      </c>
      <c r="BM43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4" s="557">
        <f>WWWW[[#This Row],['#_of_affected_women_and_girls_receiving_a_sufficient_quantity_of_sanitary_pads]]</f>
        <v>0</v>
      </c>
      <c r="BO434" s="611">
        <f>IF(WWWW[[#This Row],['# People with access to soap]]&gt;WWWW[[#This Row],['# People with access to Sanity Pads]],WWWW[[#This Row],['# People with access to soap]],WWWW[[#This Row],['# People with access to Sanity Pads]])</f>
        <v>0</v>
      </c>
      <c r="BP434" s="565" t="str">
        <f>IF(OR(WWWW[[#This Row],['#of students in school]]="",WWWW[[#This Row],['#of students in school]]=0),"No","Yes")</f>
        <v>Yes</v>
      </c>
      <c r="BQ434" s="559" t="str">
        <f>VLOOKUP(WWWW[[#This Row],[Village  Name]],SiteDB6[[Site Name]:[Location Type 1]],9,FALSE)</f>
        <v>Village</v>
      </c>
      <c r="BR434" s="559" t="str">
        <f>VLOOKUP(WWWW[[#This Row],[Village  Name]],SiteDB6[[Site Name]:[Type of Accommodation]],10,FALSE)</f>
        <v>Village</v>
      </c>
      <c r="BS434" s="559" t="str">
        <f>VLOOKUP(WWWW[[#This Row],[Village  Name]],SiteDB6[[Site Name]:[Ethnic or GCA/NGCA]],11,FALSE)</f>
        <v>Rakhine</v>
      </c>
      <c r="BT434" s="559">
        <f>VLOOKUP(WWWW[[#This Row],[Village  Name]],SiteDB6[[Site Name]:[Lat]],12,FALSE)</f>
        <v>20.849060059999999</v>
      </c>
      <c r="BU434" s="559">
        <f>VLOOKUP(WWWW[[#This Row],[Village  Name]],SiteDB6[[Site Name]:[Long]],13,FALSE)</f>
        <v>92.497413640000005</v>
      </c>
      <c r="BV434" s="559">
        <f>VLOOKUP(WWWW[[#This Row],[Village  Name]],SiteDB6[[Site Name]:[Pcode]],3,FALSE)</f>
        <v>198313</v>
      </c>
      <c r="BW434" s="559" t="str">
        <f t="shared" ref="BW434:BW464" si="16">IF(C434="none","Notcovered","Covered")</f>
        <v>Covered</v>
      </c>
      <c r="BX434" s="587"/>
    </row>
    <row r="435" spans="1:76">
      <c r="A435" s="612" t="s">
        <v>2381</v>
      </c>
      <c r="B435" s="612" t="s">
        <v>2864</v>
      </c>
      <c r="C435" s="457" t="s">
        <v>371</v>
      </c>
      <c r="D435" s="457" t="s">
        <v>3050</v>
      </c>
      <c r="E435" s="457" t="s">
        <v>2686</v>
      </c>
      <c r="F435" s="457" t="s">
        <v>321</v>
      </c>
      <c r="G435" s="551" t="str">
        <f>VLOOKUP(WWWW[[#This Row],[Village  Name]],SiteDB6[[Site Name]:[Location Type]],8,FALSE)</f>
        <v>Village</v>
      </c>
      <c r="H435" s="457" t="s">
        <v>642</v>
      </c>
      <c r="I435" s="611">
        <v>115</v>
      </c>
      <c r="J435" s="611">
        <v>658</v>
      </c>
      <c r="K435" s="461">
        <v>43221</v>
      </c>
      <c r="L435" s="55">
        <v>43677</v>
      </c>
      <c r="M435" s="611">
        <v>420</v>
      </c>
      <c r="N435" s="611"/>
      <c r="O435" s="611">
        <v>0</v>
      </c>
      <c r="P435" s="611">
        <v>1</v>
      </c>
      <c r="Q435" s="611">
        <v>2</v>
      </c>
      <c r="R435" s="611"/>
      <c r="S435" s="611"/>
      <c r="T435" s="643"/>
      <c r="U435" s="611">
        <v>80</v>
      </c>
      <c r="V435" s="611" t="s">
        <v>41</v>
      </c>
      <c r="W435" s="611">
        <v>1</v>
      </c>
      <c r="X435" s="611"/>
      <c r="Y435" s="611"/>
      <c r="Z435" s="611"/>
      <c r="AA435" s="611"/>
      <c r="AB435" s="643"/>
      <c r="AC435" s="611"/>
      <c r="AD435" s="611"/>
      <c r="AE435" s="611"/>
      <c r="AF435" s="611"/>
      <c r="AG435" s="611"/>
      <c r="AH435" s="611"/>
      <c r="AI435" s="611" t="s">
        <v>3051</v>
      </c>
      <c r="AJ435" s="611" t="s">
        <v>3051</v>
      </c>
      <c r="AK435" s="611"/>
      <c r="AL435" s="611"/>
      <c r="AM435" s="643"/>
      <c r="AN435" s="611"/>
      <c r="AO435" s="611"/>
      <c r="AP43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35" s="565">
        <f>WWWW[[#This Row],[%Equitable and continuous access to sufficient quantity of safe drinking water]]*WWWW[[#This Row],[Total PoP ]]</f>
        <v>658</v>
      </c>
      <c r="AR43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35" s="565">
        <f>WWWW[[#This Row],[% Access to unimproved water points]]*WWWW[[#This Row],[Total PoP ]]</f>
        <v>658</v>
      </c>
      <c r="AT43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AV435" s="565">
        <f>WWWW[[#This Row],[HRP1]]/250</f>
        <v>2.6320000000000001</v>
      </c>
      <c r="AW435" s="555">
        <f>1-WWWW[[#This Row],[% Equitable and continuous access to sufficient quantity of domestic water]]</f>
        <v>0</v>
      </c>
      <c r="AX435" s="565">
        <f>WWWW[[#This Row],[%equitable and continuous access to sufficient quantity of safe drinking and domestic water''s GAP]]*WWWW[[#This Row],[Total PoP ]]</f>
        <v>0</v>
      </c>
      <c r="AY435" s="557">
        <f>IF(WWWW[[#This Row],[Total required water points]]-WWWW[[#This Row],['#Water points coverage]]&lt;0,0,WWWW[[#This Row],[Total required water points]]-WWWW[[#This Row],['#Water points coverage]])</f>
        <v>0.36799999999999988</v>
      </c>
      <c r="AZ435" s="557">
        <f>ROUND(IF(WWWW[[#This Row],[Total PoP ]]&lt;250,1,WWWW[[#This Row],[Total PoP ]]/250),0)</f>
        <v>3</v>
      </c>
      <c r="BA43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0.80547112462006076</v>
      </c>
      <c r="BB435" s="565">
        <f>WWWW[[#This Row],[% people access to functioning Latrine]]*WWWW[[#This Row],[Total PoP ]]</f>
        <v>530</v>
      </c>
      <c r="BC435" s="557">
        <f>WWWW[[#This Row],['#_of_Functioning_latrines_in_school]]*50</f>
        <v>50</v>
      </c>
      <c r="BD435" s="557">
        <f>ROUND((WWWW[[#This Row],[Total PoP ]]/6),0)</f>
        <v>110</v>
      </c>
      <c r="BE435" s="557">
        <f>IF(WWWW[[#This Row],[Total required Latrines]]-(WWWW[[#This Row],['#_of_sanitary_fly-proof_HH_latrines]])&lt;0,0,WWWW[[#This Row],[Total required Latrines]]-(WWWW[[#This Row],['#_of_sanitary_fly-proof_HH_latrines]]))</f>
        <v>30</v>
      </c>
      <c r="BF435" s="558">
        <f>1-WWWW[[#This Row],[% people access to functioning Latrine]]</f>
        <v>0.19452887537993924</v>
      </c>
      <c r="BG43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5" s="565" t="e">
        <f>IF(WWWW[[#This Row],['#_of_functional_handwashing_facilities_at_HH_level]]*6&gt;WWWW[[#This Row],[Total PoP ]],WWWW[[#This Row],[Total PoP ]],WWWW[[#This Row],['#_of_functional_handwashing_facilities_at_HH_level]]*6)</f>
        <v>#VALUE!</v>
      </c>
      <c r="BI435" s="557">
        <f>IF(WWWW[[#This Row],['# people reached by regular dedicated hygiene promotion]]&gt;WWWW[[#This Row],['# People received regular supply of hygiene items]],WWWW[[#This Row],['# people reached by regular dedicated hygiene promotion]],WWWW[[#This Row],['# People received regular supply of hygiene items]])</f>
        <v>0</v>
      </c>
      <c r="BJ435" s="555">
        <f>IF(WWWW[[#This Row],[HRP3]]/WWWW[[#This Row],[Total PoP ]]&gt;100%,100%,WWWW[[#This Row],[HRP3]]/WWWW[[#This Row],[Total PoP ]])</f>
        <v>0</v>
      </c>
      <c r="BK435" s="558">
        <f>1-WWWW[[#This Row],[Hygiene Coverage%]]</f>
        <v>1</v>
      </c>
      <c r="BL435" s="556">
        <f>WWWW[[#This Row],['# people reached by regular dedicated hygiene promotion]]/WWWW[[#This Row],[Total PoP ]]</f>
        <v>0</v>
      </c>
      <c r="BM43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5" s="557">
        <f>WWWW[[#This Row],['#_of_affected_women_and_girls_receiving_a_sufficient_quantity_of_sanitary_pads]]</f>
        <v>0</v>
      </c>
      <c r="BO435" s="611">
        <f>IF(WWWW[[#This Row],['# People with access to soap]]&gt;WWWW[[#This Row],['# People with access to Sanity Pads]],WWWW[[#This Row],['# People with access to soap]],WWWW[[#This Row],['# People with access to Sanity Pads]])</f>
        <v>0</v>
      </c>
      <c r="BP435" s="565" t="str">
        <f>IF(OR(WWWW[[#This Row],['#of students in school]]="",WWWW[[#This Row],['#of students in school]]=0),"No","Yes")</f>
        <v>Yes</v>
      </c>
      <c r="BQ435" s="559" t="str">
        <f>VLOOKUP(WWWW[[#This Row],[Village  Name]],SiteDB6[[Site Name]:[Location Type 1]],9,FALSE)</f>
        <v>Village</v>
      </c>
      <c r="BR435" s="559" t="str">
        <f>VLOOKUP(WWWW[[#This Row],[Village  Name]],SiteDB6[[Site Name]:[Type of Accommodation]],10,FALSE)</f>
        <v>Village</v>
      </c>
      <c r="BS435" s="559" t="str">
        <f>VLOOKUP(WWWW[[#This Row],[Village  Name]],SiteDB6[[Site Name]:[Ethnic or GCA/NGCA]],11,FALSE)</f>
        <v>Muslim</v>
      </c>
      <c r="BT435" s="559">
        <f>VLOOKUP(WWWW[[#This Row],[Village  Name]],SiteDB6[[Site Name]:[Lat]],12,FALSE)</f>
        <v>20.876710889999998</v>
      </c>
      <c r="BU435" s="559">
        <f>VLOOKUP(WWWW[[#This Row],[Village  Name]],SiteDB6[[Site Name]:[Long]],13,FALSE)</f>
        <v>92.537406919999995</v>
      </c>
      <c r="BV435" s="559">
        <f>VLOOKUP(WWWW[[#This Row],[Village  Name]],SiteDB6[[Site Name]:[Pcode]],3,FALSE)</f>
        <v>198301</v>
      </c>
      <c r="BW435" s="559" t="str">
        <f t="shared" si="16"/>
        <v>Covered</v>
      </c>
      <c r="BX435" s="587"/>
    </row>
    <row r="436" spans="1:76">
      <c r="A436" s="612" t="s">
        <v>2381</v>
      </c>
      <c r="B436" s="612" t="s">
        <v>2864</v>
      </c>
      <c r="C436" s="457" t="s">
        <v>371</v>
      </c>
      <c r="D436" s="457" t="s">
        <v>3050</v>
      </c>
      <c r="E436" s="457" t="s">
        <v>2686</v>
      </c>
      <c r="F436" s="457" t="s">
        <v>307</v>
      </c>
      <c r="G436" s="551" t="str">
        <f>VLOOKUP(WWWW[[#This Row],[Village  Name]],SiteDB6[[Site Name]:[Location Type]],8,FALSE)</f>
        <v>Village</v>
      </c>
      <c r="H436" s="457" t="s">
        <v>2861</v>
      </c>
      <c r="I436" s="611">
        <v>55</v>
      </c>
      <c r="J436" s="611">
        <v>241</v>
      </c>
      <c r="K436" s="461">
        <v>43221</v>
      </c>
      <c r="L436" s="55">
        <v>43677</v>
      </c>
      <c r="M436" s="611">
        <v>43</v>
      </c>
      <c r="N436" s="611"/>
      <c r="O436" s="611">
        <v>2</v>
      </c>
      <c r="P436" s="611">
        <v>3</v>
      </c>
      <c r="Q436" s="611">
        <v>1</v>
      </c>
      <c r="R436" s="611"/>
      <c r="S436" s="611"/>
      <c r="T436" s="643"/>
      <c r="U436" s="611">
        <v>30</v>
      </c>
      <c r="V436" s="611" t="s">
        <v>41</v>
      </c>
      <c r="W436" s="611">
        <v>2</v>
      </c>
      <c r="X436" s="611"/>
      <c r="Y436" s="611"/>
      <c r="Z436" s="611"/>
      <c r="AA436" s="611"/>
      <c r="AB436" s="643"/>
      <c r="AC436" s="611"/>
      <c r="AD436" s="611"/>
      <c r="AE436" s="611"/>
      <c r="AF436" s="611"/>
      <c r="AG436" s="611"/>
      <c r="AH436" s="611"/>
      <c r="AI436" s="611" t="s">
        <v>3051</v>
      </c>
      <c r="AJ436" s="611" t="s">
        <v>3051</v>
      </c>
      <c r="AK436" s="611"/>
      <c r="AL436" s="611"/>
      <c r="AM436" s="643"/>
      <c r="AN436" s="611"/>
      <c r="AO436" s="611"/>
      <c r="AP43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36" s="565">
        <f>WWWW[[#This Row],[%Equitable and continuous access to sufficient quantity of safe drinking water]]*WWWW[[#This Row],[Total PoP ]]</f>
        <v>241</v>
      </c>
      <c r="AR43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36" s="565">
        <f>WWWW[[#This Row],[% Access to unimproved water points]]*WWWW[[#This Row],[Total PoP ]]</f>
        <v>241</v>
      </c>
      <c r="AT43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AV436" s="565">
        <f>WWWW[[#This Row],[HRP1]]/250</f>
        <v>0.96399999999999997</v>
      </c>
      <c r="AW436" s="555">
        <f>1-WWWW[[#This Row],[% Equitable and continuous access to sufficient quantity of domestic water]]</f>
        <v>0</v>
      </c>
      <c r="AX436" s="565">
        <f>WWWW[[#This Row],[%equitable and continuous access to sufficient quantity of safe drinking and domestic water''s GAP]]*WWWW[[#This Row],[Total PoP ]]</f>
        <v>0</v>
      </c>
      <c r="AY436" s="557">
        <f>IF(WWWW[[#This Row],[Total required water points]]-WWWW[[#This Row],['#Water points coverage]]&lt;0,0,WWWW[[#This Row],[Total required water points]]-WWWW[[#This Row],['#Water points coverage]])</f>
        <v>3.6000000000000032E-2</v>
      </c>
      <c r="AZ436" s="557">
        <f>ROUND(IF(WWWW[[#This Row],[Total PoP ]]&lt;250,1,WWWW[[#This Row],[Total PoP ]]/250),0)</f>
        <v>1</v>
      </c>
      <c r="BA43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36" s="565">
        <f>WWWW[[#This Row],[% people access to functioning Latrine]]*WWWW[[#This Row],[Total PoP ]]</f>
        <v>241</v>
      </c>
      <c r="BC436" s="557">
        <f>WWWW[[#This Row],['#_of_Functioning_latrines_in_school]]*50</f>
        <v>100</v>
      </c>
      <c r="BD436" s="557">
        <f>ROUND((WWWW[[#This Row],[Total PoP ]]/6),0)</f>
        <v>40</v>
      </c>
      <c r="BE436" s="557">
        <f>IF(WWWW[[#This Row],[Total required Latrines]]-(WWWW[[#This Row],['#_of_sanitary_fly-proof_HH_latrines]])&lt;0,0,WWWW[[#This Row],[Total required Latrines]]-(WWWW[[#This Row],['#_of_sanitary_fly-proof_HH_latrines]]))</f>
        <v>10</v>
      </c>
      <c r="BF436" s="558">
        <f>1-WWWW[[#This Row],[% people access to functioning Latrine]]</f>
        <v>0</v>
      </c>
      <c r="BG43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6" s="565" t="e">
        <f>IF(WWWW[[#This Row],['#_of_functional_handwashing_facilities_at_HH_level]]*6&gt;WWWW[[#This Row],[Total PoP ]],WWWW[[#This Row],[Total PoP ]],WWWW[[#This Row],['#_of_functional_handwashing_facilities_at_HH_level]]*6)</f>
        <v>#VALUE!</v>
      </c>
      <c r="BI436" s="557">
        <f>IF(WWWW[[#This Row],['# people reached by regular dedicated hygiene promotion]]&gt;WWWW[[#This Row],['# People received regular supply of hygiene items]],WWWW[[#This Row],['# people reached by regular dedicated hygiene promotion]],WWWW[[#This Row],['# People received regular supply of hygiene items]])</f>
        <v>0</v>
      </c>
      <c r="BJ436" s="555">
        <f>IF(WWWW[[#This Row],[HRP3]]/WWWW[[#This Row],[Total PoP ]]&gt;100%,100%,WWWW[[#This Row],[HRP3]]/WWWW[[#This Row],[Total PoP ]])</f>
        <v>0</v>
      </c>
      <c r="BK436" s="558">
        <f>1-WWWW[[#This Row],[Hygiene Coverage%]]</f>
        <v>1</v>
      </c>
      <c r="BL436" s="556">
        <f>WWWW[[#This Row],['# people reached by regular dedicated hygiene promotion]]/WWWW[[#This Row],[Total PoP ]]</f>
        <v>0</v>
      </c>
      <c r="BM43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6" s="557">
        <f>WWWW[[#This Row],['#_of_affected_women_and_girls_receiving_a_sufficient_quantity_of_sanitary_pads]]</f>
        <v>0</v>
      </c>
      <c r="BO436" s="611">
        <f>IF(WWWW[[#This Row],['# People with access to soap]]&gt;WWWW[[#This Row],['# People with access to Sanity Pads]],WWWW[[#This Row],['# People with access to soap]],WWWW[[#This Row],['# People with access to Sanity Pads]])</f>
        <v>0</v>
      </c>
      <c r="BP436" s="565" t="str">
        <f>IF(OR(WWWW[[#This Row],['#of students in school]]="",WWWW[[#This Row],['#of students in school]]=0),"No","Yes")</f>
        <v>Yes</v>
      </c>
      <c r="BQ436" s="559" t="str">
        <f>VLOOKUP(WWWW[[#This Row],[Village  Name]],SiteDB6[[Site Name]:[Location Type 1]],9,FALSE)</f>
        <v>Village</v>
      </c>
      <c r="BR436" s="559" t="str">
        <f>VLOOKUP(WWWW[[#This Row],[Village  Name]],SiteDB6[[Site Name]:[Type of Accommodation]],10,FALSE)</f>
        <v>Village</v>
      </c>
      <c r="BS436" s="559" t="str">
        <f>VLOOKUP(WWWW[[#This Row],[Village  Name]],SiteDB6[[Site Name]:[Ethnic or GCA/NGCA]],11,FALSE)</f>
        <v>Rakhine</v>
      </c>
      <c r="BT436" s="559">
        <f>VLOOKUP(WWWW[[#This Row],[Village  Name]],SiteDB6[[Site Name]:[Lat]],12,FALSE)</f>
        <v>20.8013000488281</v>
      </c>
      <c r="BU436" s="559">
        <f>VLOOKUP(WWWW[[#This Row],[Village  Name]],SiteDB6[[Site Name]:[Long]],13,FALSE)</f>
        <v>92.423202514648395</v>
      </c>
      <c r="BV436" s="559">
        <f>VLOOKUP(WWWW[[#This Row],[Village  Name]],SiteDB6[[Site Name]:[Pcode]],3,FALSE)</f>
        <v>217895</v>
      </c>
      <c r="BW436" s="559" t="str">
        <f t="shared" si="16"/>
        <v>Covered</v>
      </c>
      <c r="BX436" s="587"/>
    </row>
    <row r="437" spans="1:76">
      <c r="A437" s="612" t="s">
        <v>2381</v>
      </c>
      <c r="B437" s="612" t="s">
        <v>2864</v>
      </c>
      <c r="C437" s="457" t="s">
        <v>371</v>
      </c>
      <c r="D437" s="457" t="s">
        <v>3050</v>
      </c>
      <c r="E437" s="457" t="s">
        <v>2686</v>
      </c>
      <c r="F437" s="457" t="s">
        <v>321</v>
      </c>
      <c r="G437" s="551" t="str">
        <f>VLOOKUP(WWWW[[#This Row],[Village  Name]],SiteDB6[[Site Name]:[Location Type]],8,FALSE)</f>
        <v>Village</v>
      </c>
      <c r="H437" s="457" t="s">
        <v>615</v>
      </c>
      <c r="I437" s="611">
        <v>105</v>
      </c>
      <c r="J437" s="611">
        <v>523</v>
      </c>
      <c r="K437" s="461">
        <v>43221</v>
      </c>
      <c r="L437" s="55">
        <v>43677</v>
      </c>
      <c r="M437" s="611">
        <v>120</v>
      </c>
      <c r="N437" s="611"/>
      <c r="O437" s="611">
        <v>0</v>
      </c>
      <c r="P437" s="611">
        <v>2</v>
      </c>
      <c r="Q437" s="611">
        <v>1</v>
      </c>
      <c r="R437" s="611"/>
      <c r="S437" s="611"/>
      <c r="T437" s="643"/>
      <c r="U437" s="611">
        <v>50</v>
      </c>
      <c r="V437" s="611" t="s">
        <v>128</v>
      </c>
      <c r="W437" s="611"/>
      <c r="X437" s="611"/>
      <c r="Y437" s="611"/>
      <c r="Z437" s="611"/>
      <c r="AA437" s="611"/>
      <c r="AB437" s="643"/>
      <c r="AC437" s="611"/>
      <c r="AD437" s="611"/>
      <c r="AE437" s="611"/>
      <c r="AF437" s="611"/>
      <c r="AG437" s="611"/>
      <c r="AH437" s="611"/>
      <c r="AI437" s="611" t="s">
        <v>3051</v>
      </c>
      <c r="AJ437" s="611" t="s">
        <v>3051</v>
      </c>
      <c r="AK437" s="611"/>
      <c r="AL437" s="611"/>
      <c r="AM437" s="643"/>
      <c r="AN437" s="611"/>
      <c r="AO437" s="611"/>
      <c r="AP43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37" s="565">
        <f>WWWW[[#This Row],[%Equitable and continuous access to sufficient quantity of safe drinking water]]*WWWW[[#This Row],[Total PoP ]]</f>
        <v>523</v>
      </c>
      <c r="AR43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37" s="565">
        <f>WWWW[[#This Row],[% Access to unimproved water points]]*WWWW[[#This Row],[Total PoP ]]</f>
        <v>523</v>
      </c>
      <c r="AT43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523</v>
      </c>
      <c r="AV437" s="565">
        <f>WWWW[[#This Row],[HRP1]]/250</f>
        <v>2.0920000000000001</v>
      </c>
      <c r="AW437" s="555">
        <f>1-WWWW[[#This Row],[% Equitable and continuous access to sufficient quantity of domestic water]]</f>
        <v>0</v>
      </c>
      <c r="AX437" s="565">
        <f>WWWW[[#This Row],[%equitable and continuous access to sufficient quantity of safe drinking and domestic water''s GAP]]*WWWW[[#This Row],[Total PoP ]]</f>
        <v>0</v>
      </c>
      <c r="AY437" s="557">
        <f>IF(WWWW[[#This Row],[Total required water points]]-WWWW[[#This Row],['#Water points coverage]]&lt;0,0,WWWW[[#This Row],[Total required water points]]-WWWW[[#This Row],['#Water points coverage]])</f>
        <v>0</v>
      </c>
      <c r="AZ437" s="557">
        <f>ROUND(IF(WWWW[[#This Row],[Total PoP ]]&lt;250,1,WWWW[[#This Row],[Total PoP ]]/250),0)</f>
        <v>2</v>
      </c>
      <c r="BA43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0.57361376673040154</v>
      </c>
      <c r="BB437" s="565">
        <f>WWWW[[#This Row],[% people access to functioning Latrine]]*WWWW[[#This Row],[Total PoP ]]</f>
        <v>300</v>
      </c>
      <c r="BC437" s="557">
        <f>WWWW[[#This Row],['#_of_Functioning_latrines_in_school]]*50</f>
        <v>0</v>
      </c>
      <c r="BD437" s="557">
        <f>ROUND((WWWW[[#This Row],[Total PoP ]]/6),0)</f>
        <v>87</v>
      </c>
      <c r="BE437" s="557">
        <f>IF(WWWW[[#This Row],[Total required Latrines]]-(WWWW[[#This Row],['#_of_sanitary_fly-proof_HH_latrines]])&lt;0,0,WWWW[[#This Row],[Total required Latrines]]-(WWWW[[#This Row],['#_of_sanitary_fly-proof_HH_latrines]]))</f>
        <v>37</v>
      </c>
      <c r="BF437" s="558">
        <f>1-WWWW[[#This Row],[% people access to functioning Latrine]]</f>
        <v>0.42638623326959846</v>
      </c>
      <c r="BG43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7" s="565" t="e">
        <f>IF(WWWW[[#This Row],['#_of_functional_handwashing_facilities_at_HH_level]]*6&gt;WWWW[[#This Row],[Total PoP ]],WWWW[[#This Row],[Total PoP ]],WWWW[[#This Row],['#_of_functional_handwashing_facilities_at_HH_level]]*6)</f>
        <v>#VALUE!</v>
      </c>
      <c r="BI437" s="557">
        <f>IF(WWWW[[#This Row],['# people reached by regular dedicated hygiene promotion]]&gt;WWWW[[#This Row],['# People received regular supply of hygiene items]],WWWW[[#This Row],['# people reached by regular dedicated hygiene promotion]],WWWW[[#This Row],['# People received regular supply of hygiene items]])</f>
        <v>0</v>
      </c>
      <c r="BJ437" s="555">
        <f>IF(WWWW[[#This Row],[HRP3]]/WWWW[[#This Row],[Total PoP ]]&gt;100%,100%,WWWW[[#This Row],[HRP3]]/WWWW[[#This Row],[Total PoP ]])</f>
        <v>0</v>
      </c>
      <c r="BK437" s="558">
        <f>1-WWWW[[#This Row],[Hygiene Coverage%]]</f>
        <v>1</v>
      </c>
      <c r="BL437" s="556">
        <f>WWWW[[#This Row],['# people reached by regular dedicated hygiene promotion]]/WWWW[[#This Row],[Total PoP ]]</f>
        <v>0</v>
      </c>
      <c r="BM43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7" s="557">
        <f>WWWW[[#This Row],['#_of_affected_women_and_girls_receiving_a_sufficient_quantity_of_sanitary_pads]]</f>
        <v>0</v>
      </c>
      <c r="BO437" s="611">
        <f>IF(WWWW[[#This Row],['# People with access to soap]]&gt;WWWW[[#This Row],['# People with access to Sanity Pads]],WWWW[[#This Row],['# People with access to soap]],WWWW[[#This Row],['# People with access to Sanity Pads]])</f>
        <v>0</v>
      </c>
      <c r="BP437" s="565" t="str">
        <f>IF(OR(WWWW[[#This Row],['#of students in school]]="",WWWW[[#This Row],['#of students in school]]=0),"No","Yes")</f>
        <v>Yes</v>
      </c>
      <c r="BQ437" s="559" t="str">
        <f>VLOOKUP(WWWW[[#This Row],[Village  Name]],SiteDB6[[Site Name]:[Location Type 1]],9,FALSE)</f>
        <v>Village</v>
      </c>
      <c r="BR437" s="559" t="str">
        <f>VLOOKUP(WWWW[[#This Row],[Village  Name]],SiteDB6[[Site Name]:[Type of Accommodation]],10,FALSE)</f>
        <v>Village</v>
      </c>
      <c r="BS437" s="559" t="str">
        <f>VLOOKUP(WWWW[[#This Row],[Village  Name]],SiteDB6[[Site Name]:[Ethnic or GCA/NGCA]],11,FALSE)</f>
        <v>Muslim</v>
      </c>
      <c r="BT437" s="559">
        <f>VLOOKUP(WWWW[[#This Row],[Village  Name]],SiteDB6[[Site Name]:[Lat]],12,FALSE)</f>
        <v>20.806030270000001</v>
      </c>
      <c r="BU437" s="559">
        <f>VLOOKUP(WWWW[[#This Row],[Village  Name]],SiteDB6[[Site Name]:[Long]],13,FALSE)</f>
        <v>92.601951600000007</v>
      </c>
      <c r="BV437" s="559">
        <f>VLOOKUP(WWWW[[#This Row],[Village  Name]],SiteDB6[[Site Name]:[Pcode]],3,FALSE)</f>
        <v>198369</v>
      </c>
      <c r="BW437" s="559" t="str">
        <f t="shared" si="16"/>
        <v>Covered</v>
      </c>
      <c r="BX437" s="587"/>
    </row>
    <row r="438" spans="1:76">
      <c r="A438" s="612" t="s">
        <v>2381</v>
      </c>
      <c r="B438" s="612" t="s">
        <v>2864</v>
      </c>
      <c r="C438" s="457" t="s">
        <v>371</v>
      </c>
      <c r="D438" s="457" t="s">
        <v>3050</v>
      </c>
      <c r="E438" s="457" t="s">
        <v>2686</v>
      </c>
      <c r="F438" s="457" t="s">
        <v>307</v>
      </c>
      <c r="G438" s="551" t="str">
        <f>VLOOKUP(WWWW[[#This Row],[Village  Name]],SiteDB6[[Site Name]:[Location Type]],8,FALSE)</f>
        <v>Village</v>
      </c>
      <c r="H438" s="457" t="s">
        <v>2055</v>
      </c>
      <c r="I438" s="611">
        <v>170</v>
      </c>
      <c r="J438" s="611">
        <v>989</v>
      </c>
      <c r="K438" s="461">
        <v>43221</v>
      </c>
      <c r="L438" s="55">
        <v>43677</v>
      </c>
      <c r="M438" s="611">
        <v>500</v>
      </c>
      <c r="N438" s="611"/>
      <c r="O438" s="611">
        <v>2</v>
      </c>
      <c r="P438" s="611">
        <v>6</v>
      </c>
      <c r="Q438" s="611">
        <v>4</v>
      </c>
      <c r="R438" s="611"/>
      <c r="S438" s="611">
        <v>1</v>
      </c>
      <c r="T438" s="643"/>
      <c r="U438" s="611">
        <v>102</v>
      </c>
      <c r="V438" s="611" t="s">
        <v>128</v>
      </c>
      <c r="W438" s="611">
        <v>2</v>
      </c>
      <c r="X438" s="611"/>
      <c r="Y438" s="611"/>
      <c r="Z438" s="611"/>
      <c r="AA438" s="611"/>
      <c r="AB438" s="643"/>
      <c r="AC438" s="611"/>
      <c r="AD438" s="611"/>
      <c r="AE438" s="611"/>
      <c r="AF438" s="611"/>
      <c r="AG438" s="611"/>
      <c r="AH438" s="611"/>
      <c r="AI438" s="611" t="s">
        <v>3051</v>
      </c>
      <c r="AJ438" s="611">
        <v>1</v>
      </c>
      <c r="AK438" s="611"/>
      <c r="AL438" s="611"/>
      <c r="AM438" s="643"/>
      <c r="AN438" s="611"/>
      <c r="AO438" s="611"/>
      <c r="AP43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38" s="565">
        <f>WWWW[[#This Row],[%Equitable and continuous access to sufficient quantity of safe drinking water]]*WWWW[[#This Row],[Total PoP ]]</f>
        <v>989</v>
      </c>
      <c r="AR43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38" s="565">
        <f>WWWW[[#This Row],[% Access to unimproved water points]]*WWWW[[#This Row],[Total PoP ]]</f>
        <v>989</v>
      </c>
      <c r="AT43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989</v>
      </c>
      <c r="AV438" s="565">
        <f>WWWW[[#This Row],[HRP1]]/250</f>
        <v>3.956</v>
      </c>
      <c r="AW438" s="555">
        <f>1-WWWW[[#This Row],[% Equitable and continuous access to sufficient quantity of domestic water]]</f>
        <v>0</v>
      </c>
      <c r="AX438" s="565">
        <f>WWWW[[#This Row],[%equitable and continuous access to sufficient quantity of safe drinking and domestic water''s GAP]]*WWWW[[#This Row],[Total PoP ]]</f>
        <v>0</v>
      </c>
      <c r="AY438" s="557">
        <f>IF(WWWW[[#This Row],[Total required water points]]-WWWW[[#This Row],['#Water points coverage]]&lt;0,0,WWWW[[#This Row],[Total required water points]]-WWWW[[#This Row],['#Water points coverage]])</f>
        <v>4.4000000000000039E-2</v>
      </c>
      <c r="AZ438" s="557">
        <f>ROUND(IF(WWWW[[#This Row],[Total PoP ]]&lt;250,1,WWWW[[#This Row],[Total PoP ]]/250),0)</f>
        <v>4</v>
      </c>
      <c r="BA43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0.71991911021233568</v>
      </c>
      <c r="BB438" s="565">
        <f>WWWW[[#This Row],[% people access to functioning Latrine]]*WWWW[[#This Row],[Total PoP ]]</f>
        <v>712</v>
      </c>
      <c r="BC438" s="557">
        <f>WWWW[[#This Row],['#_of_Functioning_latrines_in_school]]*50</f>
        <v>100</v>
      </c>
      <c r="BD438" s="557">
        <f>ROUND((WWWW[[#This Row],[Total PoP ]]/6),0)</f>
        <v>165</v>
      </c>
      <c r="BE438" s="557">
        <f>IF(WWWW[[#This Row],[Total required Latrines]]-(WWWW[[#This Row],['#_of_sanitary_fly-proof_HH_latrines]])&lt;0,0,WWWW[[#This Row],[Total required Latrines]]-(WWWW[[#This Row],['#_of_sanitary_fly-proof_HH_latrines]]))</f>
        <v>63</v>
      </c>
      <c r="BF438" s="558">
        <f>1-WWWW[[#This Row],[% people access to functioning Latrine]]</f>
        <v>0.28008088978766432</v>
      </c>
      <c r="BG43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8" s="565" t="e">
        <f>IF(WWWW[[#This Row],['#_of_functional_handwashing_facilities_at_HH_level]]*6&gt;WWWW[[#This Row],[Total PoP ]],WWWW[[#This Row],[Total PoP ]],WWWW[[#This Row],['#_of_functional_handwashing_facilities_at_HH_level]]*6)</f>
        <v>#VALUE!</v>
      </c>
      <c r="BI438" s="557">
        <f>IF(WWWW[[#This Row],['# people reached by regular dedicated hygiene promotion]]&gt;WWWW[[#This Row],['# People received regular supply of hygiene items]],WWWW[[#This Row],['# people reached by regular dedicated hygiene promotion]],WWWW[[#This Row],['# People received regular supply of hygiene items]])</f>
        <v>0</v>
      </c>
      <c r="BJ438" s="555">
        <f>IF(WWWW[[#This Row],[HRP3]]/WWWW[[#This Row],[Total PoP ]]&gt;100%,100%,WWWW[[#This Row],[HRP3]]/WWWW[[#This Row],[Total PoP ]])</f>
        <v>0</v>
      </c>
      <c r="BK438" s="558">
        <f>1-WWWW[[#This Row],[Hygiene Coverage%]]</f>
        <v>1</v>
      </c>
      <c r="BL438" s="556">
        <f>WWWW[[#This Row],['# people reached by regular dedicated hygiene promotion]]/WWWW[[#This Row],[Total PoP ]]</f>
        <v>0</v>
      </c>
      <c r="BM43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8" s="557">
        <f>WWWW[[#This Row],['#_of_affected_women_and_girls_receiving_a_sufficient_quantity_of_sanitary_pads]]</f>
        <v>0</v>
      </c>
      <c r="BO438" s="611">
        <f>IF(WWWW[[#This Row],['# People with access to soap]]&gt;WWWW[[#This Row],['# People with access to Sanity Pads]],WWWW[[#This Row],['# People with access to soap]],WWWW[[#This Row],['# People with access to Sanity Pads]])</f>
        <v>0</v>
      </c>
      <c r="BP438" s="565" t="str">
        <f>IF(OR(WWWW[[#This Row],['#of students in school]]="",WWWW[[#This Row],['#of students in school]]=0),"No","Yes")</f>
        <v>Yes</v>
      </c>
      <c r="BQ438" s="559" t="str">
        <f>VLOOKUP(WWWW[[#This Row],[Village  Name]],SiteDB6[[Site Name]:[Location Type 1]],9,FALSE)</f>
        <v>Village</v>
      </c>
      <c r="BR438" s="559" t="str">
        <f>VLOOKUP(WWWW[[#This Row],[Village  Name]],SiteDB6[[Site Name]:[Type of Accommodation]],10,FALSE)</f>
        <v>Village</v>
      </c>
      <c r="BS438" s="559" t="str">
        <f>VLOOKUP(WWWW[[#This Row],[Village  Name]],SiteDB6[[Site Name]:[Ethnic or GCA/NGCA]],11,FALSE)</f>
        <v>Muslim</v>
      </c>
      <c r="BT438" s="559">
        <f>VLOOKUP(WWWW[[#This Row],[Village  Name]],SiteDB6[[Site Name]:[Lat]],12,FALSE)</f>
        <v>20.914119719999999</v>
      </c>
      <c r="BU438" s="559">
        <f>VLOOKUP(WWWW[[#This Row],[Village  Name]],SiteDB6[[Site Name]:[Long]],13,FALSE)</f>
        <v>92.3506012</v>
      </c>
      <c r="BV438" s="559">
        <f>VLOOKUP(WWWW[[#This Row],[Village  Name]],SiteDB6[[Site Name]:[Pcode]],3,FALSE)</f>
        <v>197950</v>
      </c>
      <c r="BW438" s="559" t="str">
        <f t="shared" si="16"/>
        <v>Covered</v>
      </c>
      <c r="BX438" s="587"/>
    </row>
    <row r="439" spans="1:76">
      <c r="A439" s="612" t="s">
        <v>2381</v>
      </c>
      <c r="B439" s="612" t="s">
        <v>2864</v>
      </c>
      <c r="C439" s="457" t="s">
        <v>371</v>
      </c>
      <c r="D439" s="457" t="s">
        <v>3050</v>
      </c>
      <c r="E439" s="457" t="s">
        <v>2686</v>
      </c>
      <c r="F439" s="457" t="s">
        <v>321</v>
      </c>
      <c r="G439" s="551" t="str">
        <f>VLOOKUP(WWWW[[#This Row],[Village  Name]],SiteDB6[[Site Name]:[Location Type]],8,FALSE)</f>
        <v>Village</v>
      </c>
      <c r="H439" s="457" t="s">
        <v>648</v>
      </c>
      <c r="I439" s="611">
        <v>11</v>
      </c>
      <c r="J439" s="611">
        <v>69</v>
      </c>
      <c r="K439" s="461">
        <v>43221</v>
      </c>
      <c r="L439" s="55">
        <v>43677</v>
      </c>
      <c r="M439" s="611">
        <v>35</v>
      </c>
      <c r="N439" s="611"/>
      <c r="O439" s="611">
        <v>0</v>
      </c>
      <c r="P439" s="611"/>
      <c r="Q439" s="611">
        <v>1</v>
      </c>
      <c r="R439" s="611"/>
      <c r="S439" s="611"/>
      <c r="T439" s="643"/>
      <c r="U439" s="611">
        <v>11</v>
      </c>
      <c r="V439" s="611" t="s">
        <v>128</v>
      </c>
      <c r="W439" s="611"/>
      <c r="X439" s="611"/>
      <c r="Y439" s="611"/>
      <c r="Z439" s="611"/>
      <c r="AA439" s="611"/>
      <c r="AB439" s="643"/>
      <c r="AC439" s="611"/>
      <c r="AD439" s="611"/>
      <c r="AE439" s="611"/>
      <c r="AF439" s="611"/>
      <c r="AG439" s="611"/>
      <c r="AH439" s="611"/>
      <c r="AI439" s="611" t="s">
        <v>3051</v>
      </c>
      <c r="AJ439" s="611" t="s">
        <v>3051</v>
      </c>
      <c r="AK439" s="611"/>
      <c r="AL439" s="611"/>
      <c r="AM439" s="643"/>
      <c r="AN439" s="611"/>
      <c r="AO439" s="611"/>
      <c r="AP43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39" s="565">
        <f>WWWW[[#This Row],[%Equitable and continuous access to sufficient quantity of safe drinking water]]*WWWW[[#This Row],[Total PoP ]]</f>
        <v>0</v>
      </c>
      <c r="AR43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39" s="565">
        <f>WWWW[[#This Row],[% Access to unimproved water points]]*WWWW[[#This Row],[Total PoP ]]</f>
        <v>69</v>
      </c>
      <c r="AT43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3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v>
      </c>
      <c r="AV439" s="565">
        <f>WWWW[[#This Row],[HRP1]]/250</f>
        <v>0.27600000000000002</v>
      </c>
      <c r="AW439" s="555">
        <f>1-WWWW[[#This Row],[% Equitable and continuous access to sufficient quantity of domestic water]]</f>
        <v>0</v>
      </c>
      <c r="AX439" s="565">
        <f>WWWW[[#This Row],[%equitable and continuous access to sufficient quantity of safe drinking and domestic water''s GAP]]*WWWW[[#This Row],[Total PoP ]]</f>
        <v>0</v>
      </c>
      <c r="AY439" s="557">
        <f>IF(WWWW[[#This Row],[Total required water points]]-WWWW[[#This Row],['#Water points coverage]]&lt;0,0,WWWW[[#This Row],[Total required water points]]-WWWW[[#This Row],['#Water points coverage]])</f>
        <v>0.72399999999999998</v>
      </c>
      <c r="AZ439" s="557">
        <f>ROUND(IF(WWWW[[#This Row],[Total PoP ]]&lt;250,1,WWWW[[#This Row],[Total PoP ]]/250),0)</f>
        <v>1</v>
      </c>
      <c r="BA43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0.95652173913043481</v>
      </c>
      <c r="BB439" s="565">
        <f>WWWW[[#This Row],[% people access to functioning Latrine]]*WWWW[[#This Row],[Total PoP ]]</f>
        <v>66</v>
      </c>
      <c r="BC439" s="557">
        <f>WWWW[[#This Row],['#_of_Functioning_latrines_in_school]]*50</f>
        <v>0</v>
      </c>
      <c r="BD439" s="557">
        <f>ROUND((WWWW[[#This Row],[Total PoP ]]/6),0)</f>
        <v>12</v>
      </c>
      <c r="BE439" s="557">
        <f>IF(WWWW[[#This Row],[Total required Latrines]]-(WWWW[[#This Row],['#_of_sanitary_fly-proof_HH_latrines]])&lt;0,0,WWWW[[#This Row],[Total required Latrines]]-(WWWW[[#This Row],['#_of_sanitary_fly-proof_HH_latrines]]))</f>
        <v>1</v>
      </c>
      <c r="BF439" s="558">
        <f>1-WWWW[[#This Row],[% people access to functioning Latrine]]</f>
        <v>4.3478260869565188E-2</v>
      </c>
      <c r="BG43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39" s="565" t="e">
        <f>IF(WWWW[[#This Row],['#_of_functional_handwashing_facilities_at_HH_level]]*6&gt;WWWW[[#This Row],[Total PoP ]],WWWW[[#This Row],[Total PoP ]],WWWW[[#This Row],['#_of_functional_handwashing_facilities_at_HH_level]]*6)</f>
        <v>#VALUE!</v>
      </c>
      <c r="BI439" s="557">
        <f>IF(WWWW[[#This Row],['# people reached by regular dedicated hygiene promotion]]&gt;WWWW[[#This Row],['# People received regular supply of hygiene items]],WWWW[[#This Row],['# people reached by regular dedicated hygiene promotion]],WWWW[[#This Row],['# People received regular supply of hygiene items]])</f>
        <v>0</v>
      </c>
      <c r="BJ439" s="555">
        <f>IF(WWWW[[#This Row],[HRP3]]/WWWW[[#This Row],[Total PoP ]]&gt;100%,100%,WWWW[[#This Row],[HRP3]]/WWWW[[#This Row],[Total PoP ]])</f>
        <v>0</v>
      </c>
      <c r="BK439" s="558">
        <f>1-WWWW[[#This Row],[Hygiene Coverage%]]</f>
        <v>1</v>
      </c>
      <c r="BL439" s="556">
        <f>WWWW[[#This Row],['# people reached by regular dedicated hygiene promotion]]/WWWW[[#This Row],[Total PoP ]]</f>
        <v>0</v>
      </c>
      <c r="BM43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39" s="557">
        <f>WWWW[[#This Row],['#_of_affected_women_and_girls_receiving_a_sufficient_quantity_of_sanitary_pads]]</f>
        <v>0</v>
      </c>
      <c r="BO439" s="611">
        <f>IF(WWWW[[#This Row],['# People with access to soap]]&gt;WWWW[[#This Row],['# People with access to Sanity Pads]],WWWW[[#This Row],['# People with access to soap]],WWWW[[#This Row],['# People with access to Sanity Pads]])</f>
        <v>0</v>
      </c>
      <c r="BP439" s="565" t="str">
        <f>IF(OR(WWWW[[#This Row],['#of students in school]]="",WWWW[[#This Row],['#of students in school]]=0),"No","Yes")</f>
        <v>Yes</v>
      </c>
      <c r="BQ439" s="559" t="str">
        <f>VLOOKUP(WWWW[[#This Row],[Village  Name]],SiteDB6[[Site Name]:[Location Type 1]],9,FALSE)</f>
        <v>Village</v>
      </c>
      <c r="BR439" s="559" t="str">
        <f>VLOOKUP(WWWW[[#This Row],[Village  Name]],SiteDB6[[Site Name]:[Type of Accommodation]],10,FALSE)</f>
        <v>Village</v>
      </c>
      <c r="BS439" s="559" t="str">
        <f>VLOOKUP(WWWW[[#This Row],[Village  Name]],SiteDB6[[Site Name]:[Ethnic or GCA/NGCA]],11,FALSE)</f>
        <v>Muslim</v>
      </c>
      <c r="BT439" s="559">
        <f>VLOOKUP(WWWW[[#This Row],[Village  Name]],SiteDB6[[Site Name]:[Lat]],12,FALSE)</f>
        <v>20.887029649999999</v>
      </c>
      <c r="BU439" s="559">
        <f>VLOOKUP(WWWW[[#This Row],[Village  Name]],SiteDB6[[Site Name]:[Long]],13,FALSE)</f>
        <v>92.556823730000005</v>
      </c>
      <c r="BV439" s="559">
        <f>VLOOKUP(WWWW[[#This Row],[Village  Name]],SiteDB6[[Site Name]:[Pcode]],3,FALSE)</f>
        <v>217871</v>
      </c>
      <c r="BW439" s="559" t="str">
        <f t="shared" si="16"/>
        <v>Covered</v>
      </c>
      <c r="BX439" s="587"/>
    </row>
    <row r="440" spans="1:76">
      <c r="A440" s="612" t="s">
        <v>2381</v>
      </c>
      <c r="B440" s="612" t="s">
        <v>2864</v>
      </c>
      <c r="C440" s="457" t="s">
        <v>371</v>
      </c>
      <c r="D440" s="457" t="s">
        <v>3050</v>
      </c>
      <c r="E440" s="457" t="s">
        <v>2686</v>
      </c>
      <c r="F440" s="457" t="s">
        <v>307</v>
      </c>
      <c r="G440" s="551" t="str">
        <f>VLOOKUP(WWWW[[#This Row],[Village  Name]],SiteDB6[[Site Name]:[Location Type]],8,FALSE)</f>
        <v>Village</v>
      </c>
      <c r="H440" s="457" t="s">
        <v>519</v>
      </c>
      <c r="I440" s="611">
        <v>87</v>
      </c>
      <c r="J440" s="611">
        <v>361</v>
      </c>
      <c r="K440" s="461">
        <v>43221</v>
      </c>
      <c r="L440" s="55">
        <v>43677</v>
      </c>
      <c r="M440" s="611">
        <v>67</v>
      </c>
      <c r="N440" s="611"/>
      <c r="O440" s="611">
        <v>2</v>
      </c>
      <c r="P440" s="611"/>
      <c r="Q440" s="611">
        <v>3</v>
      </c>
      <c r="R440" s="611"/>
      <c r="S440" s="611"/>
      <c r="T440" s="643"/>
      <c r="U440" s="611">
        <v>30</v>
      </c>
      <c r="V440" s="611" t="s">
        <v>41</v>
      </c>
      <c r="W440" s="611"/>
      <c r="X440" s="611"/>
      <c r="Y440" s="611"/>
      <c r="Z440" s="611"/>
      <c r="AA440" s="611"/>
      <c r="AB440" s="643"/>
      <c r="AC440" s="611"/>
      <c r="AD440" s="611"/>
      <c r="AE440" s="611"/>
      <c r="AF440" s="611"/>
      <c r="AG440" s="611"/>
      <c r="AH440" s="611"/>
      <c r="AI440" s="611" t="s">
        <v>3051</v>
      </c>
      <c r="AJ440" s="611" t="s">
        <v>3051</v>
      </c>
      <c r="AK440" s="611"/>
      <c r="AL440" s="611"/>
      <c r="AM440" s="643"/>
      <c r="AN440" s="611"/>
      <c r="AO440" s="611"/>
      <c r="AP44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40" s="565">
        <f>WWWW[[#This Row],[%Equitable and continuous access to sufficient quantity of safe drinking water]]*WWWW[[#This Row],[Total PoP ]]</f>
        <v>361</v>
      </c>
      <c r="AR44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40" s="565">
        <f>WWWW[[#This Row],[% Access to unimproved water points]]*WWWW[[#This Row],[Total PoP ]]</f>
        <v>361</v>
      </c>
      <c r="AT44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361</v>
      </c>
      <c r="AV440" s="565">
        <f>WWWW[[#This Row],[HRP1]]/250</f>
        <v>1.444</v>
      </c>
      <c r="AW440" s="555">
        <f>1-WWWW[[#This Row],[% Equitable and continuous access to sufficient quantity of domestic water]]</f>
        <v>0</v>
      </c>
      <c r="AX440" s="565">
        <f>WWWW[[#This Row],[%equitable and continuous access to sufficient quantity of safe drinking and domestic water''s GAP]]*WWWW[[#This Row],[Total PoP ]]</f>
        <v>0</v>
      </c>
      <c r="AY440" s="557">
        <f>IF(WWWW[[#This Row],[Total required water points]]-WWWW[[#This Row],['#Water points coverage]]&lt;0,0,WWWW[[#This Row],[Total required water points]]-WWWW[[#This Row],['#Water points coverage]])</f>
        <v>0</v>
      </c>
      <c r="AZ440" s="557">
        <f>ROUND(IF(WWWW[[#This Row],[Total PoP ]]&lt;250,1,WWWW[[#This Row],[Total PoP ]]/250),0)</f>
        <v>1</v>
      </c>
      <c r="BA44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0.49861495844875348</v>
      </c>
      <c r="BB440" s="565">
        <f>WWWW[[#This Row],[% people access to functioning Latrine]]*WWWW[[#This Row],[Total PoP ]]</f>
        <v>180</v>
      </c>
      <c r="BC440" s="557">
        <f>WWWW[[#This Row],['#_of_Functioning_latrines_in_school]]*50</f>
        <v>0</v>
      </c>
      <c r="BD440" s="557">
        <f>ROUND((WWWW[[#This Row],[Total PoP ]]/6),0)</f>
        <v>60</v>
      </c>
      <c r="BE440" s="557">
        <f>IF(WWWW[[#This Row],[Total required Latrines]]-(WWWW[[#This Row],['#_of_sanitary_fly-proof_HH_latrines]])&lt;0,0,WWWW[[#This Row],[Total required Latrines]]-(WWWW[[#This Row],['#_of_sanitary_fly-proof_HH_latrines]]))</f>
        <v>30</v>
      </c>
      <c r="BF440" s="558">
        <f>1-WWWW[[#This Row],[% people access to functioning Latrine]]</f>
        <v>0.50138504155124652</v>
      </c>
      <c r="BG44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0" s="565" t="e">
        <f>IF(WWWW[[#This Row],['#_of_functional_handwashing_facilities_at_HH_level]]*6&gt;WWWW[[#This Row],[Total PoP ]],WWWW[[#This Row],[Total PoP ]],WWWW[[#This Row],['#_of_functional_handwashing_facilities_at_HH_level]]*6)</f>
        <v>#VALUE!</v>
      </c>
      <c r="BI440" s="557">
        <f>IF(WWWW[[#This Row],['# people reached by regular dedicated hygiene promotion]]&gt;WWWW[[#This Row],['# People received regular supply of hygiene items]],WWWW[[#This Row],['# people reached by regular dedicated hygiene promotion]],WWWW[[#This Row],['# People received regular supply of hygiene items]])</f>
        <v>0</v>
      </c>
      <c r="BJ440" s="555">
        <f>IF(WWWW[[#This Row],[HRP3]]/WWWW[[#This Row],[Total PoP ]]&gt;100%,100%,WWWW[[#This Row],[HRP3]]/WWWW[[#This Row],[Total PoP ]])</f>
        <v>0</v>
      </c>
      <c r="BK440" s="558">
        <f>1-WWWW[[#This Row],[Hygiene Coverage%]]</f>
        <v>1</v>
      </c>
      <c r="BL440" s="556">
        <f>WWWW[[#This Row],['# people reached by regular dedicated hygiene promotion]]/WWWW[[#This Row],[Total PoP ]]</f>
        <v>0</v>
      </c>
      <c r="BM44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0" s="557">
        <f>WWWW[[#This Row],['#_of_affected_women_and_girls_receiving_a_sufficient_quantity_of_sanitary_pads]]</f>
        <v>0</v>
      </c>
      <c r="BO440" s="611">
        <f>IF(WWWW[[#This Row],['# People with access to soap]]&gt;WWWW[[#This Row],['# People with access to Sanity Pads]],WWWW[[#This Row],['# People with access to soap]],WWWW[[#This Row],['# People with access to Sanity Pads]])</f>
        <v>0</v>
      </c>
      <c r="BP440" s="565" t="str">
        <f>IF(OR(WWWW[[#This Row],['#of students in school]]="",WWWW[[#This Row],['#of students in school]]=0),"No","Yes")</f>
        <v>Yes</v>
      </c>
      <c r="BQ440" s="559" t="str">
        <f>VLOOKUP(WWWW[[#This Row],[Village  Name]],SiteDB6[[Site Name]:[Location Type 1]],9,FALSE)</f>
        <v>Village</v>
      </c>
      <c r="BR440" s="559" t="str">
        <f>VLOOKUP(WWWW[[#This Row],[Village  Name]],SiteDB6[[Site Name]:[Type of Accommodation]],10,FALSE)</f>
        <v>Village</v>
      </c>
      <c r="BS440" s="559" t="str">
        <f>VLOOKUP(WWWW[[#This Row],[Village  Name]],SiteDB6[[Site Name]:[Ethnic or GCA/NGCA]],11,FALSE)</f>
        <v>Rakhine</v>
      </c>
      <c r="BT440" s="559">
        <f>VLOOKUP(WWWW[[#This Row],[Village  Name]],SiteDB6[[Site Name]:[Lat]],12,FALSE)</f>
        <v>20.651159289999999</v>
      </c>
      <c r="BU440" s="559">
        <f>VLOOKUP(WWWW[[#This Row],[Village  Name]],SiteDB6[[Site Name]:[Long]],13,FALSE)</f>
        <v>92.605712890000007</v>
      </c>
      <c r="BV440" s="559">
        <f>VLOOKUP(WWWW[[#This Row],[Village  Name]],SiteDB6[[Site Name]:[Pcode]],3,FALSE)</f>
        <v>0</v>
      </c>
      <c r="BW440" s="559" t="str">
        <f t="shared" si="16"/>
        <v>Covered</v>
      </c>
      <c r="BX440" s="587"/>
    </row>
    <row r="441" spans="1:76">
      <c r="A441" s="612" t="s">
        <v>2381</v>
      </c>
      <c r="B441" s="612" t="s">
        <v>2864</v>
      </c>
      <c r="C441" s="457" t="s">
        <v>371</v>
      </c>
      <c r="D441" s="457" t="s">
        <v>3050</v>
      </c>
      <c r="E441" s="457" t="s">
        <v>2686</v>
      </c>
      <c r="F441" s="457" t="s">
        <v>321</v>
      </c>
      <c r="G441" s="551" t="str">
        <f>VLOOKUP(WWWW[[#This Row],[Village  Name]],SiteDB6[[Site Name]:[Location Type]],8,FALSE)</f>
        <v>Village</v>
      </c>
      <c r="H441" s="457" t="s">
        <v>584</v>
      </c>
      <c r="I441" s="611">
        <v>166</v>
      </c>
      <c r="J441" s="611">
        <v>854</v>
      </c>
      <c r="K441" s="461">
        <v>43221</v>
      </c>
      <c r="L441" s="55">
        <v>43677</v>
      </c>
      <c r="M441" s="611">
        <v>231</v>
      </c>
      <c r="N441" s="611">
        <v>150</v>
      </c>
      <c r="O441" s="611">
        <v>0</v>
      </c>
      <c r="P441" s="611">
        <v>3</v>
      </c>
      <c r="Q441" s="611">
        <v>2</v>
      </c>
      <c r="R441" s="611"/>
      <c r="S441" s="611"/>
      <c r="T441" s="643"/>
      <c r="U441" s="611">
        <v>90</v>
      </c>
      <c r="V441" s="611" t="s">
        <v>128</v>
      </c>
      <c r="W441" s="611">
        <v>2</v>
      </c>
      <c r="X441" s="611"/>
      <c r="Y441" s="611"/>
      <c r="Z441" s="611"/>
      <c r="AA441" s="611"/>
      <c r="AB441" s="643"/>
      <c r="AC441" s="611"/>
      <c r="AD441" s="611"/>
      <c r="AE441" s="611"/>
      <c r="AF441" s="611"/>
      <c r="AG441" s="611"/>
      <c r="AH441" s="611"/>
      <c r="AI441" s="611" t="s">
        <v>3051</v>
      </c>
      <c r="AJ441" s="611">
        <v>1</v>
      </c>
      <c r="AK441" s="611"/>
      <c r="AL441" s="611"/>
      <c r="AM441" s="643"/>
      <c r="AN441" s="611"/>
      <c r="AO441" s="611"/>
      <c r="AP44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41" s="565">
        <f>WWWW[[#This Row],[%Equitable and continuous access to sufficient quantity of safe drinking water]]*WWWW[[#This Row],[Total PoP ]]</f>
        <v>854</v>
      </c>
      <c r="AR44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41" s="565">
        <f>WWWW[[#This Row],[% Access to unimproved water points]]*WWWW[[#This Row],[Total PoP ]]</f>
        <v>854</v>
      </c>
      <c r="AT44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854</v>
      </c>
      <c r="AV441" s="565">
        <f>WWWW[[#This Row],[HRP1]]/250</f>
        <v>3.4159999999999999</v>
      </c>
      <c r="AW441" s="555">
        <f>1-WWWW[[#This Row],[% Equitable and continuous access to sufficient quantity of domestic water]]</f>
        <v>0</v>
      </c>
      <c r="AX441" s="565">
        <f>WWWW[[#This Row],[%equitable and continuous access to sufficient quantity of safe drinking and domestic water''s GAP]]*WWWW[[#This Row],[Total PoP ]]</f>
        <v>0</v>
      </c>
      <c r="AY441" s="557">
        <f>IF(WWWW[[#This Row],[Total required water points]]-WWWW[[#This Row],['#Water points coverage]]&lt;0,0,WWWW[[#This Row],[Total required water points]]-WWWW[[#This Row],['#Water points coverage]])</f>
        <v>0</v>
      </c>
      <c r="AZ441" s="557">
        <f>ROUND(IF(WWWW[[#This Row],[Total PoP ]]&lt;250,1,WWWW[[#This Row],[Total PoP ]]/250),0)</f>
        <v>3</v>
      </c>
      <c r="BA44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0.74941451990632324</v>
      </c>
      <c r="BB441" s="565">
        <f>WWWW[[#This Row],[% people access to functioning Latrine]]*WWWW[[#This Row],[Total PoP ]]</f>
        <v>640</v>
      </c>
      <c r="BC441" s="557">
        <f>WWWW[[#This Row],['#_of_Functioning_latrines_in_school]]*50</f>
        <v>100</v>
      </c>
      <c r="BD441" s="557">
        <f>ROUND((WWWW[[#This Row],[Total PoP ]]/6),0)</f>
        <v>142</v>
      </c>
      <c r="BE441" s="557">
        <f>IF(WWWW[[#This Row],[Total required Latrines]]-(WWWW[[#This Row],['#_of_sanitary_fly-proof_HH_latrines]])&lt;0,0,WWWW[[#This Row],[Total required Latrines]]-(WWWW[[#This Row],['#_of_sanitary_fly-proof_HH_latrines]]))</f>
        <v>52</v>
      </c>
      <c r="BF441" s="558">
        <f>1-WWWW[[#This Row],[% people access to functioning Latrine]]</f>
        <v>0.25058548009367676</v>
      </c>
      <c r="BG44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1" s="565" t="e">
        <f>IF(WWWW[[#This Row],['#_of_functional_handwashing_facilities_at_HH_level]]*6&gt;WWWW[[#This Row],[Total PoP ]],WWWW[[#This Row],[Total PoP ]],WWWW[[#This Row],['#_of_functional_handwashing_facilities_at_HH_level]]*6)</f>
        <v>#VALUE!</v>
      </c>
      <c r="BI441" s="557">
        <f>IF(WWWW[[#This Row],['# people reached by regular dedicated hygiene promotion]]&gt;WWWW[[#This Row],['# People received regular supply of hygiene items]],WWWW[[#This Row],['# people reached by regular dedicated hygiene promotion]],WWWW[[#This Row],['# People received regular supply of hygiene items]])</f>
        <v>0</v>
      </c>
      <c r="BJ441" s="555">
        <f>IF(WWWW[[#This Row],[HRP3]]/WWWW[[#This Row],[Total PoP ]]&gt;100%,100%,WWWW[[#This Row],[HRP3]]/WWWW[[#This Row],[Total PoP ]])</f>
        <v>0</v>
      </c>
      <c r="BK441" s="558">
        <f>1-WWWW[[#This Row],[Hygiene Coverage%]]</f>
        <v>1</v>
      </c>
      <c r="BL441" s="556">
        <f>WWWW[[#This Row],['# people reached by regular dedicated hygiene promotion]]/WWWW[[#This Row],[Total PoP ]]</f>
        <v>0</v>
      </c>
      <c r="BM44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1" s="557">
        <f>WWWW[[#This Row],['#_of_affected_women_and_girls_receiving_a_sufficient_quantity_of_sanitary_pads]]</f>
        <v>0</v>
      </c>
      <c r="BO441" s="611">
        <f>IF(WWWW[[#This Row],['# People with access to soap]]&gt;WWWW[[#This Row],['# People with access to Sanity Pads]],WWWW[[#This Row],['# People with access to soap]],WWWW[[#This Row],['# People with access to Sanity Pads]])</f>
        <v>0</v>
      </c>
      <c r="BP441" s="565" t="str">
        <f>IF(OR(WWWW[[#This Row],['#of students in school]]="",WWWW[[#This Row],['#of students in school]]=0),"No","Yes")</f>
        <v>Yes</v>
      </c>
      <c r="BQ441" s="559" t="str">
        <f>VLOOKUP(WWWW[[#This Row],[Village  Name]],SiteDB6[[Site Name]:[Location Type 1]],9,FALSE)</f>
        <v>Village</v>
      </c>
      <c r="BR441" s="559" t="str">
        <f>VLOOKUP(WWWW[[#This Row],[Village  Name]],SiteDB6[[Site Name]:[Type of Accommodation]],10,FALSE)</f>
        <v>Village</v>
      </c>
      <c r="BS441" s="559" t="str">
        <f>VLOOKUP(WWWW[[#This Row],[Village  Name]],SiteDB6[[Site Name]:[Ethnic or GCA/NGCA]],11,FALSE)</f>
        <v>Rakhine</v>
      </c>
      <c r="BT441" s="559">
        <f>VLOOKUP(WWWW[[#This Row],[Village  Name]],SiteDB6[[Site Name]:[Lat]],12,FALSE)</f>
        <v>20.756410599999999</v>
      </c>
      <c r="BU441" s="559">
        <f>VLOOKUP(WWWW[[#This Row],[Village  Name]],SiteDB6[[Site Name]:[Long]],13,FALSE)</f>
        <v>92.63580322</v>
      </c>
      <c r="BV441" s="559">
        <f>VLOOKUP(WWWW[[#This Row],[Village  Name]],SiteDB6[[Site Name]:[Pcode]],3,FALSE)</f>
        <v>198413</v>
      </c>
      <c r="BW441" s="559" t="str">
        <f t="shared" si="16"/>
        <v>Covered</v>
      </c>
      <c r="BX441" s="587"/>
    </row>
    <row r="442" spans="1:76">
      <c r="A442" s="612" t="s">
        <v>2381</v>
      </c>
      <c r="B442" s="612" t="s">
        <v>2864</v>
      </c>
      <c r="C442" s="457" t="s">
        <v>371</v>
      </c>
      <c r="D442" s="457" t="s">
        <v>3050</v>
      </c>
      <c r="E442" s="457" t="s">
        <v>2686</v>
      </c>
      <c r="F442" s="457" t="s">
        <v>307</v>
      </c>
      <c r="G442" s="551" t="str">
        <f>VLOOKUP(WWWW[[#This Row],[Village  Name]],SiteDB6[[Site Name]:[Location Type]],8,FALSE)</f>
        <v>Village</v>
      </c>
      <c r="H442" s="457" t="s">
        <v>2076</v>
      </c>
      <c r="I442" s="611">
        <v>24</v>
      </c>
      <c r="J442" s="611">
        <v>93</v>
      </c>
      <c r="K442" s="461">
        <v>43221</v>
      </c>
      <c r="L442" s="55">
        <v>43677</v>
      </c>
      <c r="M442" s="611">
        <v>28</v>
      </c>
      <c r="N442" s="611"/>
      <c r="O442" s="611">
        <v>0</v>
      </c>
      <c r="P442" s="611"/>
      <c r="Q442" s="611">
        <v>1</v>
      </c>
      <c r="R442" s="611"/>
      <c r="S442" s="611"/>
      <c r="T442" s="643"/>
      <c r="U442" s="611">
        <v>15</v>
      </c>
      <c r="V442" s="611" t="s">
        <v>128</v>
      </c>
      <c r="W442" s="611"/>
      <c r="X442" s="611"/>
      <c r="Y442" s="611"/>
      <c r="Z442" s="611"/>
      <c r="AA442" s="611"/>
      <c r="AB442" s="643"/>
      <c r="AC442" s="611"/>
      <c r="AD442" s="611"/>
      <c r="AE442" s="611"/>
      <c r="AF442" s="611"/>
      <c r="AG442" s="611"/>
      <c r="AH442" s="611"/>
      <c r="AI442" s="611" t="s">
        <v>3051</v>
      </c>
      <c r="AJ442" s="611" t="s">
        <v>3051</v>
      </c>
      <c r="AK442" s="611"/>
      <c r="AL442" s="611"/>
      <c r="AM442" s="643"/>
      <c r="AN442" s="611"/>
      <c r="AO442" s="611"/>
      <c r="AP44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42" s="565">
        <f>WWWW[[#This Row],[%Equitable and continuous access to sufficient quantity of safe drinking water]]*WWWW[[#This Row],[Total PoP ]]</f>
        <v>0</v>
      </c>
      <c r="AR44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42" s="565">
        <f>WWWW[[#This Row],[% Access to unimproved water points]]*WWWW[[#This Row],[Total PoP ]]</f>
        <v>93</v>
      </c>
      <c r="AT44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AV442" s="565">
        <f>WWWW[[#This Row],[HRP1]]/250</f>
        <v>0.372</v>
      </c>
      <c r="AW442" s="555">
        <f>1-WWWW[[#This Row],[% Equitable and continuous access to sufficient quantity of domestic water]]</f>
        <v>0</v>
      </c>
      <c r="AX442" s="565">
        <f>WWWW[[#This Row],[%equitable and continuous access to sufficient quantity of safe drinking and domestic water''s GAP]]*WWWW[[#This Row],[Total PoP ]]</f>
        <v>0</v>
      </c>
      <c r="AY442" s="557">
        <f>IF(WWWW[[#This Row],[Total required water points]]-WWWW[[#This Row],['#Water points coverage]]&lt;0,0,WWWW[[#This Row],[Total required water points]]-WWWW[[#This Row],['#Water points coverage]])</f>
        <v>0.628</v>
      </c>
      <c r="AZ442" s="557">
        <f>ROUND(IF(WWWW[[#This Row],[Total PoP ]]&lt;250,1,WWWW[[#This Row],[Total PoP ]]/250),0)</f>
        <v>1</v>
      </c>
      <c r="BA44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0.967741935483871</v>
      </c>
      <c r="BB442" s="565">
        <f>WWWW[[#This Row],[% people access to functioning Latrine]]*WWWW[[#This Row],[Total PoP ]]</f>
        <v>90</v>
      </c>
      <c r="BC442" s="557">
        <f>WWWW[[#This Row],['#_of_Functioning_latrines_in_school]]*50</f>
        <v>0</v>
      </c>
      <c r="BD442" s="557">
        <f>ROUND((WWWW[[#This Row],[Total PoP ]]/6),0)</f>
        <v>16</v>
      </c>
      <c r="BE442" s="557">
        <f>IF(WWWW[[#This Row],[Total required Latrines]]-(WWWW[[#This Row],['#_of_sanitary_fly-proof_HH_latrines]])&lt;0,0,WWWW[[#This Row],[Total required Latrines]]-(WWWW[[#This Row],['#_of_sanitary_fly-proof_HH_latrines]]))</f>
        <v>1</v>
      </c>
      <c r="BF442" s="558">
        <f>1-WWWW[[#This Row],[% people access to functioning Latrine]]</f>
        <v>3.2258064516129004E-2</v>
      </c>
      <c r="BG44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2" s="565" t="e">
        <f>IF(WWWW[[#This Row],['#_of_functional_handwashing_facilities_at_HH_level]]*6&gt;WWWW[[#This Row],[Total PoP ]],WWWW[[#This Row],[Total PoP ]],WWWW[[#This Row],['#_of_functional_handwashing_facilities_at_HH_level]]*6)</f>
        <v>#VALUE!</v>
      </c>
      <c r="BI442" s="557">
        <f>IF(WWWW[[#This Row],['# people reached by regular dedicated hygiene promotion]]&gt;WWWW[[#This Row],['# People received regular supply of hygiene items]],WWWW[[#This Row],['# people reached by regular dedicated hygiene promotion]],WWWW[[#This Row],['# People received regular supply of hygiene items]])</f>
        <v>0</v>
      </c>
      <c r="BJ442" s="555">
        <f>IF(WWWW[[#This Row],[HRP3]]/WWWW[[#This Row],[Total PoP ]]&gt;100%,100%,WWWW[[#This Row],[HRP3]]/WWWW[[#This Row],[Total PoP ]])</f>
        <v>0</v>
      </c>
      <c r="BK442" s="558">
        <f>1-WWWW[[#This Row],[Hygiene Coverage%]]</f>
        <v>1</v>
      </c>
      <c r="BL442" s="556">
        <f>WWWW[[#This Row],['# people reached by regular dedicated hygiene promotion]]/WWWW[[#This Row],[Total PoP ]]</f>
        <v>0</v>
      </c>
      <c r="BM44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2" s="557">
        <f>WWWW[[#This Row],['#_of_affected_women_and_girls_receiving_a_sufficient_quantity_of_sanitary_pads]]</f>
        <v>0</v>
      </c>
      <c r="BO442" s="611">
        <f>IF(WWWW[[#This Row],['# People with access to soap]]&gt;WWWW[[#This Row],['# People with access to Sanity Pads]],WWWW[[#This Row],['# People with access to soap]],WWWW[[#This Row],['# People with access to Sanity Pads]])</f>
        <v>0</v>
      </c>
      <c r="BP442" s="565" t="str">
        <f>IF(OR(WWWW[[#This Row],['#of students in school]]="",WWWW[[#This Row],['#of students in school]]=0),"No","Yes")</f>
        <v>Yes</v>
      </c>
      <c r="BQ442" s="559" t="str">
        <f>VLOOKUP(WWWW[[#This Row],[Village  Name]],SiteDB6[[Site Name]:[Location Type 1]],9,FALSE)</f>
        <v>Village</v>
      </c>
      <c r="BR442" s="559" t="str">
        <f>VLOOKUP(WWWW[[#This Row],[Village  Name]],SiteDB6[[Site Name]:[Type of Accommodation]],10,FALSE)</f>
        <v>Village</v>
      </c>
      <c r="BS442" s="559" t="str">
        <f>VLOOKUP(WWWW[[#This Row],[Village  Name]],SiteDB6[[Site Name]:[Ethnic or GCA/NGCA]],11,FALSE)</f>
        <v>Rakhine</v>
      </c>
      <c r="BT442" s="559">
        <f>VLOOKUP(WWWW[[#This Row],[Village  Name]],SiteDB6[[Site Name]:[Lat]],12,FALSE)</f>
        <v>21.004550930000001</v>
      </c>
      <c r="BU442" s="559">
        <f>VLOOKUP(WWWW[[#This Row],[Village  Name]],SiteDB6[[Site Name]:[Long]],13,FALSE)</f>
        <v>92.294601439999994</v>
      </c>
      <c r="BV442" s="559">
        <f>VLOOKUP(WWWW[[#This Row],[Village  Name]],SiteDB6[[Site Name]:[Pcode]],3,FALSE)</f>
        <v>197897</v>
      </c>
      <c r="BW442" s="559" t="str">
        <f t="shared" si="16"/>
        <v>Covered</v>
      </c>
      <c r="BX442" s="587"/>
    </row>
    <row r="443" spans="1:76">
      <c r="A443" s="612" t="s">
        <v>2381</v>
      </c>
      <c r="B443" s="612" t="s">
        <v>2864</v>
      </c>
      <c r="C443" s="457" t="s">
        <v>371</v>
      </c>
      <c r="D443" s="457" t="s">
        <v>3050</v>
      </c>
      <c r="E443" s="457" t="s">
        <v>2686</v>
      </c>
      <c r="F443" s="457" t="s">
        <v>321</v>
      </c>
      <c r="G443" s="551" t="str">
        <f>VLOOKUP(WWWW[[#This Row],[Village  Name]],SiteDB6[[Site Name]:[Location Type]],8,FALSE)</f>
        <v>Village</v>
      </c>
      <c r="H443" s="457" t="s">
        <v>586</v>
      </c>
      <c r="I443" s="611">
        <v>55</v>
      </c>
      <c r="J443" s="611">
        <v>233</v>
      </c>
      <c r="K443" s="461">
        <v>43221</v>
      </c>
      <c r="L443" s="55">
        <v>43677</v>
      </c>
      <c r="M443" s="611">
        <v>30</v>
      </c>
      <c r="N443" s="611">
        <v>150</v>
      </c>
      <c r="O443" s="611">
        <v>0</v>
      </c>
      <c r="P443" s="611">
        <v>2</v>
      </c>
      <c r="Q443" s="611">
        <v>1</v>
      </c>
      <c r="R443" s="611"/>
      <c r="S443" s="611"/>
      <c r="T443" s="643"/>
      <c r="U443" s="611">
        <v>50</v>
      </c>
      <c r="V443" s="611" t="s">
        <v>128</v>
      </c>
      <c r="W443" s="611"/>
      <c r="X443" s="611"/>
      <c r="Y443" s="611"/>
      <c r="Z443" s="611"/>
      <c r="AA443" s="611"/>
      <c r="AB443" s="643"/>
      <c r="AC443" s="611"/>
      <c r="AD443" s="611"/>
      <c r="AE443" s="611"/>
      <c r="AF443" s="611"/>
      <c r="AG443" s="611"/>
      <c r="AH443" s="611"/>
      <c r="AI443" s="611" t="s">
        <v>3051</v>
      </c>
      <c r="AJ443" s="611" t="s">
        <v>3051</v>
      </c>
      <c r="AK443" s="611"/>
      <c r="AL443" s="611"/>
      <c r="AM443" s="643"/>
      <c r="AN443" s="611"/>
      <c r="AO443" s="611"/>
      <c r="AP44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43" s="565">
        <f>WWWW[[#This Row],[%Equitable and continuous access to sufficient quantity of safe drinking water]]*WWWW[[#This Row],[Total PoP ]]</f>
        <v>233</v>
      </c>
      <c r="AR44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43" s="565">
        <f>WWWW[[#This Row],[% Access to unimproved water points]]*WWWW[[#This Row],[Total PoP ]]</f>
        <v>233</v>
      </c>
      <c r="AT44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233</v>
      </c>
      <c r="AV443" s="565">
        <f>WWWW[[#This Row],[HRP1]]/250</f>
        <v>0.93200000000000005</v>
      </c>
      <c r="AW443" s="555">
        <f>1-WWWW[[#This Row],[% Equitable and continuous access to sufficient quantity of domestic water]]</f>
        <v>0</v>
      </c>
      <c r="AX443" s="565">
        <f>WWWW[[#This Row],[%equitable and continuous access to sufficient quantity of safe drinking and domestic water''s GAP]]*WWWW[[#This Row],[Total PoP ]]</f>
        <v>0</v>
      </c>
      <c r="AY443" s="557">
        <f>IF(WWWW[[#This Row],[Total required water points]]-WWWW[[#This Row],['#Water points coverage]]&lt;0,0,WWWW[[#This Row],[Total required water points]]-WWWW[[#This Row],['#Water points coverage]])</f>
        <v>6.7999999999999949E-2</v>
      </c>
      <c r="AZ443" s="557">
        <f>ROUND(IF(WWWW[[#This Row],[Total PoP ]]&lt;250,1,WWWW[[#This Row],[Total PoP ]]/250),0)</f>
        <v>1</v>
      </c>
      <c r="BA44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43" s="565">
        <f>WWWW[[#This Row],[% people access to functioning Latrine]]*WWWW[[#This Row],[Total PoP ]]</f>
        <v>233</v>
      </c>
      <c r="BC443" s="557">
        <f>WWWW[[#This Row],['#_of_Functioning_latrines_in_school]]*50</f>
        <v>0</v>
      </c>
      <c r="BD443" s="557">
        <f>ROUND((WWWW[[#This Row],[Total PoP ]]/6),0)</f>
        <v>39</v>
      </c>
      <c r="BE443" s="557">
        <f>IF(WWWW[[#This Row],[Total required Latrines]]-(WWWW[[#This Row],['#_of_sanitary_fly-proof_HH_latrines]])&lt;0,0,WWWW[[#This Row],[Total required Latrines]]-(WWWW[[#This Row],['#_of_sanitary_fly-proof_HH_latrines]]))</f>
        <v>0</v>
      </c>
      <c r="BF443" s="558">
        <f>1-WWWW[[#This Row],[% people access to functioning Latrine]]</f>
        <v>0</v>
      </c>
      <c r="BG44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3" s="565" t="e">
        <f>IF(WWWW[[#This Row],['#_of_functional_handwashing_facilities_at_HH_level]]*6&gt;WWWW[[#This Row],[Total PoP ]],WWWW[[#This Row],[Total PoP ]],WWWW[[#This Row],['#_of_functional_handwashing_facilities_at_HH_level]]*6)</f>
        <v>#VALUE!</v>
      </c>
      <c r="BI443" s="557">
        <f>IF(WWWW[[#This Row],['# people reached by regular dedicated hygiene promotion]]&gt;WWWW[[#This Row],['# People received regular supply of hygiene items]],WWWW[[#This Row],['# people reached by regular dedicated hygiene promotion]],WWWW[[#This Row],['# People received regular supply of hygiene items]])</f>
        <v>0</v>
      </c>
      <c r="BJ443" s="555">
        <f>IF(WWWW[[#This Row],[HRP3]]/WWWW[[#This Row],[Total PoP ]]&gt;100%,100%,WWWW[[#This Row],[HRP3]]/WWWW[[#This Row],[Total PoP ]])</f>
        <v>0</v>
      </c>
      <c r="BK443" s="558">
        <f>1-WWWW[[#This Row],[Hygiene Coverage%]]</f>
        <v>1</v>
      </c>
      <c r="BL443" s="556">
        <f>WWWW[[#This Row],['# people reached by regular dedicated hygiene promotion]]/WWWW[[#This Row],[Total PoP ]]</f>
        <v>0</v>
      </c>
      <c r="BM44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3" s="557">
        <f>WWWW[[#This Row],['#_of_affected_women_and_girls_receiving_a_sufficient_quantity_of_sanitary_pads]]</f>
        <v>0</v>
      </c>
      <c r="BO443" s="611">
        <f>IF(WWWW[[#This Row],['# People with access to soap]]&gt;WWWW[[#This Row],['# People with access to Sanity Pads]],WWWW[[#This Row],['# People with access to soap]],WWWW[[#This Row],['# People with access to Sanity Pads]])</f>
        <v>0</v>
      </c>
      <c r="BP443" s="565" t="str">
        <f>IF(OR(WWWW[[#This Row],['#of students in school]]="",WWWW[[#This Row],['#of students in school]]=0),"No","Yes")</f>
        <v>Yes</v>
      </c>
      <c r="BQ443" s="559" t="str">
        <f>VLOOKUP(WWWW[[#This Row],[Village  Name]],SiteDB6[[Site Name]:[Location Type 1]],9,FALSE)</f>
        <v>Village</v>
      </c>
      <c r="BR443" s="559" t="str">
        <f>VLOOKUP(WWWW[[#This Row],[Village  Name]],SiteDB6[[Site Name]:[Type of Accommodation]],10,FALSE)</f>
        <v>Village</v>
      </c>
      <c r="BS443" s="559" t="str">
        <f>VLOOKUP(WWWW[[#This Row],[Village  Name]],SiteDB6[[Site Name]:[Ethnic or GCA/NGCA]],11,FALSE)</f>
        <v>Rakhine</v>
      </c>
      <c r="BT443" s="559">
        <f>VLOOKUP(WWWW[[#This Row],[Village  Name]],SiteDB6[[Site Name]:[Lat]],12,FALSE)</f>
        <v>20.76407051</v>
      </c>
      <c r="BU443" s="559">
        <f>VLOOKUP(WWWW[[#This Row],[Village  Name]],SiteDB6[[Site Name]:[Long]],13,FALSE)</f>
        <v>92.631126399999999</v>
      </c>
      <c r="BV443" s="559">
        <f>VLOOKUP(WWWW[[#This Row],[Village  Name]],SiteDB6[[Site Name]:[Pcode]],3,FALSE)</f>
        <v>198408</v>
      </c>
      <c r="BW443" s="559" t="str">
        <f t="shared" si="16"/>
        <v>Covered</v>
      </c>
      <c r="BX443" s="587"/>
    </row>
    <row r="444" spans="1:76">
      <c r="A444" s="612" t="s">
        <v>2381</v>
      </c>
      <c r="B444" s="612" t="s">
        <v>2864</v>
      </c>
      <c r="C444" s="457" t="s">
        <v>371</v>
      </c>
      <c r="D444" s="457" t="s">
        <v>3050</v>
      </c>
      <c r="E444" s="457" t="s">
        <v>2686</v>
      </c>
      <c r="F444" s="457" t="s">
        <v>307</v>
      </c>
      <c r="G444" s="551" t="str">
        <f>VLOOKUP(WWWW[[#This Row],[Village  Name]],SiteDB6[[Site Name]:[Location Type]],8,FALSE)</f>
        <v>Village</v>
      </c>
      <c r="H444" s="457" t="s">
        <v>2862</v>
      </c>
      <c r="I444" s="611">
        <v>54</v>
      </c>
      <c r="J444" s="611">
        <v>249</v>
      </c>
      <c r="K444" s="461">
        <v>43221</v>
      </c>
      <c r="L444" s="55">
        <v>43677</v>
      </c>
      <c r="M444" s="611">
        <v>80</v>
      </c>
      <c r="N444" s="611"/>
      <c r="O444" s="611">
        <v>2</v>
      </c>
      <c r="P444" s="611">
        <v>4</v>
      </c>
      <c r="Q444" s="611">
        <v>2</v>
      </c>
      <c r="R444" s="611"/>
      <c r="S444" s="611">
        <v>1</v>
      </c>
      <c r="T444" s="643"/>
      <c r="U444" s="611">
        <v>40</v>
      </c>
      <c r="V444" s="611" t="s">
        <v>41</v>
      </c>
      <c r="W444" s="611">
        <v>2</v>
      </c>
      <c r="X444" s="611"/>
      <c r="Y444" s="611"/>
      <c r="Z444" s="611"/>
      <c r="AA444" s="611"/>
      <c r="AB444" s="643"/>
      <c r="AC444" s="611"/>
      <c r="AD444" s="611"/>
      <c r="AE444" s="611"/>
      <c r="AF444" s="611"/>
      <c r="AG444" s="611"/>
      <c r="AH444" s="611"/>
      <c r="AI444" s="611" t="s">
        <v>3051</v>
      </c>
      <c r="AJ444" s="611">
        <v>1</v>
      </c>
      <c r="AK444" s="611"/>
      <c r="AL444" s="611"/>
      <c r="AM444" s="643"/>
      <c r="AN444" s="611"/>
      <c r="AO444" s="611"/>
      <c r="AP44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44" s="565">
        <f>WWWW[[#This Row],[%Equitable and continuous access to sufficient quantity of safe drinking water]]*WWWW[[#This Row],[Total PoP ]]</f>
        <v>249</v>
      </c>
      <c r="AR44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44" s="565">
        <f>WWWW[[#This Row],[% Access to unimproved water points]]*WWWW[[#This Row],[Total PoP ]]</f>
        <v>249</v>
      </c>
      <c r="AT44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V444" s="565">
        <f>WWWW[[#This Row],[HRP1]]/250</f>
        <v>0.996</v>
      </c>
      <c r="AW444" s="555">
        <f>1-WWWW[[#This Row],[% Equitable and continuous access to sufficient quantity of domestic water]]</f>
        <v>0</v>
      </c>
      <c r="AX444" s="565">
        <f>WWWW[[#This Row],[%equitable and continuous access to sufficient quantity of safe drinking and domestic water''s GAP]]*WWWW[[#This Row],[Total PoP ]]</f>
        <v>0</v>
      </c>
      <c r="AY444" s="557">
        <f>IF(WWWW[[#This Row],[Total required water points]]-WWWW[[#This Row],['#Water points coverage]]&lt;0,0,WWWW[[#This Row],[Total required water points]]-WWWW[[#This Row],['#Water points coverage]])</f>
        <v>4.0000000000000036E-3</v>
      </c>
      <c r="AZ444" s="557">
        <f>ROUND(IF(WWWW[[#This Row],[Total PoP ]]&lt;250,1,WWWW[[#This Row],[Total PoP ]]/250),0)</f>
        <v>1</v>
      </c>
      <c r="BA44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44" s="565">
        <f>WWWW[[#This Row],[% people access to functioning Latrine]]*WWWW[[#This Row],[Total PoP ]]</f>
        <v>249</v>
      </c>
      <c r="BC444" s="557">
        <f>WWWW[[#This Row],['#_of_Functioning_latrines_in_school]]*50</f>
        <v>100</v>
      </c>
      <c r="BD444" s="557">
        <f>ROUND((WWWW[[#This Row],[Total PoP ]]/6),0)</f>
        <v>42</v>
      </c>
      <c r="BE444" s="557">
        <f>IF(WWWW[[#This Row],[Total required Latrines]]-(WWWW[[#This Row],['#_of_sanitary_fly-proof_HH_latrines]])&lt;0,0,WWWW[[#This Row],[Total required Latrines]]-(WWWW[[#This Row],['#_of_sanitary_fly-proof_HH_latrines]]))</f>
        <v>2</v>
      </c>
      <c r="BF444" s="558">
        <f>1-WWWW[[#This Row],[% people access to functioning Latrine]]</f>
        <v>0</v>
      </c>
      <c r="BG44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4" s="565" t="e">
        <f>IF(WWWW[[#This Row],['#_of_functional_handwashing_facilities_at_HH_level]]*6&gt;WWWW[[#This Row],[Total PoP ]],WWWW[[#This Row],[Total PoP ]],WWWW[[#This Row],['#_of_functional_handwashing_facilities_at_HH_level]]*6)</f>
        <v>#VALUE!</v>
      </c>
      <c r="BI444" s="557">
        <f>IF(WWWW[[#This Row],['# people reached by regular dedicated hygiene promotion]]&gt;WWWW[[#This Row],['# People received regular supply of hygiene items]],WWWW[[#This Row],['# people reached by regular dedicated hygiene promotion]],WWWW[[#This Row],['# People received regular supply of hygiene items]])</f>
        <v>0</v>
      </c>
      <c r="BJ444" s="555">
        <f>IF(WWWW[[#This Row],[HRP3]]/WWWW[[#This Row],[Total PoP ]]&gt;100%,100%,WWWW[[#This Row],[HRP3]]/WWWW[[#This Row],[Total PoP ]])</f>
        <v>0</v>
      </c>
      <c r="BK444" s="558">
        <f>1-WWWW[[#This Row],[Hygiene Coverage%]]</f>
        <v>1</v>
      </c>
      <c r="BL444" s="556">
        <f>WWWW[[#This Row],['# people reached by regular dedicated hygiene promotion]]/WWWW[[#This Row],[Total PoP ]]</f>
        <v>0</v>
      </c>
      <c r="BM44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4" s="557">
        <f>WWWW[[#This Row],['#_of_affected_women_and_girls_receiving_a_sufficient_quantity_of_sanitary_pads]]</f>
        <v>0</v>
      </c>
      <c r="BO444" s="611">
        <f>IF(WWWW[[#This Row],['# People with access to soap]]&gt;WWWW[[#This Row],['# People with access to Sanity Pads]],WWWW[[#This Row],['# People with access to soap]],WWWW[[#This Row],['# People with access to Sanity Pads]])</f>
        <v>0</v>
      </c>
      <c r="BP444" s="565" t="str">
        <f>IF(OR(WWWW[[#This Row],['#of students in school]]="",WWWW[[#This Row],['#of students in school]]=0),"No","Yes")</f>
        <v>Yes</v>
      </c>
      <c r="BQ444" s="559" t="str">
        <f>VLOOKUP(WWWW[[#This Row],[Village  Name]],SiteDB6[[Site Name]:[Location Type 1]],9,FALSE)</f>
        <v>Village</v>
      </c>
      <c r="BR444" s="559" t="str">
        <f>VLOOKUP(WWWW[[#This Row],[Village  Name]],SiteDB6[[Site Name]:[Type of Accommodation]],10,FALSE)</f>
        <v>Village</v>
      </c>
      <c r="BS444" s="559">
        <f>VLOOKUP(WWWW[[#This Row],[Village  Name]],SiteDB6[[Site Name]:[Ethnic or GCA/NGCA]],11,FALSE)</f>
        <v>0</v>
      </c>
      <c r="BT444" s="559">
        <f>VLOOKUP(WWWW[[#This Row],[Village  Name]],SiteDB6[[Site Name]:[Lat]],12,FALSE)</f>
        <v>0</v>
      </c>
      <c r="BU444" s="559">
        <f>VLOOKUP(WWWW[[#This Row],[Village  Name]],SiteDB6[[Site Name]:[Long]],13,FALSE)</f>
        <v>0</v>
      </c>
      <c r="BV444" s="559">
        <f>VLOOKUP(WWWW[[#This Row],[Village  Name]],SiteDB6[[Site Name]:[Pcode]],3,FALSE)</f>
        <v>0</v>
      </c>
      <c r="BW444" s="559" t="str">
        <f t="shared" si="16"/>
        <v>Covered</v>
      </c>
      <c r="BX444" s="587"/>
    </row>
    <row r="445" spans="1:76">
      <c r="A445" s="612" t="s">
        <v>2381</v>
      </c>
      <c r="B445" s="612" t="s">
        <v>2864</v>
      </c>
      <c r="C445" s="457" t="s">
        <v>371</v>
      </c>
      <c r="D445" s="457" t="s">
        <v>3050</v>
      </c>
      <c r="E445" s="457" t="s">
        <v>2686</v>
      </c>
      <c r="F445" s="457" t="s">
        <v>307</v>
      </c>
      <c r="G445" s="551" t="str">
        <f>VLOOKUP(WWWW[[#This Row],[Village  Name]],SiteDB6[[Site Name]:[Location Type]],8,FALSE)</f>
        <v>Village</v>
      </c>
      <c r="H445" s="457" t="s">
        <v>2863</v>
      </c>
      <c r="I445" s="611">
        <v>62</v>
      </c>
      <c r="J445" s="611">
        <v>332</v>
      </c>
      <c r="K445" s="461">
        <v>43221</v>
      </c>
      <c r="L445" s="55">
        <v>43677</v>
      </c>
      <c r="M445" s="611">
        <v>5</v>
      </c>
      <c r="N445" s="611"/>
      <c r="O445" s="611">
        <v>0</v>
      </c>
      <c r="P445" s="611">
        <v>2</v>
      </c>
      <c r="Q445" s="611">
        <v>1</v>
      </c>
      <c r="R445" s="611"/>
      <c r="S445" s="611"/>
      <c r="T445" s="643"/>
      <c r="U445" s="611">
        <v>15</v>
      </c>
      <c r="V445" s="611" t="s">
        <v>128</v>
      </c>
      <c r="W445" s="611"/>
      <c r="X445" s="611"/>
      <c r="Y445" s="611"/>
      <c r="Z445" s="611"/>
      <c r="AA445" s="611"/>
      <c r="AB445" s="643"/>
      <c r="AC445" s="611"/>
      <c r="AD445" s="611"/>
      <c r="AE445" s="611"/>
      <c r="AF445" s="611"/>
      <c r="AG445" s="611"/>
      <c r="AH445" s="611"/>
      <c r="AI445" s="611" t="s">
        <v>3051</v>
      </c>
      <c r="AJ445" s="611" t="s">
        <v>3051</v>
      </c>
      <c r="AK445" s="611"/>
      <c r="AL445" s="611"/>
      <c r="AM445" s="643"/>
      <c r="AN445" s="611"/>
      <c r="AO445" s="611"/>
      <c r="AP44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45" s="565">
        <f>WWWW[[#This Row],[%Equitable and continuous access to sufficient quantity of safe drinking water]]*WWWW[[#This Row],[Total PoP ]]</f>
        <v>332</v>
      </c>
      <c r="AR44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45" s="565">
        <f>WWWW[[#This Row],[% Access to unimproved water points]]*WWWW[[#This Row],[Total PoP ]]</f>
        <v>332</v>
      </c>
      <c r="AT44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332</v>
      </c>
      <c r="AV445" s="565">
        <f>WWWW[[#This Row],[HRP1]]/250</f>
        <v>1.3280000000000001</v>
      </c>
      <c r="AW445" s="555">
        <f>1-WWWW[[#This Row],[% Equitable and continuous access to sufficient quantity of domestic water]]</f>
        <v>0</v>
      </c>
      <c r="AX445" s="565">
        <f>WWWW[[#This Row],[%equitable and continuous access to sufficient quantity of safe drinking and domestic water''s GAP]]*WWWW[[#This Row],[Total PoP ]]</f>
        <v>0</v>
      </c>
      <c r="AY445" s="557">
        <f>IF(WWWW[[#This Row],[Total required water points]]-WWWW[[#This Row],['#Water points coverage]]&lt;0,0,WWWW[[#This Row],[Total required water points]]-WWWW[[#This Row],['#Water points coverage]])</f>
        <v>0</v>
      </c>
      <c r="AZ445" s="557">
        <f>ROUND(IF(WWWW[[#This Row],[Total PoP ]]&lt;250,1,WWWW[[#This Row],[Total PoP ]]/250),0)</f>
        <v>1</v>
      </c>
      <c r="BA44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0.27108433734939757</v>
      </c>
      <c r="BB445" s="565">
        <f>WWWW[[#This Row],[% people access to functioning Latrine]]*WWWW[[#This Row],[Total PoP ]]</f>
        <v>90</v>
      </c>
      <c r="BC445" s="557">
        <f>WWWW[[#This Row],['#_of_Functioning_latrines_in_school]]*50</f>
        <v>0</v>
      </c>
      <c r="BD445" s="557">
        <f>ROUND((WWWW[[#This Row],[Total PoP ]]/6),0)</f>
        <v>55</v>
      </c>
      <c r="BE445" s="557">
        <f>IF(WWWW[[#This Row],[Total required Latrines]]-(WWWW[[#This Row],['#_of_sanitary_fly-proof_HH_latrines]])&lt;0,0,WWWW[[#This Row],[Total required Latrines]]-(WWWW[[#This Row],['#_of_sanitary_fly-proof_HH_latrines]]))</f>
        <v>40</v>
      </c>
      <c r="BF445" s="558">
        <f>1-WWWW[[#This Row],[% people access to functioning Latrine]]</f>
        <v>0.72891566265060237</v>
      </c>
      <c r="BG44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5" s="565" t="e">
        <f>IF(WWWW[[#This Row],['#_of_functional_handwashing_facilities_at_HH_level]]*6&gt;WWWW[[#This Row],[Total PoP ]],WWWW[[#This Row],[Total PoP ]],WWWW[[#This Row],['#_of_functional_handwashing_facilities_at_HH_level]]*6)</f>
        <v>#VALUE!</v>
      </c>
      <c r="BI445" s="557">
        <f>IF(WWWW[[#This Row],['# people reached by regular dedicated hygiene promotion]]&gt;WWWW[[#This Row],['# People received regular supply of hygiene items]],WWWW[[#This Row],['# people reached by regular dedicated hygiene promotion]],WWWW[[#This Row],['# People received regular supply of hygiene items]])</f>
        <v>0</v>
      </c>
      <c r="BJ445" s="555">
        <f>IF(WWWW[[#This Row],[HRP3]]/WWWW[[#This Row],[Total PoP ]]&gt;100%,100%,WWWW[[#This Row],[HRP3]]/WWWW[[#This Row],[Total PoP ]])</f>
        <v>0</v>
      </c>
      <c r="BK445" s="558">
        <f>1-WWWW[[#This Row],[Hygiene Coverage%]]</f>
        <v>1</v>
      </c>
      <c r="BL445" s="556">
        <f>WWWW[[#This Row],['# people reached by regular dedicated hygiene promotion]]/WWWW[[#This Row],[Total PoP ]]</f>
        <v>0</v>
      </c>
      <c r="BM44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5" s="557">
        <f>WWWW[[#This Row],['#_of_affected_women_and_girls_receiving_a_sufficient_quantity_of_sanitary_pads]]</f>
        <v>0</v>
      </c>
      <c r="BO445" s="611">
        <f>IF(WWWW[[#This Row],['# People with access to soap]]&gt;WWWW[[#This Row],['# People with access to Sanity Pads]],WWWW[[#This Row],['# People with access to soap]],WWWW[[#This Row],['# People with access to Sanity Pads]])</f>
        <v>0</v>
      </c>
      <c r="BP445" s="565" t="str">
        <f>IF(OR(WWWW[[#This Row],['#of students in school]]="",WWWW[[#This Row],['#of students in school]]=0),"No","Yes")</f>
        <v>Yes</v>
      </c>
      <c r="BQ445" s="559" t="str">
        <f>VLOOKUP(WWWW[[#This Row],[Village  Name]],SiteDB6[[Site Name]:[Location Type 1]],9,FALSE)</f>
        <v>Village</v>
      </c>
      <c r="BR445" s="559" t="str">
        <f>VLOOKUP(WWWW[[#This Row],[Village  Name]],SiteDB6[[Site Name]:[Type of Accommodation]],10,FALSE)</f>
        <v>Village</v>
      </c>
      <c r="BS445" s="559" t="str">
        <f>VLOOKUP(WWWW[[#This Row],[Village  Name]],SiteDB6[[Site Name]:[Ethnic or GCA/NGCA]],11,FALSE)</f>
        <v>Muslim</v>
      </c>
      <c r="BT445" s="559">
        <f>VLOOKUP(WWWW[[#This Row],[Village  Name]],SiteDB6[[Site Name]:[Lat]],12,FALSE)</f>
        <v>20.7818698883057</v>
      </c>
      <c r="BU445" s="559">
        <f>VLOOKUP(WWWW[[#This Row],[Village  Name]],SiteDB6[[Site Name]:[Long]],13,FALSE)</f>
        <v>92.393142700195298</v>
      </c>
      <c r="BV445" s="559">
        <f>VLOOKUP(WWWW[[#This Row],[Village  Name]],SiteDB6[[Site Name]:[Pcode]],3,FALSE)</f>
        <v>198002</v>
      </c>
      <c r="BW445" s="559" t="str">
        <f t="shared" si="16"/>
        <v>Covered</v>
      </c>
      <c r="BX445" s="587"/>
    </row>
    <row r="446" spans="1:76">
      <c r="A446" s="612" t="s">
        <v>2381</v>
      </c>
      <c r="B446" s="612" t="s">
        <v>2864</v>
      </c>
      <c r="C446" s="457" t="s">
        <v>371</v>
      </c>
      <c r="D446" s="457" t="s">
        <v>3050</v>
      </c>
      <c r="E446" s="457" t="s">
        <v>2686</v>
      </c>
      <c r="F446" s="457" t="s">
        <v>321</v>
      </c>
      <c r="G446" s="551" t="str">
        <f>VLOOKUP(WWWW[[#This Row],[Village  Name]],SiteDB6[[Site Name]:[Location Type]],8,FALSE)</f>
        <v>Village</v>
      </c>
      <c r="H446" s="457" t="s">
        <v>2860</v>
      </c>
      <c r="I446" s="611">
        <v>260</v>
      </c>
      <c r="J446" s="611">
        <v>2652</v>
      </c>
      <c r="K446" s="461">
        <v>43221</v>
      </c>
      <c r="L446" s="55">
        <v>43677</v>
      </c>
      <c r="M446" s="611">
        <v>462</v>
      </c>
      <c r="N446" s="611">
        <v>90</v>
      </c>
      <c r="O446" s="611">
        <v>0</v>
      </c>
      <c r="P446" s="611">
        <v>7</v>
      </c>
      <c r="Q446" s="611">
        <v>5</v>
      </c>
      <c r="R446" s="611">
        <v>1</v>
      </c>
      <c r="S446" s="611">
        <v>1</v>
      </c>
      <c r="T446" s="643"/>
      <c r="U446" s="611">
        <v>60</v>
      </c>
      <c r="V446" s="611" t="s">
        <v>128</v>
      </c>
      <c r="W446" s="611"/>
      <c r="X446" s="611"/>
      <c r="Y446" s="611"/>
      <c r="Z446" s="611"/>
      <c r="AA446" s="611"/>
      <c r="AB446" s="643"/>
      <c r="AC446" s="611"/>
      <c r="AD446" s="611"/>
      <c r="AE446" s="611"/>
      <c r="AF446" s="611"/>
      <c r="AG446" s="611"/>
      <c r="AH446" s="611"/>
      <c r="AI446" s="611" t="s">
        <v>3051</v>
      </c>
      <c r="AJ446" s="611" t="s">
        <v>3051</v>
      </c>
      <c r="AK446" s="611"/>
      <c r="AL446" s="611"/>
      <c r="AM446" s="643"/>
      <c r="AN446" s="611"/>
      <c r="AO446" s="611"/>
      <c r="AP44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46" s="565">
        <f>WWWW[[#This Row],[%Equitable and continuous access to sufficient quantity of safe drinking water]]*WWWW[[#This Row],[Total PoP ]]</f>
        <v>2652</v>
      </c>
      <c r="AR44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46" s="565">
        <f>WWWW[[#This Row],[% Access to unimproved water points]]*WWWW[[#This Row],[Total PoP ]]</f>
        <v>2652</v>
      </c>
      <c r="AT44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2652</v>
      </c>
      <c r="AV446" s="565">
        <f>WWWW[[#This Row],[HRP1]]/250</f>
        <v>10.608000000000001</v>
      </c>
      <c r="AW446" s="555">
        <f>1-WWWW[[#This Row],[% Equitable and continuous access to sufficient quantity of domestic water]]</f>
        <v>0</v>
      </c>
      <c r="AX446" s="565">
        <f>WWWW[[#This Row],[%equitable and continuous access to sufficient quantity of safe drinking and domestic water''s GAP]]*WWWW[[#This Row],[Total PoP ]]</f>
        <v>0</v>
      </c>
      <c r="AY446" s="557">
        <f>IF(WWWW[[#This Row],[Total required water points]]-WWWW[[#This Row],['#Water points coverage]]&lt;0,0,WWWW[[#This Row],[Total required water points]]-WWWW[[#This Row],['#Water points coverage]])</f>
        <v>0.39199999999999946</v>
      </c>
      <c r="AZ446" s="557">
        <f>ROUND(IF(WWWW[[#This Row],[Total PoP ]]&lt;250,1,WWWW[[#This Row],[Total PoP ]]/250),0)</f>
        <v>11</v>
      </c>
      <c r="BA44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0.13574660633484162</v>
      </c>
      <c r="BB446" s="565">
        <f>WWWW[[#This Row],[% people access to functioning Latrine]]*WWWW[[#This Row],[Total PoP ]]</f>
        <v>360</v>
      </c>
      <c r="BC446" s="557">
        <f>WWWW[[#This Row],['#_of_Functioning_latrines_in_school]]*50</f>
        <v>0</v>
      </c>
      <c r="BD446" s="557">
        <f>ROUND((WWWW[[#This Row],[Total PoP ]]/6),0)</f>
        <v>442</v>
      </c>
      <c r="BE446" s="557">
        <f>IF(WWWW[[#This Row],[Total required Latrines]]-(WWWW[[#This Row],['#_of_sanitary_fly-proof_HH_latrines]])&lt;0,0,WWWW[[#This Row],[Total required Latrines]]-(WWWW[[#This Row],['#_of_sanitary_fly-proof_HH_latrines]]))</f>
        <v>382</v>
      </c>
      <c r="BF446" s="558">
        <f>1-WWWW[[#This Row],[% people access to functioning Latrine]]</f>
        <v>0.86425339366515841</v>
      </c>
      <c r="BG44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6" s="565" t="e">
        <f>IF(WWWW[[#This Row],['#_of_functional_handwashing_facilities_at_HH_level]]*6&gt;WWWW[[#This Row],[Total PoP ]],WWWW[[#This Row],[Total PoP ]],WWWW[[#This Row],['#_of_functional_handwashing_facilities_at_HH_level]]*6)</f>
        <v>#VALUE!</v>
      </c>
      <c r="BI446" s="557">
        <f>IF(WWWW[[#This Row],['# people reached by regular dedicated hygiene promotion]]&gt;WWWW[[#This Row],['# People received regular supply of hygiene items]],WWWW[[#This Row],['# people reached by regular dedicated hygiene promotion]],WWWW[[#This Row],['# People received regular supply of hygiene items]])</f>
        <v>0</v>
      </c>
      <c r="BJ446" s="555">
        <f>IF(WWWW[[#This Row],[HRP3]]/WWWW[[#This Row],[Total PoP ]]&gt;100%,100%,WWWW[[#This Row],[HRP3]]/WWWW[[#This Row],[Total PoP ]])</f>
        <v>0</v>
      </c>
      <c r="BK446" s="558">
        <f>1-WWWW[[#This Row],[Hygiene Coverage%]]</f>
        <v>1</v>
      </c>
      <c r="BL446" s="556">
        <f>WWWW[[#This Row],['# people reached by regular dedicated hygiene promotion]]/WWWW[[#This Row],[Total PoP ]]</f>
        <v>0</v>
      </c>
      <c r="BM44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6" s="557">
        <f>WWWW[[#This Row],['#_of_affected_women_and_girls_receiving_a_sufficient_quantity_of_sanitary_pads]]</f>
        <v>0</v>
      </c>
      <c r="BO446" s="611">
        <f>IF(WWWW[[#This Row],['# People with access to soap]]&gt;WWWW[[#This Row],['# People with access to Sanity Pads]],WWWW[[#This Row],['# People with access to soap]],WWWW[[#This Row],['# People with access to Sanity Pads]])</f>
        <v>0</v>
      </c>
      <c r="BP446" s="565" t="str">
        <f>IF(OR(WWWW[[#This Row],['#of students in school]]="",WWWW[[#This Row],['#of students in school]]=0),"No","Yes")</f>
        <v>Yes</v>
      </c>
      <c r="BQ446" s="559" t="str">
        <f>VLOOKUP(WWWW[[#This Row],[Village  Name]],SiteDB6[[Site Name]:[Location Type 1]],9,FALSE)</f>
        <v>Village</v>
      </c>
      <c r="BR446" s="559" t="str">
        <f>VLOOKUP(WWWW[[#This Row],[Village  Name]],SiteDB6[[Site Name]:[Type of Accommodation]],10,FALSE)</f>
        <v>Village</v>
      </c>
      <c r="BS446" s="559" t="str">
        <f>VLOOKUP(WWWW[[#This Row],[Village  Name]],SiteDB6[[Site Name]:[Ethnic or GCA/NGCA]],11,FALSE)</f>
        <v>Muslim</v>
      </c>
      <c r="BT446" s="559">
        <f>VLOOKUP(WWWW[[#This Row],[Village  Name]],SiteDB6[[Site Name]:[Lat]],12,FALSE)</f>
        <v>20.775840759277301</v>
      </c>
      <c r="BU446" s="559">
        <f>VLOOKUP(WWWW[[#This Row],[Village  Name]],SiteDB6[[Site Name]:[Long]],13,FALSE)</f>
        <v>92.613082885742202</v>
      </c>
      <c r="BV446" s="559">
        <f>VLOOKUP(WWWW[[#This Row],[Village  Name]],SiteDB6[[Site Name]:[Pcode]],3,FALSE)</f>
        <v>198407</v>
      </c>
      <c r="BW446" s="559" t="str">
        <f t="shared" si="16"/>
        <v>Covered</v>
      </c>
      <c r="BX446" s="587"/>
    </row>
    <row r="447" spans="1:76">
      <c r="A447" s="612" t="s">
        <v>2381</v>
      </c>
      <c r="B447" s="612" t="s">
        <v>2864</v>
      </c>
      <c r="C447" s="457" t="s">
        <v>371</v>
      </c>
      <c r="D447" s="457" t="s">
        <v>3050</v>
      </c>
      <c r="E447" s="457" t="s">
        <v>2686</v>
      </c>
      <c r="F447" s="457" t="s">
        <v>307</v>
      </c>
      <c r="G447" s="551" t="str">
        <f>VLOOKUP(WWWW[[#This Row],[Village  Name]],SiteDB6[[Site Name]:[Location Type]],8,FALSE)</f>
        <v>Village</v>
      </c>
      <c r="H447" s="457" t="s">
        <v>2054</v>
      </c>
      <c r="I447" s="611">
        <v>150</v>
      </c>
      <c r="J447" s="611">
        <v>626</v>
      </c>
      <c r="K447" s="461">
        <v>43221</v>
      </c>
      <c r="L447" s="55">
        <v>43677</v>
      </c>
      <c r="M447" s="611">
        <v>100</v>
      </c>
      <c r="N447" s="611"/>
      <c r="O447" s="611">
        <v>0</v>
      </c>
      <c r="P447" s="611">
        <v>6</v>
      </c>
      <c r="Q447" s="611"/>
      <c r="R447" s="611"/>
      <c r="S447" s="611"/>
      <c r="T447" s="643"/>
      <c r="U447" s="611">
        <v>82</v>
      </c>
      <c r="V447" s="611" t="s">
        <v>128</v>
      </c>
      <c r="W447" s="611"/>
      <c r="X447" s="611"/>
      <c r="Y447" s="611"/>
      <c r="Z447" s="611"/>
      <c r="AA447" s="611"/>
      <c r="AB447" s="643"/>
      <c r="AC447" s="611"/>
      <c r="AD447" s="611"/>
      <c r="AE447" s="611"/>
      <c r="AF447" s="611"/>
      <c r="AG447" s="611"/>
      <c r="AH447" s="611"/>
      <c r="AI447" s="611" t="s">
        <v>3051</v>
      </c>
      <c r="AJ447" s="611">
        <v>1</v>
      </c>
      <c r="AK447" s="611"/>
      <c r="AL447" s="611"/>
      <c r="AM447" s="643"/>
      <c r="AN447" s="611"/>
      <c r="AO447" s="611"/>
      <c r="AP44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47" s="565">
        <f>WWWW[[#This Row],[%Equitable and continuous access to sufficient quantity of safe drinking water]]*WWWW[[#This Row],[Total PoP ]]</f>
        <v>626</v>
      </c>
      <c r="AR44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47" s="565">
        <f>WWWW[[#This Row],[% Access to unimproved water points]]*WWWW[[#This Row],[Total PoP ]]</f>
        <v>0</v>
      </c>
      <c r="AT44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626</v>
      </c>
      <c r="AV447" s="565">
        <f>WWWW[[#This Row],[HRP1]]/250</f>
        <v>2.504</v>
      </c>
      <c r="AW447" s="555">
        <f>1-WWWW[[#This Row],[% Equitable and continuous access to sufficient quantity of domestic water]]</f>
        <v>0</v>
      </c>
      <c r="AX447" s="565">
        <f>WWWW[[#This Row],[%equitable and continuous access to sufficient quantity of safe drinking and domestic water''s GAP]]*WWWW[[#This Row],[Total PoP ]]</f>
        <v>0</v>
      </c>
      <c r="AY447" s="557">
        <f>IF(WWWW[[#This Row],[Total required water points]]-WWWW[[#This Row],['#Water points coverage]]&lt;0,0,WWWW[[#This Row],[Total required water points]]-WWWW[[#This Row],['#Water points coverage]])</f>
        <v>0.496</v>
      </c>
      <c r="AZ447" s="557">
        <f>ROUND(IF(WWWW[[#This Row],[Total PoP ]]&lt;250,1,WWWW[[#This Row],[Total PoP ]]/250),0)</f>
        <v>3</v>
      </c>
      <c r="BA44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0.78594249201277955</v>
      </c>
      <c r="BB447" s="565">
        <f>WWWW[[#This Row],[% people access to functioning Latrine]]*WWWW[[#This Row],[Total PoP ]]</f>
        <v>492</v>
      </c>
      <c r="BC447" s="557">
        <f>WWWW[[#This Row],['#_of_Functioning_latrines_in_school]]*50</f>
        <v>0</v>
      </c>
      <c r="BD447" s="557">
        <f>ROUND((WWWW[[#This Row],[Total PoP ]]/6),0)</f>
        <v>104</v>
      </c>
      <c r="BE447" s="557">
        <f>IF(WWWW[[#This Row],[Total required Latrines]]-(WWWW[[#This Row],['#_of_sanitary_fly-proof_HH_latrines]])&lt;0,0,WWWW[[#This Row],[Total required Latrines]]-(WWWW[[#This Row],['#_of_sanitary_fly-proof_HH_latrines]]))</f>
        <v>22</v>
      </c>
      <c r="BF447" s="558">
        <f>1-WWWW[[#This Row],[% people access to functioning Latrine]]</f>
        <v>0.21405750798722045</v>
      </c>
      <c r="BG44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7" s="565" t="e">
        <f>IF(WWWW[[#This Row],['#_of_functional_handwashing_facilities_at_HH_level]]*6&gt;WWWW[[#This Row],[Total PoP ]],WWWW[[#This Row],[Total PoP ]],WWWW[[#This Row],['#_of_functional_handwashing_facilities_at_HH_level]]*6)</f>
        <v>#VALUE!</v>
      </c>
      <c r="BI447" s="557">
        <f>IF(WWWW[[#This Row],['# people reached by regular dedicated hygiene promotion]]&gt;WWWW[[#This Row],['# People received regular supply of hygiene items]],WWWW[[#This Row],['# people reached by regular dedicated hygiene promotion]],WWWW[[#This Row],['# People received regular supply of hygiene items]])</f>
        <v>0</v>
      </c>
      <c r="BJ447" s="555">
        <f>IF(WWWW[[#This Row],[HRP3]]/WWWW[[#This Row],[Total PoP ]]&gt;100%,100%,WWWW[[#This Row],[HRP3]]/WWWW[[#This Row],[Total PoP ]])</f>
        <v>0</v>
      </c>
      <c r="BK447" s="558">
        <f>1-WWWW[[#This Row],[Hygiene Coverage%]]</f>
        <v>1</v>
      </c>
      <c r="BL447" s="556">
        <f>WWWW[[#This Row],['# people reached by regular dedicated hygiene promotion]]/WWWW[[#This Row],[Total PoP ]]</f>
        <v>0</v>
      </c>
      <c r="BM44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7" s="557">
        <f>WWWW[[#This Row],['#_of_affected_women_and_girls_receiving_a_sufficient_quantity_of_sanitary_pads]]</f>
        <v>0</v>
      </c>
      <c r="BO447" s="611">
        <f>IF(WWWW[[#This Row],['# People with access to soap]]&gt;WWWW[[#This Row],['# People with access to Sanity Pads]],WWWW[[#This Row],['# People with access to soap]],WWWW[[#This Row],['# People with access to Sanity Pads]])</f>
        <v>0</v>
      </c>
      <c r="BP447" s="565" t="str">
        <f>IF(OR(WWWW[[#This Row],['#of students in school]]="",WWWW[[#This Row],['#of students in school]]=0),"No","Yes")</f>
        <v>Yes</v>
      </c>
      <c r="BQ447" s="559" t="str">
        <f>VLOOKUP(WWWW[[#This Row],[Village  Name]],SiteDB6[[Site Name]:[Location Type 1]],9,FALSE)</f>
        <v>Village</v>
      </c>
      <c r="BR447" s="559" t="str">
        <f>VLOOKUP(WWWW[[#This Row],[Village  Name]],SiteDB6[[Site Name]:[Type of Accommodation]],10,FALSE)</f>
        <v>Village</v>
      </c>
      <c r="BS447" s="559" t="str">
        <f>VLOOKUP(WWWW[[#This Row],[Village  Name]],SiteDB6[[Site Name]:[Ethnic or GCA/NGCA]],11,FALSE)</f>
        <v>Muslim</v>
      </c>
      <c r="BT447" s="559">
        <f>VLOOKUP(WWWW[[#This Row],[Village  Name]],SiteDB6[[Site Name]:[Lat]],12,FALSE)</f>
        <v>20.900329589999998</v>
      </c>
      <c r="BU447" s="559">
        <f>VLOOKUP(WWWW[[#This Row],[Village  Name]],SiteDB6[[Site Name]:[Long]],13,FALSE)</f>
        <v>92.362213130000001</v>
      </c>
      <c r="BV447" s="559">
        <f>VLOOKUP(WWWW[[#This Row],[Village  Name]],SiteDB6[[Site Name]:[Pcode]],3,FALSE)</f>
        <v>197957</v>
      </c>
      <c r="BW447" s="559" t="str">
        <f t="shared" si="16"/>
        <v>Covered</v>
      </c>
      <c r="BX447" s="587"/>
    </row>
    <row r="448" spans="1:76">
      <c r="A448" s="612" t="s">
        <v>2381</v>
      </c>
      <c r="B448" s="612" t="s">
        <v>2864</v>
      </c>
      <c r="C448" s="457" t="s">
        <v>371</v>
      </c>
      <c r="D448" s="457" t="s">
        <v>3050</v>
      </c>
      <c r="E448" s="457" t="s">
        <v>2686</v>
      </c>
      <c r="F448" s="457" t="s">
        <v>321</v>
      </c>
      <c r="G448" s="551" t="str">
        <f>VLOOKUP(WWWW[[#This Row],[Village  Name]],SiteDB6[[Site Name]:[Location Type]],8,FALSE)</f>
        <v>village</v>
      </c>
      <c r="H448" s="457" t="s">
        <v>2714</v>
      </c>
      <c r="I448" s="611">
        <v>192</v>
      </c>
      <c r="J448" s="611">
        <v>1690</v>
      </c>
      <c r="K448" s="461">
        <v>43221</v>
      </c>
      <c r="L448" s="55">
        <v>43677</v>
      </c>
      <c r="M448" s="611">
        <v>190</v>
      </c>
      <c r="N448" s="611">
        <v>30</v>
      </c>
      <c r="O448" s="611">
        <v>0</v>
      </c>
      <c r="P448" s="611"/>
      <c r="Q448" s="611">
        <v>2</v>
      </c>
      <c r="R448" s="611"/>
      <c r="S448" s="611"/>
      <c r="T448" s="643"/>
      <c r="U448" s="611">
        <v>94</v>
      </c>
      <c r="V448" s="611" t="s">
        <v>128</v>
      </c>
      <c r="W448" s="611"/>
      <c r="X448" s="611"/>
      <c r="Y448" s="611"/>
      <c r="Z448" s="611"/>
      <c r="AA448" s="611"/>
      <c r="AB448" s="643"/>
      <c r="AC448" s="611"/>
      <c r="AD448" s="611"/>
      <c r="AE448" s="611"/>
      <c r="AF448" s="611"/>
      <c r="AG448" s="611"/>
      <c r="AH448" s="611"/>
      <c r="AI448" s="611" t="s">
        <v>3051</v>
      </c>
      <c r="AJ448" s="611" t="s">
        <v>3051</v>
      </c>
      <c r="AK448" s="611"/>
      <c r="AL448" s="611"/>
      <c r="AM448" s="643"/>
      <c r="AN448" s="611"/>
      <c r="AO448" s="611"/>
      <c r="AP44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48" s="565">
        <f>WWWW[[#This Row],[%Equitable and continuous access to sufficient quantity of safe drinking water]]*WWWW[[#This Row],[Total PoP ]]</f>
        <v>0</v>
      </c>
      <c r="AR44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48" s="565">
        <f>WWWW[[#This Row],[% Access to unimproved water points]]*WWWW[[#This Row],[Total PoP ]]</f>
        <v>1690</v>
      </c>
      <c r="AT44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v>
      </c>
      <c r="AV448" s="565">
        <f>WWWW[[#This Row],[HRP1]]/250</f>
        <v>6.76</v>
      </c>
      <c r="AW448" s="555">
        <f>1-WWWW[[#This Row],[% Equitable and continuous access to sufficient quantity of domestic water]]</f>
        <v>0</v>
      </c>
      <c r="AX448" s="565">
        <f>WWWW[[#This Row],[%equitable and continuous access to sufficient quantity of safe drinking and domestic water''s GAP]]*WWWW[[#This Row],[Total PoP ]]</f>
        <v>0</v>
      </c>
      <c r="AY448" s="557">
        <f>IF(WWWW[[#This Row],[Total required water points]]-WWWW[[#This Row],['#Water points coverage]]&lt;0,0,WWWW[[#This Row],[Total required water points]]-WWWW[[#This Row],['#Water points coverage]])</f>
        <v>0.24000000000000021</v>
      </c>
      <c r="AZ448" s="557">
        <f>ROUND(IF(WWWW[[#This Row],[Total PoP ]]&lt;250,1,WWWW[[#This Row],[Total PoP ]]/250),0)</f>
        <v>7</v>
      </c>
      <c r="BA44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0.33372781065088758</v>
      </c>
      <c r="BB448" s="565">
        <f>WWWW[[#This Row],[% people access to functioning Latrine]]*WWWW[[#This Row],[Total PoP ]]</f>
        <v>564</v>
      </c>
      <c r="BC448" s="557">
        <f>WWWW[[#This Row],['#_of_Functioning_latrines_in_school]]*50</f>
        <v>0</v>
      </c>
      <c r="BD448" s="557">
        <f>ROUND((WWWW[[#This Row],[Total PoP ]]/6),0)</f>
        <v>282</v>
      </c>
      <c r="BE448" s="557">
        <f>IF(WWWW[[#This Row],[Total required Latrines]]-(WWWW[[#This Row],['#_of_sanitary_fly-proof_HH_latrines]])&lt;0,0,WWWW[[#This Row],[Total required Latrines]]-(WWWW[[#This Row],['#_of_sanitary_fly-proof_HH_latrines]]))</f>
        <v>188</v>
      </c>
      <c r="BF448" s="558">
        <f>1-WWWW[[#This Row],[% people access to functioning Latrine]]</f>
        <v>0.66627218934911236</v>
      </c>
      <c r="BG44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8" s="565" t="e">
        <f>IF(WWWW[[#This Row],['#_of_functional_handwashing_facilities_at_HH_level]]*6&gt;WWWW[[#This Row],[Total PoP ]],WWWW[[#This Row],[Total PoP ]],WWWW[[#This Row],['#_of_functional_handwashing_facilities_at_HH_level]]*6)</f>
        <v>#VALUE!</v>
      </c>
      <c r="BI448" s="557">
        <f>IF(WWWW[[#This Row],['# people reached by regular dedicated hygiene promotion]]&gt;WWWW[[#This Row],['# People received regular supply of hygiene items]],WWWW[[#This Row],['# people reached by regular dedicated hygiene promotion]],WWWW[[#This Row],['# People received regular supply of hygiene items]])</f>
        <v>0</v>
      </c>
      <c r="BJ448" s="555">
        <f>IF(WWWW[[#This Row],[HRP3]]/WWWW[[#This Row],[Total PoP ]]&gt;100%,100%,WWWW[[#This Row],[HRP3]]/WWWW[[#This Row],[Total PoP ]])</f>
        <v>0</v>
      </c>
      <c r="BK448" s="558">
        <f>1-WWWW[[#This Row],[Hygiene Coverage%]]</f>
        <v>1</v>
      </c>
      <c r="BL448" s="556">
        <f>WWWW[[#This Row],['# people reached by regular dedicated hygiene promotion]]/WWWW[[#This Row],[Total PoP ]]</f>
        <v>0</v>
      </c>
      <c r="BM44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8" s="557">
        <f>WWWW[[#This Row],['#_of_affected_women_and_girls_receiving_a_sufficient_quantity_of_sanitary_pads]]</f>
        <v>0</v>
      </c>
      <c r="BO448" s="611">
        <f>IF(WWWW[[#This Row],['# People with access to soap]]&gt;WWWW[[#This Row],['# People with access to Sanity Pads]],WWWW[[#This Row],['# People with access to soap]],WWWW[[#This Row],['# People with access to Sanity Pads]])</f>
        <v>0</v>
      </c>
      <c r="BP448" s="565" t="str">
        <f>IF(OR(WWWW[[#This Row],['#of students in school]]="",WWWW[[#This Row],['#of students in school]]=0),"No","Yes")</f>
        <v>Yes</v>
      </c>
      <c r="BQ448" s="559" t="str">
        <f>VLOOKUP(WWWW[[#This Row],[Village  Name]],SiteDB6[[Site Name]:[Location Type 1]],9,FALSE)</f>
        <v>village</v>
      </c>
      <c r="BR448" s="559" t="str">
        <f>VLOOKUP(WWWW[[#This Row],[Village  Name]],SiteDB6[[Site Name]:[Type of Accommodation]],10,FALSE)</f>
        <v>village</v>
      </c>
      <c r="BS448" s="559" t="str">
        <f>VLOOKUP(WWWW[[#This Row],[Village  Name]],SiteDB6[[Site Name]:[Ethnic or GCA/NGCA]],11,FALSE)</f>
        <v>Muslim</v>
      </c>
      <c r="BT448" s="559">
        <f>VLOOKUP(WWWW[[#This Row],[Village  Name]],SiteDB6[[Site Name]:[Lat]],12,FALSE)</f>
        <v>20.741249079999999</v>
      </c>
      <c r="BU448" s="559">
        <f>VLOOKUP(WWWW[[#This Row],[Village  Name]],SiteDB6[[Site Name]:[Long]],13,FALSE)</f>
        <v>92.610519409999995</v>
      </c>
      <c r="BV448" s="559">
        <f>VLOOKUP(WWWW[[#This Row],[Village  Name]],SiteDB6[[Site Name]:[Pcode]],3,FALSE)</f>
        <v>198398</v>
      </c>
      <c r="BW448" s="559" t="str">
        <f t="shared" si="16"/>
        <v>Covered</v>
      </c>
      <c r="BX448" s="587"/>
    </row>
    <row r="449" spans="1:76">
      <c r="A449" s="612" t="s">
        <v>2381</v>
      </c>
      <c r="B449" s="612" t="s">
        <v>2864</v>
      </c>
      <c r="C449" s="457" t="s">
        <v>371</v>
      </c>
      <c r="D449" s="457" t="s">
        <v>3050</v>
      </c>
      <c r="E449" s="457" t="s">
        <v>2686</v>
      </c>
      <c r="F449" s="457" t="s">
        <v>321</v>
      </c>
      <c r="G449" s="551" t="str">
        <f>VLOOKUP(WWWW[[#This Row],[Village  Name]],SiteDB6[[Site Name]:[Location Type]],8,FALSE)</f>
        <v>Village</v>
      </c>
      <c r="H449" s="457" t="s">
        <v>578</v>
      </c>
      <c r="I449" s="611">
        <v>80</v>
      </c>
      <c r="J449" s="611">
        <v>300</v>
      </c>
      <c r="K449" s="461">
        <v>43221</v>
      </c>
      <c r="L449" s="55">
        <v>43677</v>
      </c>
      <c r="M449" s="611">
        <v>40</v>
      </c>
      <c r="N449" s="611">
        <v>30</v>
      </c>
      <c r="O449" s="611">
        <v>0</v>
      </c>
      <c r="P449" s="611"/>
      <c r="Q449" s="611">
        <v>2</v>
      </c>
      <c r="R449" s="611"/>
      <c r="S449" s="611"/>
      <c r="T449" s="643"/>
      <c r="U449" s="611">
        <v>60</v>
      </c>
      <c r="V449" s="611" t="s">
        <v>128</v>
      </c>
      <c r="W449" s="611"/>
      <c r="X449" s="611"/>
      <c r="Y449" s="611"/>
      <c r="Z449" s="611"/>
      <c r="AA449" s="611"/>
      <c r="AB449" s="643"/>
      <c r="AC449" s="611"/>
      <c r="AD449" s="611"/>
      <c r="AE449" s="611"/>
      <c r="AF449" s="611"/>
      <c r="AG449" s="611"/>
      <c r="AH449" s="611"/>
      <c r="AI449" s="611" t="s">
        <v>3051</v>
      </c>
      <c r="AJ449" s="611" t="s">
        <v>3051</v>
      </c>
      <c r="AK449" s="611"/>
      <c r="AL449" s="611"/>
      <c r="AM449" s="643"/>
      <c r="AN449" s="611"/>
      <c r="AO449" s="611"/>
      <c r="AP44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49" s="565">
        <f>WWWW[[#This Row],[%Equitable and continuous access to sufficient quantity of safe drinking water]]*WWWW[[#This Row],[Total PoP ]]</f>
        <v>0</v>
      </c>
      <c r="AR44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49" s="565">
        <f>WWWW[[#This Row],[% Access to unimproved water points]]*WWWW[[#This Row],[Total PoP ]]</f>
        <v>300</v>
      </c>
      <c r="AT44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4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AV449" s="565">
        <f>WWWW[[#This Row],[HRP1]]/250</f>
        <v>1.2</v>
      </c>
      <c r="AW449" s="555">
        <f>1-WWWW[[#This Row],[% Equitable and continuous access to sufficient quantity of domestic water]]</f>
        <v>0</v>
      </c>
      <c r="AX449" s="565">
        <f>WWWW[[#This Row],[%equitable and continuous access to sufficient quantity of safe drinking and domestic water''s GAP]]*WWWW[[#This Row],[Total PoP ]]</f>
        <v>0</v>
      </c>
      <c r="AY449" s="557">
        <f>IF(WWWW[[#This Row],[Total required water points]]-WWWW[[#This Row],['#Water points coverage]]&lt;0,0,WWWW[[#This Row],[Total required water points]]-WWWW[[#This Row],['#Water points coverage]])</f>
        <v>0</v>
      </c>
      <c r="AZ449" s="557">
        <f>ROUND(IF(WWWW[[#This Row],[Total PoP ]]&lt;250,1,WWWW[[#This Row],[Total PoP ]]/250),0)</f>
        <v>1</v>
      </c>
      <c r="BA44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49" s="565">
        <f>WWWW[[#This Row],[% people access to functioning Latrine]]*WWWW[[#This Row],[Total PoP ]]</f>
        <v>300</v>
      </c>
      <c r="BC449" s="557">
        <f>WWWW[[#This Row],['#_of_Functioning_latrines_in_school]]*50</f>
        <v>0</v>
      </c>
      <c r="BD449" s="557">
        <f>ROUND((WWWW[[#This Row],[Total PoP ]]/6),0)</f>
        <v>50</v>
      </c>
      <c r="BE449" s="557">
        <f>IF(WWWW[[#This Row],[Total required Latrines]]-(WWWW[[#This Row],['#_of_sanitary_fly-proof_HH_latrines]])&lt;0,0,WWWW[[#This Row],[Total required Latrines]]-(WWWW[[#This Row],['#_of_sanitary_fly-proof_HH_latrines]]))</f>
        <v>0</v>
      </c>
      <c r="BF449" s="558">
        <f>1-WWWW[[#This Row],[% people access to functioning Latrine]]</f>
        <v>0</v>
      </c>
      <c r="BG44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49" s="565" t="e">
        <f>IF(WWWW[[#This Row],['#_of_functional_handwashing_facilities_at_HH_level]]*6&gt;WWWW[[#This Row],[Total PoP ]],WWWW[[#This Row],[Total PoP ]],WWWW[[#This Row],['#_of_functional_handwashing_facilities_at_HH_level]]*6)</f>
        <v>#VALUE!</v>
      </c>
      <c r="BI449" s="557">
        <f>IF(WWWW[[#This Row],['# people reached by regular dedicated hygiene promotion]]&gt;WWWW[[#This Row],['# People received regular supply of hygiene items]],WWWW[[#This Row],['# people reached by regular dedicated hygiene promotion]],WWWW[[#This Row],['# People received regular supply of hygiene items]])</f>
        <v>0</v>
      </c>
      <c r="BJ449" s="555">
        <f>IF(WWWW[[#This Row],[HRP3]]/WWWW[[#This Row],[Total PoP ]]&gt;100%,100%,WWWW[[#This Row],[HRP3]]/WWWW[[#This Row],[Total PoP ]])</f>
        <v>0</v>
      </c>
      <c r="BK449" s="558">
        <f>1-WWWW[[#This Row],[Hygiene Coverage%]]</f>
        <v>1</v>
      </c>
      <c r="BL449" s="556">
        <f>WWWW[[#This Row],['# people reached by regular dedicated hygiene promotion]]/WWWW[[#This Row],[Total PoP ]]</f>
        <v>0</v>
      </c>
      <c r="BM44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49" s="557">
        <f>WWWW[[#This Row],['#_of_affected_women_and_girls_receiving_a_sufficient_quantity_of_sanitary_pads]]</f>
        <v>0</v>
      </c>
      <c r="BO449" s="611">
        <f>IF(WWWW[[#This Row],['# People with access to soap]]&gt;WWWW[[#This Row],['# People with access to Sanity Pads]],WWWW[[#This Row],['# People with access to soap]],WWWW[[#This Row],['# People with access to Sanity Pads]])</f>
        <v>0</v>
      </c>
      <c r="BP449" s="565" t="str">
        <f>IF(OR(WWWW[[#This Row],['#of students in school]]="",WWWW[[#This Row],['#of students in school]]=0),"No","Yes")</f>
        <v>Yes</v>
      </c>
      <c r="BQ449" s="559" t="str">
        <f>VLOOKUP(WWWW[[#This Row],[Village  Name]],SiteDB6[[Site Name]:[Location Type 1]],9,FALSE)</f>
        <v>Village</v>
      </c>
      <c r="BR449" s="559" t="str">
        <f>VLOOKUP(WWWW[[#This Row],[Village  Name]],SiteDB6[[Site Name]:[Type of Accommodation]],10,FALSE)</f>
        <v>Village</v>
      </c>
      <c r="BS449" s="559" t="str">
        <f>VLOOKUP(WWWW[[#This Row],[Village  Name]],SiteDB6[[Site Name]:[Ethnic or GCA/NGCA]],11,FALSE)</f>
        <v>Rakhine</v>
      </c>
      <c r="BT449" s="559">
        <f>VLOOKUP(WWWW[[#This Row],[Village  Name]],SiteDB6[[Site Name]:[Lat]],12,FALSE)</f>
        <v>20.739839549999999</v>
      </c>
      <c r="BU449" s="559">
        <f>VLOOKUP(WWWW[[#This Row],[Village  Name]],SiteDB6[[Site Name]:[Long]],13,FALSE)</f>
        <v>92.613456729999996</v>
      </c>
      <c r="BV449" s="559">
        <f>VLOOKUP(WWWW[[#This Row],[Village  Name]],SiteDB6[[Site Name]:[Pcode]],3,FALSE)</f>
        <v>198399</v>
      </c>
      <c r="BW449" s="559" t="str">
        <f t="shared" si="16"/>
        <v>Covered</v>
      </c>
      <c r="BX449" s="587"/>
    </row>
    <row r="450" spans="1:76">
      <c r="A450" s="612" t="s">
        <v>2381</v>
      </c>
      <c r="B450" s="612" t="s">
        <v>2864</v>
      </c>
      <c r="C450" s="457" t="s">
        <v>371</v>
      </c>
      <c r="D450" s="457" t="s">
        <v>3050</v>
      </c>
      <c r="E450" s="457" t="s">
        <v>2686</v>
      </c>
      <c r="F450" s="457" t="s">
        <v>321</v>
      </c>
      <c r="G450" s="551" t="str">
        <f>VLOOKUP(WWWW[[#This Row],[Village  Name]],SiteDB6[[Site Name]:[Location Type]],8,FALSE)</f>
        <v>Village</v>
      </c>
      <c r="H450" s="457" t="s">
        <v>940</v>
      </c>
      <c r="I450" s="611">
        <v>20</v>
      </c>
      <c r="J450" s="611">
        <v>96</v>
      </c>
      <c r="K450" s="461">
        <v>43221</v>
      </c>
      <c r="L450" s="55">
        <v>43677</v>
      </c>
      <c r="M450" s="611">
        <v>30</v>
      </c>
      <c r="N450" s="611"/>
      <c r="O450" s="611">
        <v>0</v>
      </c>
      <c r="P450" s="611"/>
      <c r="Q450" s="611">
        <v>1</v>
      </c>
      <c r="R450" s="611"/>
      <c r="S450" s="611"/>
      <c r="T450" s="643"/>
      <c r="U450" s="611">
        <v>17</v>
      </c>
      <c r="V450" s="611" t="s">
        <v>128</v>
      </c>
      <c r="W450" s="611"/>
      <c r="X450" s="611"/>
      <c r="Y450" s="611"/>
      <c r="Z450" s="611"/>
      <c r="AA450" s="611"/>
      <c r="AB450" s="643"/>
      <c r="AC450" s="611"/>
      <c r="AD450" s="611"/>
      <c r="AE450" s="611"/>
      <c r="AF450" s="611"/>
      <c r="AG450" s="611"/>
      <c r="AH450" s="611"/>
      <c r="AI450" s="611" t="s">
        <v>3051</v>
      </c>
      <c r="AJ450" s="611" t="s">
        <v>3051</v>
      </c>
      <c r="AK450" s="611"/>
      <c r="AL450" s="611"/>
      <c r="AM450" s="643"/>
      <c r="AN450" s="611"/>
      <c r="AO450" s="611"/>
      <c r="AP45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50" s="565">
        <f>WWWW[[#This Row],[%Equitable and continuous access to sufficient quantity of safe drinking water]]*WWWW[[#This Row],[Total PoP ]]</f>
        <v>0</v>
      </c>
      <c r="AR45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50" s="565">
        <f>WWWW[[#This Row],[% Access to unimproved water points]]*WWWW[[#This Row],[Total PoP ]]</f>
        <v>96</v>
      </c>
      <c r="AT45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v>
      </c>
      <c r="AV450" s="565">
        <f>WWWW[[#This Row],[HRP1]]/250</f>
        <v>0.38400000000000001</v>
      </c>
      <c r="AW450" s="555">
        <f>1-WWWW[[#This Row],[% Equitable and continuous access to sufficient quantity of domestic water]]</f>
        <v>0</v>
      </c>
      <c r="AX450" s="565">
        <f>WWWW[[#This Row],[%equitable and continuous access to sufficient quantity of safe drinking and domestic water''s GAP]]*WWWW[[#This Row],[Total PoP ]]</f>
        <v>0</v>
      </c>
      <c r="AY450" s="557">
        <f>IF(WWWW[[#This Row],[Total required water points]]-WWWW[[#This Row],['#Water points coverage]]&lt;0,0,WWWW[[#This Row],[Total required water points]]-WWWW[[#This Row],['#Water points coverage]])</f>
        <v>0.61599999999999999</v>
      </c>
      <c r="AZ450" s="557">
        <f>ROUND(IF(WWWW[[#This Row],[Total PoP ]]&lt;250,1,WWWW[[#This Row],[Total PoP ]]/250),0)</f>
        <v>1</v>
      </c>
      <c r="BA45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50" s="565">
        <f>WWWW[[#This Row],[% people access to functioning Latrine]]*WWWW[[#This Row],[Total PoP ]]</f>
        <v>96</v>
      </c>
      <c r="BC450" s="557">
        <f>WWWW[[#This Row],['#_of_Functioning_latrines_in_school]]*50</f>
        <v>0</v>
      </c>
      <c r="BD450" s="557">
        <f>ROUND((WWWW[[#This Row],[Total PoP ]]/6),0)</f>
        <v>16</v>
      </c>
      <c r="BE450" s="557">
        <f>IF(WWWW[[#This Row],[Total required Latrines]]-(WWWW[[#This Row],['#_of_sanitary_fly-proof_HH_latrines]])&lt;0,0,WWWW[[#This Row],[Total required Latrines]]-(WWWW[[#This Row],['#_of_sanitary_fly-proof_HH_latrines]]))</f>
        <v>0</v>
      </c>
      <c r="BF450" s="558">
        <f>1-WWWW[[#This Row],[% people access to functioning Latrine]]</f>
        <v>0</v>
      </c>
      <c r="BG45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0" s="565" t="e">
        <f>IF(WWWW[[#This Row],['#_of_functional_handwashing_facilities_at_HH_level]]*6&gt;WWWW[[#This Row],[Total PoP ]],WWWW[[#This Row],[Total PoP ]],WWWW[[#This Row],['#_of_functional_handwashing_facilities_at_HH_level]]*6)</f>
        <v>#VALUE!</v>
      </c>
      <c r="BI450" s="557">
        <f>IF(WWWW[[#This Row],['# people reached by regular dedicated hygiene promotion]]&gt;WWWW[[#This Row],['# People received regular supply of hygiene items]],WWWW[[#This Row],['# people reached by regular dedicated hygiene promotion]],WWWW[[#This Row],['# People received regular supply of hygiene items]])</f>
        <v>0</v>
      </c>
      <c r="BJ450" s="555">
        <f>IF(WWWW[[#This Row],[HRP3]]/WWWW[[#This Row],[Total PoP ]]&gt;100%,100%,WWWW[[#This Row],[HRP3]]/WWWW[[#This Row],[Total PoP ]])</f>
        <v>0</v>
      </c>
      <c r="BK450" s="558">
        <f>1-WWWW[[#This Row],[Hygiene Coverage%]]</f>
        <v>1</v>
      </c>
      <c r="BL450" s="556">
        <f>WWWW[[#This Row],['# people reached by regular dedicated hygiene promotion]]/WWWW[[#This Row],[Total PoP ]]</f>
        <v>0</v>
      </c>
      <c r="BM45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0" s="557">
        <f>WWWW[[#This Row],['#_of_affected_women_and_girls_receiving_a_sufficient_quantity_of_sanitary_pads]]</f>
        <v>0</v>
      </c>
      <c r="BO450" s="611">
        <f>IF(WWWW[[#This Row],['# People with access to soap]]&gt;WWWW[[#This Row],['# People with access to Sanity Pads]],WWWW[[#This Row],['# People with access to soap]],WWWW[[#This Row],['# People with access to Sanity Pads]])</f>
        <v>0</v>
      </c>
      <c r="BP450" s="565" t="str">
        <f>IF(OR(WWWW[[#This Row],['#of students in school]]="",WWWW[[#This Row],['#of students in school]]=0),"No","Yes")</f>
        <v>Yes</v>
      </c>
      <c r="BQ450" s="559" t="str">
        <f>VLOOKUP(WWWW[[#This Row],[Village  Name]],SiteDB6[[Site Name]:[Location Type 1]],9,FALSE)</f>
        <v>Village</v>
      </c>
      <c r="BR450" s="559" t="str">
        <f>VLOOKUP(WWWW[[#This Row],[Village  Name]],SiteDB6[[Site Name]:[Type of Accommodation]],10,FALSE)</f>
        <v>Village</v>
      </c>
      <c r="BS450" s="559">
        <f>VLOOKUP(WWWW[[#This Row],[Village  Name]],SiteDB6[[Site Name]:[Ethnic or GCA/NGCA]],11,FALSE)</f>
        <v>0</v>
      </c>
      <c r="BT450" s="559">
        <f>VLOOKUP(WWWW[[#This Row],[Village  Name]],SiteDB6[[Site Name]:[Lat]],12,FALSE)</f>
        <v>0</v>
      </c>
      <c r="BU450" s="559">
        <f>VLOOKUP(WWWW[[#This Row],[Village  Name]],SiteDB6[[Site Name]:[Long]],13,FALSE)</f>
        <v>0</v>
      </c>
      <c r="BV450" s="559">
        <f>VLOOKUP(WWWW[[#This Row],[Village  Name]],SiteDB6[[Site Name]:[Pcode]],3,FALSE)</f>
        <v>0</v>
      </c>
      <c r="BW450" s="559" t="str">
        <f t="shared" si="16"/>
        <v>Covered</v>
      </c>
      <c r="BX450" s="587"/>
    </row>
    <row r="451" spans="1:76">
      <c r="A451" s="612" t="s">
        <v>2381</v>
      </c>
      <c r="B451" s="612" t="s">
        <v>2864</v>
      </c>
      <c r="C451" s="457" t="s">
        <v>371</v>
      </c>
      <c r="D451" s="457" t="s">
        <v>3050</v>
      </c>
      <c r="E451" s="457" t="s">
        <v>2686</v>
      </c>
      <c r="F451" s="457" t="s">
        <v>321</v>
      </c>
      <c r="G451" s="551" t="str">
        <f>VLOOKUP(WWWW[[#This Row],[Village  Name]],SiteDB6[[Site Name]:[Location Type]],8,FALSE)</f>
        <v>Village</v>
      </c>
      <c r="H451" s="457" t="s">
        <v>2859</v>
      </c>
      <c r="I451" s="611">
        <v>311</v>
      </c>
      <c r="J451" s="611">
        <v>1713</v>
      </c>
      <c r="K451" s="461">
        <v>43221</v>
      </c>
      <c r="L451" s="55">
        <v>43677</v>
      </c>
      <c r="M451" s="611">
        <v>335</v>
      </c>
      <c r="N451" s="611"/>
      <c r="O451" s="611">
        <v>0</v>
      </c>
      <c r="P451" s="611"/>
      <c r="Q451" s="611">
        <v>2</v>
      </c>
      <c r="R451" s="611">
        <v>1</v>
      </c>
      <c r="S451" s="611">
        <v>1</v>
      </c>
      <c r="T451" s="643"/>
      <c r="U451" s="611">
        <v>50</v>
      </c>
      <c r="V451" s="611" t="s">
        <v>128</v>
      </c>
      <c r="W451" s="611">
        <v>2</v>
      </c>
      <c r="X451" s="611"/>
      <c r="Y451" s="611"/>
      <c r="Z451" s="611"/>
      <c r="AA451" s="611"/>
      <c r="AB451" s="643"/>
      <c r="AC451" s="611"/>
      <c r="AD451" s="611"/>
      <c r="AE451" s="611"/>
      <c r="AF451" s="611"/>
      <c r="AG451" s="611"/>
      <c r="AH451" s="611"/>
      <c r="AI451" s="611" t="s">
        <v>3051</v>
      </c>
      <c r="AJ451" s="611">
        <v>1</v>
      </c>
      <c r="AK451" s="611"/>
      <c r="AL451" s="611"/>
      <c r="AM451" s="643"/>
      <c r="AN451" s="611"/>
      <c r="AO451" s="611"/>
      <c r="AP45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0.14594279042615294</v>
      </c>
      <c r="AQ451" s="565">
        <f>WWWW[[#This Row],[%Equitable and continuous access to sufficient quantity of safe drinking water]]*WWWW[[#This Row],[Total PoP ]]</f>
        <v>249.99999999999997</v>
      </c>
      <c r="AR45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51" s="565">
        <f>WWWW[[#This Row],[% Access to unimproved water points]]*WWWW[[#This Row],[Total PoP ]]</f>
        <v>1713</v>
      </c>
      <c r="AT45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1713</v>
      </c>
      <c r="AV451" s="565">
        <f>WWWW[[#This Row],[HRP1]]/250</f>
        <v>6.8520000000000003</v>
      </c>
      <c r="AW451" s="555">
        <f>1-WWWW[[#This Row],[% Equitable and continuous access to sufficient quantity of domestic water]]</f>
        <v>0</v>
      </c>
      <c r="AX451" s="565">
        <f>WWWW[[#This Row],[%equitable and continuous access to sufficient quantity of safe drinking and domestic water''s GAP]]*WWWW[[#This Row],[Total PoP ]]</f>
        <v>0</v>
      </c>
      <c r="AY451" s="557">
        <f>IF(WWWW[[#This Row],[Total required water points]]-WWWW[[#This Row],['#Water points coverage]]&lt;0,0,WWWW[[#This Row],[Total required water points]]-WWWW[[#This Row],['#Water points coverage]])</f>
        <v>0.14799999999999969</v>
      </c>
      <c r="AZ451" s="557">
        <f>ROUND(IF(WWWW[[#This Row],[Total PoP ]]&lt;250,1,WWWW[[#This Row],[Total PoP ]]/250),0)</f>
        <v>7</v>
      </c>
      <c r="BA45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0.23350846468184472</v>
      </c>
      <c r="BB451" s="565">
        <f>WWWW[[#This Row],[% people access to functioning Latrine]]*WWWW[[#This Row],[Total PoP ]]</f>
        <v>400</v>
      </c>
      <c r="BC451" s="557">
        <f>WWWW[[#This Row],['#_of_Functioning_latrines_in_school]]*50</f>
        <v>100</v>
      </c>
      <c r="BD451" s="557">
        <f>ROUND((WWWW[[#This Row],[Total PoP ]]/6),0)</f>
        <v>286</v>
      </c>
      <c r="BE451" s="557">
        <f>IF(WWWW[[#This Row],[Total required Latrines]]-(WWWW[[#This Row],['#_of_sanitary_fly-proof_HH_latrines]])&lt;0,0,WWWW[[#This Row],[Total required Latrines]]-(WWWW[[#This Row],['#_of_sanitary_fly-proof_HH_latrines]]))</f>
        <v>236</v>
      </c>
      <c r="BF451" s="558">
        <f>1-WWWW[[#This Row],[% people access to functioning Latrine]]</f>
        <v>0.76649153531815528</v>
      </c>
      <c r="BG45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1" s="565" t="e">
        <f>IF(WWWW[[#This Row],['#_of_functional_handwashing_facilities_at_HH_level]]*6&gt;WWWW[[#This Row],[Total PoP ]],WWWW[[#This Row],[Total PoP ]],WWWW[[#This Row],['#_of_functional_handwashing_facilities_at_HH_level]]*6)</f>
        <v>#VALUE!</v>
      </c>
      <c r="BI451" s="557">
        <f>IF(WWWW[[#This Row],['# people reached by regular dedicated hygiene promotion]]&gt;WWWW[[#This Row],['# People received regular supply of hygiene items]],WWWW[[#This Row],['# people reached by regular dedicated hygiene promotion]],WWWW[[#This Row],['# People received regular supply of hygiene items]])</f>
        <v>0</v>
      </c>
      <c r="BJ451" s="555">
        <f>IF(WWWW[[#This Row],[HRP3]]/WWWW[[#This Row],[Total PoP ]]&gt;100%,100%,WWWW[[#This Row],[HRP3]]/WWWW[[#This Row],[Total PoP ]])</f>
        <v>0</v>
      </c>
      <c r="BK451" s="558">
        <f>1-WWWW[[#This Row],[Hygiene Coverage%]]</f>
        <v>1</v>
      </c>
      <c r="BL451" s="556">
        <f>WWWW[[#This Row],['# people reached by regular dedicated hygiene promotion]]/WWWW[[#This Row],[Total PoP ]]</f>
        <v>0</v>
      </c>
      <c r="BM45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1" s="557">
        <f>WWWW[[#This Row],['#_of_affected_women_and_girls_receiving_a_sufficient_quantity_of_sanitary_pads]]</f>
        <v>0</v>
      </c>
      <c r="BO451" s="611">
        <f>IF(WWWW[[#This Row],['# People with access to soap]]&gt;WWWW[[#This Row],['# People with access to Sanity Pads]],WWWW[[#This Row],['# People with access to soap]],WWWW[[#This Row],['# People with access to Sanity Pads]])</f>
        <v>0</v>
      </c>
      <c r="BP451" s="565" t="str">
        <f>IF(OR(WWWW[[#This Row],['#of students in school]]="",WWWW[[#This Row],['#of students in school]]=0),"No","Yes")</f>
        <v>Yes</v>
      </c>
      <c r="BQ451" s="559" t="str">
        <f>VLOOKUP(WWWW[[#This Row],[Village  Name]],SiteDB6[[Site Name]:[Location Type 1]],9,FALSE)</f>
        <v>Village</v>
      </c>
      <c r="BR451" s="559" t="str">
        <f>VLOOKUP(WWWW[[#This Row],[Village  Name]],SiteDB6[[Site Name]:[Type of Accommodation]],10,FALSE)</f>
        <v>Village</v>
      </c>
      <c r="BS451" s="559">
        <f>VLOOKUP(WWWW[[#This Row],[Village  Name]],SiteDB6[[Site Name]:[Ethnic or GCA/NGCA]],11,FALSE)</f>
        <v>0</v>
      </c>
      <c r="BT451" s="559">
        <f>VLOOKUP(WWWW[[#This Row],[Village  Name]],SiteDB6[[Site Name]:[Lat]],12,FALSE)</f>
        <v>0</v>
      </c>
      <c r="BU451" s="559">
        <f>VLOOKUP(WWWW[[#This Row],[Village  Name]],SiteDB6[[Site Name]:[Long]],13,FALSE)</f>
        <v>0</v>
      </c>
      <c r="BV451" s="559">
        <f>VLOOKUP(WWWW[[#This Row],[Village  Name]],SiteDB6[[Site Name]:[Pcode]],3,FALSE)</f>
        <v>0</v>
      </c>
      <c r="BW451" s="559" t="str">
        <f t="shared" si="16"/>
        <v>Covered</v>
      </c>
      <c r="BX451" s="587"/>
    </row>
    <row r="452" spans="1:76">
      <c r="A452" s="612" t="s">
        <v>2381</v>
      </c>
      <c r="B452" s="612" t="s">
        <v>2864</v>
      </c>
      <c r="C452" s="457" t="s">
        <v>371</v>
      </c>
      <c r="D452" s="457" t="s">
        <v>3050</v>
      </c>
      <c r="E452" s="457" t="s">
        <v>2686</v>
      </c>
      <c r="F452" s="457" t="s">
        <v>321</v>
      </c>
      <c r="G452" s="551" t="str">
        <f>VLOOKUP(WWWW[[#This Row],[Village  Name]],SiteDB6[[Site Name]:[Location Type]],8,FALSE)</f>
        <v>Village</v>
      </c>
      <c r="H452" s="457" t="s">
        <v>2865</v>
      </c>
      <c r="I452" s="611">
        <v>250</v>
      </c>
      <c r="J452" s="611">
        <v>1012</v>
      </c>
      <c r="K452" s="461">
        <v>43221</v>
      </c>
      <c r="L452" s="55">
        <v>43677</v>
      </c>
      <c r="M452" s="611">
        <v>732</v>
      </c>
      <c r="N452" s="611">
        <v>90</v>
      </c>
      <c r="O452" s="611">
        <v>3</v>
      </c>
      <c r="P452" s="611"/>
      <c r="Q452" s="611">
        <v>2</v>
      </c>
      <c r="R452" s="611">
        <v>1</v>
      </c>
      <c r="S452" s="611">
        <v>1</v>
      </c>
      <c r="T452" s="643"/>
      <c r="U452" s="611">
        <v>150</v>
      </c>
      <c r="V452" s="611" t="s">
        <v>41</v>
      </c>
      <c r="W452" s="611">
        <v>4</v>
      </c>
      <c r="X452" s="611"/>
      <c r="Y452" s="611"/>
      <c r="Z452" s="611"/>
      <c r="AA452" s="611"/>
      <c r="AB452" s="643"/>
      <c r="AC452" s="611"/>
      <c r="AD452" s="611"/>
      <c r="AE452" s="611"/>
      <c r="AF452" s="611"/>
      <c r="AG452" s="611"/>
      <c r="AH452" s="611"/>
      <c r="AI452" s="611" t="s">
        <v>3051</v>
      </c>
      <c r="AJ452" s="611" t="s">
        <v>3051</v>
      </c>
      <c r="AK452" s="611"/>
      <c r="AL452" s="611"/>
      <c r="AM452" s="643"/>
      <c r="AN452" s="611"/>
      <c r="AO452" s="611"/>
      <c r="AP45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52" s="565">
        <f>WWWW[[#This Row],[%Equitable and continuous access to sufficient quantity of safe drinking water]]*WWWW[[#This Row],[Total PoP ]]</f>
        <v>1012</v>
      </c>
      <c r="AR45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52" s="565">
        <f>WWWW[[#This Row],[% Access to unimproved water points]]*WWWW[[#This Row],[Total PoP ]]</f>
        <v>1012</v>
      </c>
      <c r="AT45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1012</v>
      </c>
      <c r="AV452" s="565">
        <f>WWWW[[#This Row],[HRP1]]/250</f>
        <v>4.048</v>
      </c>
      <c r="AW452" s="555">
        <f>1-WWWW[[#This Row],[% Equitable and continuous access to sufficient quantity of domestic water]]</f>
        <v>0</v>
      </c>
      <c r="AX452" s="565">
        <f>WWWW[[#This Row],[%equitable and continuous access to sufficient quantity of safe drinking and domestic water''s GAP]]*WWWW[[#This Row],[Total PoP ]]</f>
        <v>0</v>
      </c>
      <c r="AY452" s="557">
        <f>IF(WWWW[[#This Row],[Total required water points]]-WWWW[[#This Row],['#Water points coverage]]&lt;0,0,WWWW[[#This Row],[Total required water points]]-WWWW[[#This Row],['#Water points coverage]])</f>
        <v>0</v>
      </c>
      <c r="AZ452" s="557">
        <f>ROUND(IF(WWWW[[#This Row],[Total PoP ]]&lt;250,1,WWWW[[#This Row],[Total PoP ]]/250),0)</f>
        <v>4</v>
      </c>
      <c r="BA45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B452" s="565">
        <f>WWWW[[#This Row],[% people access to functioning Latrine]]*WWWW[[#This Row],[Total PoP ]]</f>
        <v>1012</v>
      </c>
      <c r="BC452" s="557">
        <f>WWWW[[#This Row],['#_of_Functioning_latrines_in_school]]*50</f>
        <v>200</v>
      </c>
      <c r="BD452" s="557">
        <f>ROUND((WWWW[[#This Row],[Total PoP ]]/6),0)</f>
        <v>169</v>
      </c>
      <c r="BE452" s="557">
        <f>IF(WWWW[[#This Row],[Total required Latrines]]-(WWWW[[#This Row],['#_of_sanitary_fly-proof_HH_latrines]])&lt;0,0,WWWW[[#This Row],[Total required Latrines]]-(WWWW[[#This Row],['#_of_sanitary_fly-proof_HH_latrines]]))</f>
        <v>19</v>
      </c>
      <c r="BF452" s="558">
        <f>1-WWWW[[#This Row],[% people access to functioning Latrine]]</f>
        <v>0</v>
      </c>
      <c r="BG45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2" s="565" t="e">
        <f>IF(WWWW[[#This Row],['#_of_functional_handwashing_facilities_at_HH_level]]*6&gt;WWWW[[#This Row],[Total PoP ]],WWWW[[#This Row],[Total PoP ]],WWWW[[#This Row],['#_of_functional_handwashing_facilities_at_HH_level]]*6)</f>
        <v>#VALUE!</v>
      </c>
      <c r="BI452" s="557">
        <f>IF(WWWW[[#This Row],['# people reached by regular dedicated hygiene promotion]]&gt;WWWW[[#This Row],['# People received regular supply of hygiene items]],WWWW[[#This Row],['# people reached by regular dedicated hygiene promotion]],WWWW[[#This Row],['# People received regular supply of hygiene items]])</f>
        <v>0</v>
      </c>
      <c r="BJ452" s="555">
        <f>IF(WWWW[[#This Row],[HRP3]]/WWWW[[#This Row],[Total PoP ]]&gt;100%,100%,WWWW[[#This Row],[HRP3]]/WWWW[[#This Row],[Total PoP ]])</f>
        <v>0</v>
      </c>
      <c r="BK452" s="558">
        <f>1-WWWW[[#This Row],[Hygiene Coverage%]]</f>
        <v>1</v>
      </c>
      <c r="BL452" s="556">
        <f>WWWW[[#This Row],['# people reached by regular dedicated hygiene promotion]]/WWWW[[#This Row],[Total PoP ]]</f>
        <v>0</v>
      </c>
      <c r="BM45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2" s="557">
        <f>WWWW[[#This Row],['#_of_affected_women_and_girls_receiving_a_sufficient_quantity_of_sanitary_pads]]</f>
        <v>0</v>
      </c>
      <c r="BO452" s="611">
        <f>IF(WWWW[[#This Row],['# People with access to soap]]&gt;WWWW[[#This Row],['# People with access to Sanity Pads]],WWWW[[#This Row],['# People with access to soap]],WWWW[[#This Row],['# People with access to Sanity Pads]])</f>
        <v>0</v>
      </c>
      <c r="BP452" s="565" t="str">
        <f>IF(OR(WWWW[[#This Row],['#of students in school]]="",WWWW[[#This Row],['#of students in school]]=0),"No","Yes")</f>
        <v>Yes</v>
      </c>
      <c r="BQ452" s="559" t="str">
        <f>VLOOKUP(WWWW[[#This Row],[Village  Name]],SiteDB6[[Site Name]:[Location Type 1]],9,FALSE)</f>
        <v>Village</v>
      </c>
      <c r="BR452" s="559" t="str">
        <f>VLOOKUP(WWWW[[#This Row],[Village  Name]],SiteDB6[[Site Name]:[Type of Accommodation]],10,FALSE)</f>
        <v>Village</v>
      </c>
      <c r="BS452" s="559">
        <f>VLOOKUP(WWWW[[#This Row],[Village  Name]],SiteDB6[[Site Name]:[Ethnic or GCA/NGCA]],11,FALSE)</f>
        <v>0</v>
      </c>
      <c r="BT452" s="559">
        <f>VLOOKUP(WWWW[[#This Row],[Village  Name]],SiteDB6[[Site Name]:[Lat]],12,FALSE)</f>
        <v>20.735639572143601</v>
      </c>
      <c r="BU452" s="559">
        <f>VLOOKUP(WWWW[[#This Row],[Village  Name]],SiteDB6[[Site Name]:[Long]],13,FALSE)</f>
        <v>92.638076782226605</v>
      </c>
      <c r="BV452" s="559">
        <f>VLOOKUP(WWWW[[#This Row],[Village  Name]],SiteDB6[[Site Name]:[Pcode]],3,FALSE)</f>
        <v>198424</v>
      </c>
      <c r="BW452" s="559" t="str">
        <f t="shared" si="16"/>
        <v>Covered</v>
      </c>
      <c r="BX452" s="587"/>
    </row>
    <row r="453" spans="1:76">
      <c r="A453" s="612" t="s">
        <v>2381</v>
      </c>
      <c r="B453" s="612" t="s">
        <v>2864</v>
      </c>
      <c r="C453" s="457" t="s">
        <v>371</v>
      </c>
      <c r="D453" s="457" t="s">
        <v>3050</v>
      </c>
      <c r="E453" s="457" t="s">
        <v>2686</v>
      </c>
      <c r="F453" s="457" t="s">
        <v>307</v>
      </c>
      <c r="G453" s="551" t="str">
        <f>VLOOKUP(WWWW[[#This Row],[Village  Name]],SiteDB6[[Site Name]:[Location Type]],8,FALSE)</f>
        <v>Village</v>
      </c>
      <c r="H453" s="457" t="s">
        <v>610</v>
      </c>
      <c r="I453" s="611">
        <v>142</v>
      </c>
      <c r="J453" s="611">
        <v>610</v>
      </c>
      <c r="K453" s="461">
        <v>43678</v>
      </c>
      <c r="L453" s="55">
        <v>44196</v>
      </c>
      <c r="M453" s="611">
        <v>700</v>
      </c>
      <c r="N453" s="611"/>
      <c r="O453" s="611"/>
      <c r="P453" s="611">
        <v>15</v>
      </c>
      <c r="Q453" s="611">
        <v>9</v>
      </c>
      <c r="R453" s="611">
        <v>1</v>
      </c>
      <c r="S453" s="611"/>
      <c r="T453" s="643"/>
      <c r="U453" s="611"/>
      <c r="V453" s="611" t="s">
        <v>128</v>
      </c>
      <c r="W453" s="611">
        <v>3</v>
      </c>
      <c r="X453" s="611"/>
      <c r="Y453" s="611"/>
      <c r="Z453" s="611"/>
      <c r="AA453" s="611"/>
      <c r="AB453" s="643"/>
      <c r="AC453" s="611"/>
      <c r="AD453" s="611"/>
      <c r="AE453" s="611"/>
      <c r="AF453" s="611"/>
      <c r="AG453" s="611"/>
      <c r="AH453" s="611"/>
      <c r="AI453" s="611"/>
      <c r="AJ453" s="611"/>
      <c r="AK453" s="611"/>
      <c r="AL453" s="611"/>
      <c r="AM453" s="643"/>
      <c r="AN453" s="611"/>
      <c r="AO453" s="611"/>
      <c r="AP45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53" s="565">
        <f>WWWW[[#This Row],[%Equitable and continuous access to sufficient quantity of safe drinking water]]*WWWW[[#This Row],[Total PoP ]]</f>
        <v>610</v>
      </c>
      <c r="AR45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53" s="565">
        <f>WWWW[[#This Row],[% Access to unimproved water points]]*WWWW[[#This Row],[Total PoP ]]</f>
        <v>610</v>
      </c>
      <c r="AT45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610</v>
      </c>
      <c r="AV453" s="565">
        <f>WWWW[[#This Row],[HRP1]]/250</f>
        <v>2.44</v>
      </c>
      <c r="AW453" s="555">
        <f>1-WWWW[[#This Row],[% Equitable and continuous access to sufficient quantity of domestic water]]</f>
        <v>0</v>
      </c>
      <c r="AX453" s="565">
        <f>WWWW[[#This Row],[%equitable and continuous access to sufficient quantity of safe drinking and domestic water''s GAP]]*WWWW[[#This Row],[Total PoP ]]</f>
        <v>0</v>
      </c>
      <c r="AY453" s="557">
        <f>IF(WWWW[[#This Row],[Total required water points]]-WWWW[[#This Row],['#Water points coverage]]&lt;0,0,WWWW[[#This Row],[Total required water points]]-WWWW[[#This Row],['#Water points coverage]])</f>
        <v>0</v>
      </c>
      <c r="AZ453" s="557">
        <f>ROUND(IF(WWWW[[#This Row],[Total PoP ]]&lt;250,1,WWWW[[#This Row],[Total PoP ]]/250),0)</f>
        <v>2</v>
      </c>
      <c r="BA45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0.24590163934426229</v>
      </c>
      <c r="BB453" s="565">
        <f>WWWW[[#This Row],[% people access to functioning Latrine]]*WWWW[[#This Row],[Total PoP ]]</f>
        <v>150</v>
      </c>
      <c r="BC453" s="557">
        <f>WWWW[[#This Row],['#_of_Functioning_latrines_in_school]]*50</f>
        <v>150</v>
      </c>
      <c r="BD453" s="557">
        <f>ROUND((WWWW[[#This Row],[Total PoP ]]/6),0)</f>
        <v>102</v>
      </c>
      <c r="BE453" s="557">
        <f>IF(WWWW[[#This Row],[Total required Latrines]]-(WWWW[[#This Row],['#_of_sanitary_fly-proof_HH_latrines]])&lt;0,0,WWWW[[#This Row],[Total required Latrines]]-(WWWW[[#This Row],['#_of_sanitary_fly-proof_HH_latrines]]))</f>
        <v>102</v>
      </c>
      <c r="BF453" s="558">
        <f>1-WWWW[[#This Row],[% people access to functioning Latrine]]</f>
        <v>0.75409836065573765</v>
      </c>
      <c r="BG45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3" s="565">
        <f>IF(WWWW[[#This Row],['#_of_functional_handwashing_facilities_at_HH_level]]*6&gt;WWWW[[#This Row],[Total PoP ]],WWWW[[#This Row],[Total PoP ]],WWWW[[#This Row],['#_of_functional_handwashing_facilities_at_HH_level]]*6)</f>
        <v>0</v>
      </c>
      <c r="BI453" s="557">
        <f>IF(WWWW[[#This Row],['# people reached by regular dedicated hygiene promotion]]&gt;WWWW[[#This Row],['# People received regular supply of hygiene items]],WWWW[[#This Row],['# people reached by regular dedicated hygiene promotion]],WWWW[[#This Row],['# People received regular supply of hygiene items]])</f>
        <v>0</v>
      </c>
      <c r="BJ453" s="555">
        <f>IF(WWWW[[#This Row],[HRP3]]/WWWW[[#This Row],[Total PoP ]]&gt;100%,100%,WWWW[[#This Row],[HRP3]]/WWWW[[#This Row],[Total PoP ]])</f>
        <v>0</v>
      </c>
      <c r="BK453" s="558">
        <f>1-WWWW[[#This Row],[Hygiene Coverage%]]</f>
        <v>1</v>
      </c>
      <c r="BL453" s="556">
        <f>WWWW[[#This Row],['# people reached by regular dedicated hygiene promotion]]/WWWW[[#This Row],[Total PoP ]]</f>
        <v>0</v>
      </c>
      <c r="BM45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3" s="557">
        <f>WWWW[[#This Row],['#_of_affected_women_and_girls_receiving_a_sufficient_quantity_of_sanitary_pads]]</f>
        <v>0</v>
      </c>
      <c r="BO453" s="611">
        <f>IF(WWWW[[#This Row],['# People with access to soap]]&gt;WWWW[[#This Row],['# People with access to Sanity Pads]],WWWW[[#This Row],['# People with access to soap]],WWWW[[#This Row],['# People with access to Sanity Pads]])</f>
        <v>0</v>
      </c>
      <c r="BP453" s="565" t="str">
        <f>IF(OR(WWWW[[#This Row],['#of students in school]]="",WWWW[[#This Row],['#of students in school]]=0),"No","Yes")</f>
        <v>Yes</v>
      </c>
      <c r="BQ453" s="559" t="str">
        <f>VLOOKUP(WWWW[[#This Row],[Village  Name]],SiteDB6[[Site Name]:[Location Type 1]],9,FALSE)</f>
        <v>Village</v>
      </c>
      <c r="BR453" s="559" t="str">
        <f>VLOOKUP(WWWW[[#This Row],[Village  Name]],SiteDB6[[Site Name]:[Type of Accommodation]],10,FALSE)</f>
        <v>Village</v>
      </c>
      <c r="BS453" s="559" t="str">
        <f>VLOOKUP(WWWW[[#This Row],[Village  Name]],SiteDB6[[Site Name]:[Ethnic or GCA/NGCA]],11,FALSE)</f>
        <v>Muslim</v>
      </c>
      <c r="BT453" s="559">
        <f>VLOOKUP(WWWW[[#This Row],[Village  Name]],SiteDB6[[Site Name]:[Lat]],12,FALSE)</f>
        <v>20.803909300000001</v>
      </c>
      <c r="BU453" s="559">
        <f>VLOOKUP(WWWW[[#This Row],[Village  Name]],SiteDB6[[Site Name]:[Long]],13,FALSE)</f>
        <v>92.376831050000007</v>
      </c>
      <c r="BV453" s="559">
        <f>VLOOKUP(WWWW[[#This Row],[Village  Name]],SiteDB6[[Site Name]:[Pcode]],3,FALSE)</f>
        <v>197997</v>
      </c>
      <c r="BW453" s="559" t="str">
        <f t="shared" si="16"/>
        <v>Covered</v>
      </c>
      <c r="BX453" s="587"/>
    </row>
    <row r="454" spans="1:76">
      <c r="A454" s="612" t="s">
        <v>2381</v>
      </c>
      <c r="B454" s="612" t="s">
        <v>2864</v>
      </c>
      <c r="C454" s="457" t="s">
        <v>371</v>
      </c>
      <c r="D454" s="457" t="s">
        <v>3050</v>
      </c>
      <c r="E454" s="457" t="s">
        <v>2686</v>
      </c>
      <c r="F454" s="457" t="s">
        <v>307</v>
      </c>
      <c r="G454" s="551" t="str">
        <f>VLOOKUP(WWWW[[#This Row],[Village  Name]],SiteDB6[[Site Name]:[Location Type]],8,FALSE)</f>
        <v>Village</v>
      </c>
      <c r="H454" s="457" t="s">
        <v>3052</v>
      </c>
      <c r="I454" s="611">
        <v>72</v>
      </c>
      <c r="J454" s="611">
        <v>353</v>
      </c>
      <c r="K454" s="461">
        <v>43678</v>
      </c>
      <c r="L454" s="55">
        <v>44196</v>
      </c>
      <c r="M454" s="611">
        <v>430</v>
      </c>
      <c r="N454" s="611"/>
      <c r="O454" s="611"/>
      <c r="P454" s="611">
        <v>1</v>
      </c>
      <c r="Q454" s="611"/>
      <c r="R454" s="611"/>
      <c r="S454" s="611"/>
      <c r="T454" s="643"/>
      <c r="U454" s="611"/>
      <c r="V454" s="611" t="s">
        <v>128</v>
      </c>
      <c r="W454" s="611">
        <v>4</v>
      </c>
      <c r="X454" s="611"/>
      <c r="Y454" s="611"/>
      <c r="Z454" s="611"/>
      <c r="AA454" s="611"/>
      <c r="AB454" s="643"/>
      <c r="AC454" s="611"/>
      <c r="AD454" s="611"/>
      <c r="AE454" s="611"/>
      <c r="AF454" s="611"/>
      <c r="AG454" s="611"/>
      <c r="AH454" s="611"/>
      <c r="AI454" s="611"/>
      <c r="AJ454" s="611"/>
      <c r="AK454" s="611"/>
      <c r="AL454" s="611"/>
      <c r="AM454" s="643"/>
      <c r="AN454" s="611"/>
      <c r="AO454" s="611"/>
      <c r="AP45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54" s="565">
        <f>WWWW[[#This Row],[%Equitable and continuous access to sufficient quantity of safe drinking water]]*WWWW[[#This Row],[Total PoP ]]</f>
        <v>353</v>
      </c>
      <c r="AR45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54" s="565">
        <f>WWWW[[#This Row],[% Access to unimproved water points]]*WWWW[[#This Row],[Total PoP ]]</f>
        <v>0</v>
      </c>
      <c r="AT45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353</v>
      </c>
      <c r="AV454" s="565">
        <f>WWWW[[#This Row],[HRP1]]/250</f>
        <v>1.4119999999999999</v>
      </c>
      <c r="AW454" s="555">
        <f>1-WWWW[[#This Row],[% Equitable and continuous access to sufficient quantity of domestic water]]</f>
        <v>0</v>
      </c>
      <c r="AX454" s="565">
        <f>WWWW[[#This Row],[%equitable and continuous access to sufficient quantity of safe drinking and domestic water''s GAP]]*WWWW[[#This Row],[Total PoP ]]</f>
        <v>0</v>
      </c>
      <c r="AY454" s="557">
        <f>IF(WWWW[[#This Row],[Total required water points]]-WWWW[[#This Row],['#Water points coverage]]&lt;0,0,WWWW[[#This Row],[Total required water points]]-WWWW[[#This Row],['#Water points coverage]])</f>
        <v>0</v>
      </c>
      <c r="AZ454" s="557">
        <f>ROUND(IF(WWWW[[#This Row],[Total PoP ]]&lt;250,1,WWWW[[#This Row],[Total PoP ]]/250),0)</f>
        <v>1</v>
      </c>
      <c r="BA45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0.56657223796033995</v>
      </c>
      <c r="BB454" s="565">
        <f>WWWW[[#This Row],[% people access to functioning Latrine]]*WWWW[[#This Row],[Total PoP ]]</f>
        <v>200</v>
      </c>
      <c r="BC454" s="557">
        <f>WWWW[[#This Row],['#_of_Functioning_latrines_in_school]]*50</f>
        <v>200</v>
      </c>
      <c r="BD454" s="557">
        <f>ROUND((WWWW[[#This Row],[Total PoP ]]/6),0)</f>
        <v>59</v>
      </c>
      <c r="BE454" s="557">
        <f>IF(WWWW[[#This Row],[Total required Latrines]]-(WWWW[[#This Row],['#_of_sanitary_fly-proof_HH_latrines]])&lt;0,0,WWWW[[#This Row],[Total required Latrines]]-(WWWW[[#This Row],['#_of_sanitary_fly-proof_HH_latrines]]))</f>
        <v>59</v>
      </c>
      <c r="BF454" s="558">
        <f>1-WWWW[[#This Row],[% people access to functioning Latrine]]</f>
        <v>0.43342776203966005</v>
      </c>
      <c r="BG45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4" s="565">
        <f>IF(WWWW[[#This Row],['#_of_functional_handwashing_facilities_at_HH_level]]*6&gt;WWWW[[#This Row],[Total PoP ]],WWWW[[#This Row],[Total PoP ]],WWWW[[#This Row],['#_of_functional_handwashing_facilities_at_HH_level]]*6)</f>
        <v>0</v>
      </c>
      <c r="BI454" s="557">
        <f>IF(WWWW[[#This Row],['# people reached by regular dedicated hygiene promotion]]&gt;WWWW[[#This Row],['# People received regular supply of hygiene items]],WWWW[[#This Row],['# people reached by regular dedicated hygiene promotion]],WWWW[[#This Row],['# People received regular supply of hygiene items]])</f>
        <v>0</v>
      </c>
      <c r="BJ454" s="555">
        <f>IF(WWWW[[#This Row],[HRP3]]/WWWW[[#This Row],[Total PoP ]]&gt;100%,100%,WWWW[[#This Row],[HRP3]]/WWWW[[#This Row],[Total PoP ]])</f>
        <v>0</v>
      </c>
      <c r="BK454" s="558">
        <f>1-WWWW[[#This Row],[Hygiene Coverage%]]</f>
        <v>1</v>
      </c>
      <c r="BL454" s="556">
        <f>WWWW[[#This Row],['# people reached by regular dedicated hygiene promotion]]/WWWW[[#This Row],[Total PoP ]]</f>
        <v>0</v>
      </c>
      <c r="BM45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4" s="557">
        <f>WWWW[[#This Row],['#_of_affected_women_and_girls_receiving_a_sufficient_quantity_of_sanitary_pads]]</f>
        <v>0</v>
      </c>
      <c r="BO454" s="611">
        <f>IF(WWWW[[#This Row],['# People with access to soap]]&gt;WWWW[[#This Row],['# People with access to Sanity Pads]],WWWW[[#This Row],['# People with access to soap]],WWWW[[#This Row],['# People with access to Sanity Pads]])</f>
        <v>0</v>
      </c>
      <c r="BP454" s="565" t="str">
        <f>IF(OR(WWWW[[#This Row],['#of students in school]]="",WWWW[[#This Row],['#of students in school]]=0),"No","Yes")</f>
        <v>Yes</v>
      </c>
      <c r="BQ454" s="559" t="str">
        <f>VLOOKUP(WWWW[[#This Row],[Village  Name]],SiteDB6[[Site Name]:[Location Type 1]],9,FALSE)</f>
        <v>Village</v>
      </c>
      <c r="BR454" s="559" t="str">
        <f>VLOOKUP(WWWW[[#This Row],[Village  Name]],SiteDB6[[Site Name]:[Type of Accommodation]],10,FALSE)</f>
        <v>Village</v>
      </c>
      <c r="BS454" s="559">
        <f>VLOOKUP(WWWW[[#This Row],[Village  Name]],SiteDB6[[Site Name]:[Ethnic or GCA/NGCA]],11,FALSE)</f>
        <v>0</v>
      </c>
      <c r="BT454" s="559">
        <f>VLOOKUP(WWWW[[#This Row],[Village  Name]],SiteDB6[[Site Name]:[Lat]],12,FALSE)</f>
        <v>0</v>
      </c>
      <c r="BU454" s="559">
        <f>VLOOKUP(WWWW[[#This Row],[Village  Name]],SiteDB6[[Site Name]:[Long]],13,FALSE)</f>
        <v>0</v>
      </c>
      <c r="BV454" s="559">
        <f>VLOOKUP(WWWW[[#This Row],[Village  Name]],SiteDB6[[Site Name]:[Pcode]],3,FALSE)</f>
        <v>0</v>
      </c>
      <c r="BW454" s="559" t="str">
        <f t="shared" si="16"/>
        <v>Covered</v>
      </c>
      <c r="BX454" s="587"/>
    </row>
    <row r="455" spans="1:76">
      <c r="A455" s="612" t="s">
        <v>2381</v>
      </c>
      <c r="B455" s="612" t="s">
        <v>2864</v>
      </c>
      <c r="C455" s="457" t="s">
        <v>371</v>
      </c>
      <c r="D455" s="457" t="s">
        <v>3050</v>
      </c>
      <c r="E455" s="457" t="s">
        <v>2686</v>
      </c>
      <c r="F455" s="457" t="s">
        <v>307</v>
      </c>
      <c r="G455" s="551" t="str">
        <f>VLOOKUP(WWWW[[#This Row],[Village  Name]],SiteDB6[[Site Name]:[Location Type]],8,FALSE)</f>
        <v>Village</v>
      </c>
      <c r="H455" s="457" t="s">
        <v>614</v>
      </c>
      <c r="I455" s="611">
        <v>132</v>
      </c>
      <c r="J455" s="611">
        <v>629</v>
      </c>
      <c r="K455" s="461">
        <v>43678</v>
      </c>
      <c r="L455" s="55">
        <v>44196</v>
      </c>
      <c r="M455" s="611">
        <v>600</v>
      </c>
      <c r="N455" s="611"/>
      <c r="O455" s="611">
        <v>1</v>
      </c>
      <c r="P455" s="611">
        <v>9</v>
      </c>
      <c r="Q455" s="611">
        <v>8</v>
      </c>
      <c r="R455" s="611"/>
      <c r="S455" s="611"/>
      <c r="T455" s="643"/>
      <c r="U455" s="611"/>
      <c r="V455" s="611" t="s">
        <v>128</v>
      </c>
      <c r="W455" s="611">
        <v>3</v>
      </c>
      <c r="X455" s="611"/>
      <c r="Y455" s="611"/>
      <c r="Z455" s="611"/>
      <c r="AA455" s="611"/>
      <c r="AB455" s="643"/>
      <c r="AC455" s="611"/>
      <c r="AD455" s="611"/>
      <c r="AE455" s="611"/>
      <c r="AF455" s="611"/>
      <c r="AG455" s="611"/>
      <c r="AH455" s="611"/>
      <c r="AI455" s="611"/>
      <c r="AJ455" s="611"/>
      <c r="AK455" s="611"/>
      <c r="AL455" s="611"/>
      <c r="AM455" s="643"/>
      <c r="AN455" s="611"/>
      <c r="AO455" s="611"/>
      <c r="AP45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55" s="565">
        <f>WWWW[[#This Row],[%Equitable and continuous access to sufficient quantity of safe drinking water]]*WWWW[[#This Row],[Total PoP ]]</f>
        <v>629</v>
      </c>
      <c r="AR45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55" s="565">
        <f>WWWW[[#This Row],[% Access to unimproved water points]]*WWWW[[#This Row],[Total PoP ]]</f>
        <v>629</v>
      </c>
      <c r="AT45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629</v>
      </c>
      <c r="AV455" s="565">
        <f>WWWW[[#This Row],[HRP1]]/250</f>
        <v>2.516</v>
      </c>
      <c r="AW455" s="555">
        <f>1-WWWW[[#This Row],[% Equitable and continuous access to sufficient quantity of domestic water]]</f>
        <v>0</v>
      </c>
      <c r="AX455" s="565">
        <f>WWWW[[#This Row],[%equitable and continuous access to sufficient quantity of safe drinking and domestic water''s GAP]]*WWWW[[#This Row],[Total PoP ]]</f>
        <v>0</v>
      </c>
      <c r="AY455" s="557">
        <f>IF(WWWW[[#This Row],[Total required water points]]-WWWW[[#This Row],['#Water points coverage]]&lt;0,0,WWWW[[#This Row],[Total required water points]]-WWWW[[#This Row],['#Water points coverage]])</f>
        <v>0.48399999999999999</v>
      </c>
      <c r="AZ455" s="557">
        <f>ROUND(IF(WWWW[[#This Row],[Total PoP ]]&lt;250,1,WWWW[[#This Row],[Total PoP ]]/250),0)</f>
        <v>3</v>
      </c>
      <c r="BA45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0.23847376788553259</v>
      </c>
      <c r="BB455" s="565">
        <f>WWWW[[#This Row],[% people access to functioning Latrine]]*WWWW[[#This Row],[Total PoP ]]</f>
        <v>150</v>
      </c>
      <c r="BC455" s="557">
        <f>WWWW[[#This Row],['#_of_Functioning_latrines_in_school]]*50</f>
        <v>150</v>
      </c>
      <c r="BD455" s="557">
        <f>ROUND((WWWW[[#This Row],[Total PoP ]]/6),0)</f>
        <v>105</v>
      </c>
      <c r="BE455" s="557">
        <f>IF(WWWW[[#This Row],[Total required Latrines]]-(WWWW[[#This Row],['#_of_sanitary_fly-proof_HH_latrines]])&lt;0,0,WWWW[[#This Row],[Total required Latrines]]-(WWWW[[#This Row],['#_of_sanitary_fly-proof_HH_latrines]]))</f>
        <v>105</v>
      </c>
      <c r="BF455" s="558">
        <f>1-WWWW[[#This Row],[% people access to functioning Latrine]]</f>
        <v>0.76152623211446735</v>
      </c>
      <c r="BG45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5" s="565">
        <f>IF(WWWW[[#This Row],['#_of_functional_handwashing_facilities_at_HH_level]]*6&gt;WWWW[[#This Row],[Total PoP ]],WWWW[[#This Row],[Total PoP ]],WWWW[[#This Row],['#_of_functional_handwashing_facilities_at_HH_level]]*6)</f>
        <v>0</v>
      </c>
      <c r="BI455" s="557">
        <f>IF(WWWW[[#This Row],['# people reached by regular dedicated hygiene promotion]]&gt;WWWW[[#This Row],['# People received regular supply of hygiene items]],WWWW[[#This Row],['# people reached by regular dedicated hygiene promotion]],WWWW[[#This Row],['# People received regular supply of hygiene items]])</f>
        <v>0</v>
      </c>
      <c r="BJ455" s="555">
        <f>IF(WWWW[[#This Row],[HRP3]]/WWWW[[#This Row],[Total PoP ]]&gt;100%,100%,WWWW[[#This Row],[HRP3]]/WWWW[[#This Row],[Total PoP ]])</f>
        <v>0</v>
      </c>
      <c r="BK455" s="558">
        <f>1-WWWW[[#This Row],[Hygiene Coverage%]]</f>
        <v>1</v>
      </c>
      <c r="BL455" s="556">
        <f>WWWW[[#This Row],['# people reached by regular dedicated hygiene promotion]]/WWWW[[#This Row],[Total PoP ]]</f>
        <v>0</v>
      </c>
      <c r="BM45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5" s="557">
        <f>WWWW[[#This Row],['#_of_affected_women_and_girls_receiving_a_sufficient_quantity_of_sanitary_pads]]</f>
        <v>0</v>
      </c>
      <c r="BO455" s="611">
        <f>IF(WWWW[[#This Row],['# People with access to soap]]&gt;WWWW[[#This Row],['# People with access to Sanity Pads]],WWWW[[#This Row],['# People with access to soap]],WWWW[[#This Row],['# People with access to Sanity Pads]])</f>
        <v>0</v>
      </c>
      <c r="BP455" s="565" t="str">
        <f>IF(OR(WWWW[[#This Row],['#of students in school]]="",WWWW[[#This Row],['#of students in school]]=0),"No","Yes")</f>
        <v>Yes</v>
      </c>
      <c r="BQ455" s="559" t="str">
        <f>VLOOKUP(WWWW[[#This Row],[Village  Name]],SiteDB6[[Site Name]:[Location Type 1]],9,FALSE)</f>
        <v>Village</v>
      </c>
      <c r="BR455" s="559" t="str">
        <f>VLOOKUP(WWWW[[#This Row],[Village  Name]],SiteDB6[[Site Name]:[Type of Accommodation]],10,FALSE)</f>
        <v>Village</v>
      </c>
      <c r="BS455" s="559" t="str">
        <f>VLOOKUP(WWWW[[#This Row],[Village  Name]],SiteDB6[[Site Name]:[Ethnic or GCA/NGCA]],11,FALSE)</f>
        <v>Muslim</v>
      </c>
      <c r="BT455" s="559">
        <f>VLOOKUP(WWWW[[#This Row],[Village  Name]],SiteDB6[[Site Name]:[Lat]],12,FALSE)</f>
        <v>20.805980680000001</v>
      </c>
      <c r="BU455" s="559">
        <f>VLOOKUP(WWWW[[#This Row],[Village  Name]],SiteDB6[[Site Name]:[Long]],13,FALSE)</f>
        <v>92.383308409999998</v>
      </c>
      <c r="BV455" s="559">
        <f>VLOOKUP(WWWW[[#This Row],[Village  Name]],SiteDB6[[Site Name]:[Pcode]],3,FALSE)</f>
        <v>197996</v>
      </c>
      <c r="BW455" s="559" t="str">
        <f t="shared" si="16"/>
        <v>Covered</v>
      </c>
      <c r="BX455" s="587"/>
    </row>
    <row r="456" spans="1:76">
      <c r="A456" s="612" t="s">
        <v>2381</v>
      </c>
      <c r="B456" s="612" t="s">
        <v>2864</v>
      </c>
      <c r="C456" s="457" t="s">
        <v>371</v>
      </c>
      <c r="D456" s="457" t="s">
        <v>3050</v>
      </c>
      <c r="E456" s="457" t="s">
        <v>2686</v>
      </c>
      <c r="F456" s="457" t="s">
        <v>307</v>
      </c>
      <c r="G456" s="551" t="str">
        <f>VLOOKUP(WWWW[[#This Row],[Village  Name]],SiteDB6[[Site Name]:[Location Type]],8,FALSE)</f>
        <v>Village</v>
      </c>
      <c r="H456" s="457" t="s">
        <v>659</v>
      </c>
      <c r="I456" s="611">
        <v>119</v>
      </c>
      <c r="J456" s="611">
        <v>376</v>
      </c>
      <c r="K456" s="461">
        <v>43678</v>
      </c>
      <c r="L456" s="55">
        <v>44196</v>
      </c>
      <c r="M456" s="611">
        <v>50</v>
      </c>
      <c r="N456" s="611"/>
      <c r="O456" s="611">
        <v>4</v>
      </c>
      <c r="P456" s="611"/>
      <c r="Q456" s="611">
        <v>3</v>
      </c>
      <c r="R456" s="611"/>
      <c r="S456" s="611"/>
      <c r="T456" s="643"/>
      <c r="U456" s="611"/>
      <c r="V456" s="611" t="s">
        <v>128</v>
      </c>
      <c r="W456" s="611">
        <v>4</v>
      </c>
      <c r="X456" s="611"/>
      <c r="Y456" s="611"/>
      <c r="Z456" s="611"/>
      <c r="AA456" s="611"/>
      <c r="AB456" s="643"/>
      <c r="AC456" s="611"/>
      <c r="AD456" s="611"/>
      <c r="AE456" s="611"/>
      <c r="AF456" s="611"/>
      <c r="AG456" s="611"/>
      <c r="AH456" s="611"/>
      <c r="AI456" s="611"/>
      <c r="AJ456" s="611"/>
      <c r="AK456" s="611"/>
      <c r="AL456" s="611"/>
      <c r="AM456" s="643"/>
      <c r="AN456" s="611"/>
      <c r="AO456" s="611"/>
      <c r="AP45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56" s="565">
        <f>WWWW[[#This Row],[%Equitable and continuous access to sufficient quantity of safe drinking water]]*WWWW[[#This Row],[Total PoP ]]</f>
        <v>376</v>
      </c>
      <c r="AR45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56" s="565">
        <f>WWWW[[#This Row],[% Access to unimproved water points]]*WWWW[[#This Row],[Total PoP ]]</f>
        <v>376</v>
      </c>
      <c r="AT45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376</v>
      </c>
      <c r="AV456" s="565">
        <f>WWWW[[#This Row],[HRP1]]/250</f>
        <v>1.504</v>
      </c>
      <c r="AW456" s="555">
        <f>1-WWWW[[#This Row],[% Equitable and continuous access to sufficient quantity of domestic water]]</f>
        <v>0</v>
      </c>
      <c r="AX456" s="565">
        <f>WWWW[[#This Row],[%equitable and continuous access to sufficient quantity of safe drinking and domestic water''s GAP]]*WWWW[[#This Row],[Total PoP ]]</f>
        <v>0</v>
      </c>
      <c r="AY456" s="557">
        <f>IF(WWWW[[#This Row],[Total required water points]]-WWWW[[#This Row],['#Water points coverage]]&lt;0,0,WWWW[[#This Row],[Total required water points]]-WWWW[[#This Row],['#Water points coverage]])</f>
        <v>0.496</v>
      </c>
      <c r="AZ456" s="557">
        <f>ROUND(IF(WWWW[[#This Row],[Total PoP ]]&lt;250,1,WWWW[[#This Row],[Total PoP ]]/250),0)</f>
        <v>2</v>
      </c>
      <c r="BA45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0.53191489361702127</v>
      </c>
      <c r="BB456" s="565">
        <f>WWWW[[#This Row],[% people access to functioning Latrine]]*WWWW[[#This Row],[Total PoP ]]</f>
        <v>200</v>
      </c>
      <c r="BC456" s="557">
        <f>WWWW[[#This Row],['#_of_Functioning_latrines_in_school]]*50</f>
        <v>200</v>
      </c>
      <c r="BD456" s="557">
        <f>ROUND((WWWW[[#This Row],[Total PoP ]]/6),0)</f>
        <v>63</v>
      </c>
      <c r="BE456" s="557">
        <f>IF(WWWW[[#This Row],[Total required Latrines]]-(WWWW[[#This Row],['#_of_sanitary_fly-proof_HH_latrines]])&lt;0,0,WWWW[[#This Row],[Total required Latrines]]-(WWWW[[#This Row],['#_of_sanitary_fly-proof_HH_latrines]]))</f>
        <v>63</v>
      </c>
      <c r="BF456" s="558">
        <f>1-WWWW[[#This Row],[% people access to functioning Latrine]]</f>
        <v>0.46808510638297873</v>
      </c>
      <c r="BG45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6" s="565">
        <f>IF(WWWW[[#This Row],['#_of_functional_handwashing_facilities_at_HH_level]]*6&gt;WWWW[[#This Row],[Total PoP ]],WWWW[[#This Row],[Total PoP ]],WWWW[[#This Row],['#_of_functional_handwashing_facilities_at_HH_level]]*6)</f>
        <v>0</v>
      </c>
      <c r="BI456" s="557">
        <f>IF(WWWW[[#This Row],['# people reached by regular dedicated hygiene promotion]]&gt;WWWW[[#This Row],['# People received regular supply of hygiene items]],WWWW[[#This Row],['# people reached by regular dedicated hygiene promotion]],WWWW[[#This Row],['# People received regular supply of hygiene items]])</f>
        <v>0</v>
      </c>
      <c r="BJ456" s="555">
        <f>IF(WWWW[[#This Row],[HRP3]]/WWWW[[#This Row],[Total PoP ]]&gt;100%,100%,WWWW[[#This Row],[HRP3]]/WWWW[[#This Row],[Total PoP ]])</f>
        <v>0</v>
      </c>
      <c r="BK456" s="558">
        <f>1-WWWW[[#This Row],[Hygiene Coverage%]]</f>
        <v>1</v>
      </c>
      <c r="BL456" s="556">
        <f>WWWW[[#This Row],['# people reached by regular dedicated hygiene promotion]]/WWWW[[#This Row],[Total PoP ]]</f>
        <v>0</v>
      </c>
      <c r="BM45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6" s="557">
        <f>WWWW[[#This Row],['#_of_affected_women_and_girls_receiving_a_sufficient_quantity_of_sanitary_pads]]</f>
        <v>0</v>
      </c>
      <c r="BO456" s="611">
        <f>IF(WWWW[[#This Row],['# People with access to soap]]&gt;WWWW[[#This Row],['# People with access to Sanity Pads]],WWWW[[#This Row],['# People with access to soap]],WWWW[[#This Row],['# People with access to Sanity Pads]])</f>
        <v>0</v>
      </c>
      <c r="BP456" s="565" t="str">
        <f>IF(OR(WWWW[[#This Row],['#of students in school]]="",WWWW[[#This Row],['#of students in school]]=0),"No","Yes")</f>
        <v>Yes</v>
      </c>
      <c r="BQ456" s="559" t="str">
        <f>VLOOKUP(WWWW[[#This Row],[Village  Name]],SiteDB6[[Site Name]:[Location Type 1]],9,FALSE)</f>
        <v>Village</v>
      </c>
      <c r="BR456" s="559" t="str">
        <f>VLOOKUP(WWWW[[#This Row],[Village  Name]],SiteDB6[[Site Name]:[Type of Accommodation]],10,FALSE)</f>
        <v>Village</v>
      </c>
      <c r="BS456" s="559" t="str">
        <f>VLOOKUP(WWWW[[#This Row],[Village  Name]],SiteDB6[[Site Name]:[Ethnic or GCA/NGCA]],11,FALSE)</f>
        <v>Rakhine</v>
      </c>
      <c r="BT456" s="559">
        <f>VLOOKUP(WWWW[[#This Row],[Village  Name]],SiteDB6[[Site Name]:[Lat]],12,FALSE)</f>
        <v>20.910375599999998</v>
      </c>
      <c r="BU456" s="559">
        <f>VLOOKUP(WWWW[[#This Row],[Village  Name]],SiteDB6[[Site Name]:[Long]],13,FALSE)</f>
        <v>92.400138850000005</v>
      </c>
      <c r="BV456" s="559">
        <f>VLOOKUP(WWWW[[#This Row],[Village  Name]],SiteDB6[[Site Name]:[Pcode]],3,FALSE)</f>
        <v>220734</v>
      </c>
      <c r="BW456" s="559" t="str">
        <f t="shared" si="16"/>
        <v>Covered</v>
      </c>
      <c r="BX456" s="587"/>
    </row>
    <row r="457" spans="1:76">
      <c r="A457" s="612" t="s">
        <v>2381</v>
      </c>
      <c r="B457" s="612" t="s">
        <v>2864</v>
      </c>
      <c r="C457" s="457" t="s">
        <v>371</v>
      </c>
      <c r="D457" s="457" t="s">
        <v>3050</v>
      </c>
      <c r="E457" s="457" t="s">
        <v>2686</v>
      </c>
      <c r="F457" s="457" t="s">
        <v>307</v>
      </c>
      <c r="G457" s="551" t="str">
        <f>VLOOKUP(WWWW[[#This Row],[Village  Name]],SiteDB6[[Site Name]:[Location Type]],8,FALSE)</f>
        <v>Village</v>
      </c>
      <c r="H457" s="457" t="s">
        <v>2046</v>
      </c>
      <c r="I457" s="611">
        <v>61</v>
      </c>
      <c r="J457" s="611">
        <v>292</v>
      </c>
      <c r="K457" s="461">
        <v>43678</v>
      </c>
      <c r="L457" s="55">
        <v>44196</v>
      </c>
      <c r="M457" s="611">
        <v>31</v>
      </c>
      <c r="N457" s="611"/>
      <c r="O457" s="611">
        <v>3</v>
      </c>
      <c r="P457" s="611"/>
      <c r="Q457" s="611">
        <v>2</v>
      </c>
      <c r="R457" s="611">
        <v>1</v>
      </c>
      <c r="S457" s="611"/>
      <c r="T457" s="643"/>
      <c r="U457" s="611"/>
      <c r="V457" s="611" t="s">
        <v>128</v>
      </c>
      <c r="W457" s="611">
        <v>2</v>
      </c>
      <c r="X457" s="611"/>
      <c r="Y457" s="611"/>
      <c r="Z457" s="611"/>
      <c r="AA457" s="611"/>
      <c r="AB457" s="643"/>
      <c r="AC457" s="611"/>
      <c r="AD457" s="611"/>
      <c r="AE457" s="611"/>
      <c r="AF457" s="611"/>
      <c r="AG457" s="611"/>
      <c r="AH457" s="611"/>
      <c r="AI457" s="611"/>
      <c r="AJ457" s="611"/>
      <c r="AK457" s="611"/>
      <c r="AL457" s="611"/>
      <c r="AM457" s="643"/>
      <c r="AN457" s="611"/>
      <c r="AO457" s="611"/>
      <c r="AP45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57" s="565">
        <f>WWWW[[#This Row],[%Equitable and continuous access to sufficient quantity of safe drinking water]]*WWWW[[#This Row],[Total PoP ]]</f>
        <v>292</v>
      </c>
      <c r="AR45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57" s="565">
        <f>WWWW[[#This Row],[% Access to unimproved water points]]*WWWW[[#This Row],[Total PoP ]]</f>
        <v>292</v>
      </c>
      <c r="AT45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AV457" s="565">
        <f>WWWW[[#This Row],[HRP1]]/250</f>
        <v>1.1679999999999999</v>
      </c>
      <c r="AW457" s="555">
        <f>1-WWWW[[#This Row],[% Equitable and continuous access to sufficient quantity of domestic water]]</f>
        <v>0</v>
      </c>
      <c r="AX457" s="565">
        <f>WWWW[[#This Row],[%equitable and continuous access to sufficient quantity of safe drinking and domestic water''s GAP]]*WWWW[[#This Row],[Total PoP ]]</f>
        <v>0</v>
      </c>
      <c r="AY457" s="557">
        <f>IF(WWWW[[#This Row],[Total required water points]]-WWWW[[#This Row],['#Water points coverage]]&lt;0,0,WWWW[[#This Row],[Total required water points]]-WWWW[[#This Row],['#Water points coverage]])</f>
        <v>0</v>
      </c>
      <c r="AZ457" s="557">
        <f>ROUND(IF(WWWW[[#This Row],[Total PoP ]]&lt;250,1,WWWW[[#This Row],[Total PoP ]]/250),0)</f>
        <v>1</v>
      </c>
      <c r="BA45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0.34246575342465752</v>
      </c>
      <c r="BB457" s="565">
        <f>WWWW[[#This Row],[% people access to functioning Latrine]]*WWWW[[#This Row],[Total PoP ]]</f>
        <v>100</v>
      </c>
      <c r="BC457" s="557">
        <f>WWWW[[#This Row],['#_of_Functioning_latrines_in_school]]*50</f>
        <v>100</v>
      </c>
      <c r="BD457" s="557">
        <f>ROUND((WWWW[[#This Row],[Total PoP ]]/6),0)</f>
        <v>49</v>
      </c>
      <c r="BE457" s="557">
        <f>IF(WWWW[[#This Row],[Total required Latrines]]-(WWWW[[#This Row],['#_of_sanitary_fly-proof_HH_latrines]])&lt;0,0,WWWW[[#This Row],[Total required Latrines]]-(WWWW[[#This Row],['#_of_sanitary_fly-proof_HH_latrines]]))</f>
        <v>49</v>
      </c>
      <c r="BF457" s="558">
        <f>1-WWWW[[#This Row],[% people access to functioning Latrine]]</f>
        <v>0.65753424657534243</v>
      </c>
      <c r="BG45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7" s="565">
        <f>IF(WWWW[[#This Row],['#_of_functional_handwashing_facilities_at_HH_level]]*6&gt;WWWW[[#This Row],[Total PoP ]],WWWW[[#This Row],[Total PoP ]],WWWW[[#This Row],['#_of_functional_handwashing_facilities_at_HH_level]]*6)</f>
        <v>0</v>
      </c>
      <c r="BI457" s="557">
        <f>IF(WWWW[[#This Row],['# people reached by regular dedicated hygiene promotion]]&gt;WWWW[[#This Row],['# People received regular supply of hygiene items]],WWWW[[#This Row],['# people reached by regular dedicated hygiene promotion]],WWWW[[#This Row],['# People received regular supply of hygiene items]])</f>
        <v>0</v>
      </c>
      <c r="BJ457" s="555">
        <f>IF(WWWW[[#This Row],[HRP3]]/WWWW[[#This Row],[Total PoP ]]&gt;100%,100%,WWWW[[#This Row],[HRP3]]/WWWW[[#This Row],[Total PoP ]])</f>
        <v>0</v>
      </c>
      <c r="BK457" s="558">
        <f>1-WWWW[[#This Row],[Hygiene Coverage%]]</f>
        <v>1</v>
      </c>
      <c r="BL457" s="556">
        <f>WWWW[[#This Row],['# people reached by regular dedicated hygiene promotion]]/WWWW[[#This Row],[Total PoP ]]</f>
        <v>0</v>
      </c>
      <c r="BM45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7" s="557">
        <f>WWWW[[#This Row],['#_of_affected_women_and_girls_receiving_a_sufficient_quantity_of_sanitary_pads]]</f>
        <v>0</v>
      </c>
      <c r="BO457" s="611">
        <f>IF(WWWW[[#This Row],['# People with access to soap]]&gt;WWWW[[#This Row],['# People with access to Sanity Pads]],WWWW[[#This Row],['# People with access to soap]],WWWW[[#This Row],['# People with access to Sanity Pads]])</f>
        <v>0</v>
      </c>
      <c r="BP457" s="565" t="str">
        <f>IF(OR(WWWW[[#This Row],['#of students in school]]="",WWWW[[#This Row],['#of students in school]]=0),"No","Yes")</f>
        <v>Yes</v>
      </c>
      <c r="BQ457" s="559" t="str">
        <f>VLOOKUP(WWWW[[#This Row],[Village  Name]],SiteDB6[[Site Name]:[Location Type 1]],9,FALSE)</f>
        <v>Village</v>
      </c>
      <c r="BR457" s="559" t="str">
        <f>VLOOKUP(WWWW[[#This Row],[Village  Name]],SiteDB6[[Site Name]:[Type of Accommodation]],10,FALSE)</f>
        <v>Village</v>
      </c>
      <c r="BS457" s="559" t="str">
        <f>VLOOKUP(WWWW[[#This Row],[Village  Name]],SiteDB6[[Site Name]:[Ethnic or GCA/NGCA]],11,FALSE)</f>
        <v>Rakhine</v>
      </c>
      <c r="BT457" s="559">
        <f>VLOOKUP(WWWW[[#This Row],[Village  Name]],SiteDB6[[Site Name]:[Lat]],12,FALSE)</f>
        <v>20.899179459999999</v>
      </c>
      <c r="BU457" s="559">
        <f>VLOOKUP(WWWW[[#This Row],[Village  Name]],SiteDB6[[Site Name]:[Long]],13,FALSE)</f>
        <v>92.404052730000004</v>
      </c>
      <c r="BV457" s="559">
        <f>VLOOKUP(WWWW[[#This Row],[Village  Name]],SiteDB6[[Site Name]:[Pcode]],3,FALSE)</f>
        <v>197947</v>
      </c>
      <c r="BW457" s="559" t="str">
        <f t="shared" si="16"/>
        <v>Covered</v>
      </c>
      <c r="BX457" s="587"/>
    </row>
    <row r="458" spans="1:76">
      <c r="A458" s="612" t="s">
        <v>2381</v>
      </c>
      <c r="B458" s="612" t="s">
        <v>2864</v>
      </c>
      <c r="C458" s="457" t="s">
        <v>371</v>
      </c>
      <c r="D458" s="457" t="s">
        <v>3050</v>
      </c>
      <c r="E458" s="457" t="s">
        <v>2686</v>
      </c>
      <c r="F458" s="457" t="s">
        <v>307</v>
      </c>
      <c r="G458" s="551" t="str">
        <f>VLOOKUP(WWWW[[#This Row],[Village  Name]],SiteDB6[[Site Name]:[Location Type]],8,FALSE)</f>
        <v>Village</v>
      </c>
      <c r="H458" s="457" t="s">
        <v>3053</v>
      </c>
      <c r="I458" s="611">
        <v>65</v>
      </c>
      <c r="J458" s="611">
        <v>605</v>
      </c>
      <c r="K458" s="461">
        <v>43678</v>
      </c>
      <c r="L458" s="55">
        <v>44196</v>
      </c>
      <c r="M458" s="611">
        <v>55</v>
      </c>
      <c r="N458" s="611"/>
      <c r="O458" s="611"/>
      <c r="P458" s="611">
        <v>2</v>
      </c>
      <c r="Q458" s="611">
        <v>2</v>
      </c>
      <c r="R458" s="611">
        <v>2</v>
      </c>
      <c r="S458" s="611"/>
      <c r="T458" s="643"/>
      <c r="U458" s="611"/>
      <c r="V458" s="611" t="s">
        <v>128</v>
      </c>
      <c r="W458" s="611">
        <v>1</v>
      </c>
      <c r="X458" s="611"/>
      <c r="Y458" s="611"/>
      <c r="Z458" s="611"/>
      <c r="AA458" s="611"/>
      <c r="AB458" s="643"/>
      <c r="AC458" s="611"/>
      <c r="AD458" s="611"/>
      <c r="AE458" s="611"/>
      <c r="AF458" s="611"/>
      <c r="AG458" s="611"/>
      <c r="AH458" s="611"/>
      <c r="AI458" s="611"/>
      <c r="AJ458" s="611"/>
      <c r="AK458" s="611"/>
      <c r="AL458" s="611"/>
      <c r="AM458" s="643"/>
      <c r="AN458" s="611"/>
      <c r="AO458" s="611"/>
      <c r="AP45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58" s="565">
        <f>WWWW[[#This Row],[%Equitable and continuous access to sufficient quantity of safe drinking water]]*WWWW[[#This Row],[Total PoP ]]</f>
        <v>605</v>
      </c>
      <c r="AR45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58" s="565">
        <f>WWWW[[#This Row],[% Access to unimproved water points]]*WWWW[[#This Row],[Total PoP ]]</f>
        <v>605</v>
      </c>
      <c r="AT45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605</v>
      </c>
      <c r="AV458" s="565">
        <f>WWWW[[#This Row],[HRP1]]/250</f>
        <v>2.42</v>
      </c>
      <c r="AW458" s="555">
        <f>1-WWWW[[#This Row],[% Equitable and continuous access to sufficient quantity of domestic water]]</f>
        <v>0</v>
      </c>
      <c r="AX458" s="565">
        <f>WWWW[[#This Row],[%equitable and continuous access to sufficient quantity of safe drinking and domestic water''s GAP]]*WWWW[[#This Row],[Total PoP ]]</f>
        <v>0</v>
      </c>
      <c r="AY458" s="557">
        <f>IF(WWWW[[#This Row],[Total required water points]]-WWWW[[#This Row],['#Water points coverage]]&lt;0,0,WWWW[[#This Row],[Total required water points]]-WWWW[[#This Row],['#Water points coverage]])</f>
        <v>0</v>
      </c>
      <c r="AZ458" s="557">
        <f>ROUND(IF(WWWW[[#This Row],[Total PoP ]]&lt;250,1,WWWW[[#This Row],[Total PoP ]]/250),0)</f>
        <v>2</v>
      </c>
      <c r="BA45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8.2644628099173556E-2</v>
      </c>
      <c r="BB458" s="565">
        <f>WWWW[[#This Row],[% people access to functioning Latrine]]*WWWW[[#This Row],[Total PoP ]]</f>
        <v>50</v>
      </c>
      <c r="BC458" s="557">
        <f>WWWW[[#This Row],['#_of_Functioning_latrines_in_school]]*50</f>
        <v>50</v>
      </c>
      <c r="BD458" s="557">
        <f>ROUND((WWWW[[#This Row],[Total PoP ]]/6),0)</f>
        <v>101</v>
      </c>
      <c r="BE458" s="557">
        <f>IF(WWWW[[#This Row],[Total required Latrines]]-(WWWW[[#This Row],['#_of_sanitary_fly-proof_HH_latrines]])&lt;0,0,WWWW[[#This Row],[Total required Latrines]]-(WWWW[[#This Row],['#_of_sanitary_fly-proof_HH_latrines]]))</f>
        <v>101</v>
      </c>
      <c r="BF458" s="558">
        <f>1-WWWW[[#This Row],[% people access to functioning Latrine]]</f>
        <v>0.9173553719008265</v>
      </c>
      <c r="BG45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8" s="565">
        <f>IF(WWWW[[#This Row],['#_of_functional_handwashing_facilities_at_HH_level]]*6&gt;WWWW[[#This Row],[Total PoP ]],WWWW[[#This Row],[Total PoP ]],WWWW[[#This Row],['#_of_functional_handwashing_facilities_at_HH_level]]*6)</f>
        <v>0</v>
      </c>
      <c r="BI458" s="557">
        <f>IF(WWWW[[#This Row],['# people reached by regular dedicated hygiene promotion]]&gt;WWWW[[#This Row],['# People received regular supply of hygiene items]],WWWW[[#This Row],['# people reached by regular dedicated hygiene promotion]],WWWW[[#This Row],['# People received regular supply of hygiene items]])</f>
        <v>0</v>
      </c>
      <c r="BJ458" s="555">
        <f>IF(WWWW[[#This Row],[HRP3]]/WWWW[[#This Row],[Total PoP ]]&gt;100%,100%,WWWW[[#This Row],[HRP3]]/WWWW[[#This Row],[Total PoP ]])</f>
        <v>0</v>
      </c>
      <c r="BK458" s="558">
        <f>1-WWWW[[#This Row],[Hygiene Coverage%]]</f>
        <v>1</v>
      </c>
      <c r="BL458" s="556">
        <f>WWWW[[#This Row],['# people reached by regular dedicated hygiene promotion]]/WWWW[[#This Row],[Total PoP ]]</f>
        <v>0</v>
      </c>
      <c r="BM45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8" s="557">
        <f>WWWW[[#This Row],['#_of_affected_women_and_girls_receiving_a_sufficient_quantity_of_sanitary_pads]]</f>
        <v>0</v>
      </c>
      <c r="BO458" s="611">
        <f>IF(WWWW[[#This Row],['# People with access to soap]]&gt;WWWW[[#This Row],['# People with access to Sanity Pads]],WWWW[[#This Row],['# People with access to soap]],WWWW[[#This Row],['# People with access to Sanity Pads]])</f>
        <v>0</v>
      </c>
      <c r="BP458" s="565" t="str">
        <f>IF(OR(WWWW[[#This Row],['#of students in school]]="",WWWW[[#This Row],['#of students in school]]=0),"No","Yes")</f>
        <v>Yes</v>
      </c>
      <c r="BQ458" s="559" t="str">
        <f>VLOOKUP(WWWW[[#This Row],[Village  Name]],SiteDB6[[Site Name]:[Location Type 1]],9,FALSE)</f>
        <v>Village</v>
      </c>
      <c r="BR458" s="559" t="str">
        <f>VLOOKUP(WWWW[[#This Row],[Village  Name]],SiteDB6[[Site Name]:[Type of Accommodation]],10,FALSE)</f>
        <v>Village</v>
      </c>
      <c r="BS458" s="559" t="str">
        <f>VLOOKUP(WWWW[[#This Row],[Village  Name]],SiteDB6[[Site Name]:[Ethnic or GCA/NGCA]],11,FALSE)</f>
        <v>Muslim</v>
      </c>
      <c r="BT458" s="559">
        <f>VLOOKUP(WWWW[[#This Row],[Village  Name]],SiteDB6[[Site Name]:[Lat]],12,FALSE)</f>
        <v>20.895000459999999</v>
      </c>
      <c r="BU458" s="559">
        <f>VLOOKUP(WWWW[[#This Row],[Village  Name]],SiteDB6[[Site Name]:[Long]],13,FALSE)</f>
        <v>92.398574830000001</v>
      </c>
      <c r="BV458" s="559">
        <f>VLOOKUP(WWWW[[#This Row],[Village  Name]],SiteDB6[[Site Name]:[Pcode]],3,FALSE)</f>
        <v>197943</v>
      </c>
      <c r="BW458" s="559" t="str">
        <f t="shared" si="16"/>
        <v>Covered</v>
      </c>
      <c r="BX458" s="587"/>
    </row>
    <row r="459" spans="1:76">
      <c r="A459" s="612" t="s">
        <v>2381</v>
      </c>
      <c r="B459" s="612" t="s">
        <v>2864</v>
      </c>
      <c r="C459" s="457" t="s">
        <v>371</v>
      </c>
      <c r="D459" s="457" t="s">
        <v>3050</v>
      </c>
      <c r="E459" s="457" t="s">
        <v>2686</v>
      </c>
      <c r="F459" s="457" t="s">
        <v>307</v>
      </c>
      <c r="G459" s="551" t="str">
        <f>VLOOKUP(WWWW[[#This Row],[Village  Name]],SiteDB6[[Site Name]:[Location Type]],8,FALSE)</f>
        <v>Village</v>
      </c>
      <c r="H459" s="457" t="s">
        <v>3054</v>
      </c>
      <c r="I459" s="611">
        <v>55</v>
      </c>
      <c r="J459" s="611">
        <v>253</v>
      </c>
      <c r="K459" s="461">
        <v>43678</v>
      </c>
      <c r="L459" s="55">
        <v>44196</v>
      </c>
      <c r="M459" s="611">
        <v>50</v>
      </c>
      <c r="N459" s="611"/>
      <c r="O459" s="611"/>
      <c r="P459" s="611">
        <v>3</v>
      </c>
      <c r="Q459" s="611">
        <v>1</v>
      </c>
      <c r="R459" s="611">
        <v>1</v>
      </c>
      <c r="S459" s="611"/>
      <c r="T459" s="643"/>
      <c r="U459" s="611"/>
      <c r="V459" s="611" t="s">
        <v>128</v>
      </c>
      <c r="W459" s="611">
        <v>2</v>
      </c>
      <c r="X459" s="611"/>
      <c r="Y459" s="611"/>
      <c r="Z459" s="611"/>
      <c r="AA459" s="611"/>
      <c r="AB459" s="643"/>
      <c r="AC459" s="611"/>
      <c r="AD459" s="611"/>
      <c r="AE459" s="611"/>
      <c r="AF459" s="611"/>
      <c r="AG459" s="611"/>
      <c r="AH459" s="611"/>
      <c r="AI459" s="611"/>
      <c r="AJ459" s="611"/>
      <c r="AK459" s="611"/>
      <c r="AL459" s="611"/>
      <c r="AM459" s="643"/>
      <c r="AN459" s="611"/>
      <c r="AO459" s="611"/>
      <c r="AP45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59" s="565">
        <f>WWWW[[#This Row],[%Equitable and continuous access to sufficient quantity of safe drinking water]]*WWWW[[#This Row],[Total PoP ]]</f>
        <v>253</v>
      </c>
      <c r="AR45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59" s="565">
        <f>WWWW[[#This Row],[% Access to unimproved water points]]*WWWW[[#This Row],[Total PoP ]]</f>
        <v>253</v>
      </c>
      <c r="AT45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5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AV459" s="565">
        <f>WWWW[[#This Row],[HRP1]]/250</f>
        <v>1.012</v>
      </c>
      <c r="AW459" s="555">
        <f>1-WWWW[[#This Row],[% Equitable and continuous access to sufficient quantity of domestic water]]</f>
        <v>0</v>
      </c>
      <c r="AX459" s="565">
        <f>WWWW[[#This Row],[%equitable and continuous access to sufficient quantity of safe drinking and domestic water''s GAP]]*WWWW[[#This Row],[Total PoP ]]</f>
        <v>0</v>
      </c>
      <c r="AY459" s="557">
        <f>IF(WWWW[[#This Row],[Total required water points]]-WWWW[[#This Row],['#Water points coverage]]&lt;0,0,WWWW[[#This Row],[Total required water points]]-WWWW[[#This Row],['#Water points coverage]])</f>
        <v>0</v>
      </c>
      <c r="AZ459" s="557">
        <f>ROUND(IF(WWWW[[#This Row],[Total PoP ]]&lt;250,1,WWWW[[#This Row],[Total PoP ]]/250),0)</f>
        <v>1</v>
      </c>
      <c r="BA45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0.39525691699604742</v>
      </c>
      <c r="BB459" s="565">
        <f>WWWW[[#This Row],[% people access to functioning Latrine]]*WWWW[[#This Row],[Total PoP ]]</f>
        <v>100</v>
      </c>
      <c r="BC459" s="557">
        <f>WWWW[[#This Row],['#_of_Functioning_latrines_in_school]]*50</f>
        <v>100</v>
      </c>
      <c r="BD459" s="557">
        <f>ROUND((WWWW[[#This Row],[Total PoP ]]/6),0)</f>
        <v>42</v>
      </c>
      <c r="BE459" s="557">
        <f>IF(WWWW[[#This Row],[Total required Latrines]]-(WWWW[[#This Row],['#_of_sanitary_fly-proof_HH_latrines]])&lt;0,0,WWWW[[#This Row],[Total required Latrines]]-(WWWW[[#This Row],['#_of_sanitary_fly-proof_HH_latrines]]))</f>
        <v>42</v>
      </c>
      <c r="BF459" s="558">
        <f>1-WWWW[[#This Row],[% people access to functioning Latrine]]</f>
        <v>0.60474308300395263</v>
      </c>
      <c r="BG45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59" s="565">
        <f>IF(WWWW[[#This Row],['#_of_functional_handwashing_facilities_at_HH_level]]*6&gt;WWWW[[#This Row],[Total PoP ]],WWWW[[#This Row],[Total PoP ]],WWWW[[#This Row],['#_of_functional_handwashing_facilities_at_HH_level]]*6)</f>
        <v>0</v>
      </c>
      <c r="BI459" s="557">
        <f>IF(WWWW[[#This Row],['# people reached by regular dedicated hygiene promotion]]&gt;WWWW[[#This Row],['# People received regular supply of hygiene items]],WWWW[[#This Row],['# people reached by regular dedicated hygiene promotion]],WWWW[[#This Row],['# People received regular supply of hygiene items]])</f>
        <v>0</v>
      </c>
      <c r="BJ459" s="555">
        <f>IF(WWWW[[#This Row],[HRP3]]/WWWW[[#This Row],[Total PoP ]]&gt;100%,100%,WWWW[[#This Row],[HRP3]]/WWWW[[#This Row],[Total PoP ]])</f>
        <v>0</v>
      </c>
      <c r="BK459" s="558">
        <f>1-WWWW[[#This Row],[Hygiene Coverage%]]</f>
        <v>1</v>
      </c>
      <c r="BL459" s="556">
        <f>WWWW[[#This Row],['# people reached by regular dedicated hygiene promotion]]/WWWW[[#This Row],[Total PoP ]]</f>
        <v>0</v>
      </c>
      <c r="BM45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59" s="557">
        <f>WWWW[[#This Row],['#_of_affected_women_and_girls_receiving_a_sufficient_quantity_of_sanitary_pads]]</f>
        <v>0</v>
      </c>
      <c r="BO459" s="611">
        <f>IF(WWWW[[#This Row],['# People with access to soap]]&gt;WWWW[[#This Row],['# People with access to Sanity Pads]],WWWW[[#This Row],['# People with access to soap]],WWWW[[#This Row],['# People with access to Sanity Pads]])</f>
        <v>0</v>
      </c>
      <c r="BP459" s="565" t="str">
        <f>IF(OR(WWWW[[#This Row],['#of students in school]]="",WWWW[[#This Row],['#of students in school]]=0),"No","Yes")</f>
        <v>Yes</v>
      </c>
      <c r="BQ459" s="559" t="str">
        <f>VLOOKUP(WWWW[[#This Row],[Village  Name]],SiteDB6[[Site Name]:[Location Type 1]],9,FALSE)</f>
        <v>Village</v>
      </c>
      <c r="BR459" s="559" t="str">
        <f>VLOOKUP(WWWW[[#This Row],[Village  Name]],SiteDB6[[Site Name]:[Type of Accommodation]],10,FALSE)</f>
        <v>Village</v>
      </c>
      <c r="BS459" s="559" t="str">
        <f>VLOOKUP(WWWW[[#This Row],[Village  Name]],SiteDB6[[Site Name]:[Ethnic or GCA/NGCA]],11,FALSE)</f>
        <v>Rakhine</v>
      </c>
      <c r="BT459" s="559">
        <f>VLOOKUP(WWWW[[#This Row],[Village  Name]],SiteDB6[[Site Name]:[Lat]],12,FALSE)</f>
        <v>0</v>
      </c>
      <c r="BU459" s="559">
        <f>VLOOKUP(WWWW[[#This Row],[Village  Name]],SiteDB6[[Site Name]:[Long]],13,FALSE)</f>
        <v>0</v>
      </c>
      <c r="BV459" s="559">
        <f>VLOOKUP(WWWW[[#This Row],[Village  Name]],SiteDB6[[Site Name]:[Pcode]],3,FALSE)</f>
        <v>0</v>
      </c>
      <c r="BW459" s="559" t="str">
        <f t="shared" si="16"/>
        <v>Covered</v>
      </c>
      <c r="BX459" s="587"/>
    </row>
    <row r="460" spans="1:76">
      <c r="A460" s="612" t="s">
        <v>2381</v>
      </c>
      <c r="B460" s="612" t="s">
        <v>2864</v>
      </c>
      <c r="C460" s="457" t="s">
        <v>371</v>
      </c>
      <c r="D460" s="457" t="s">
        <v>3050</v>
      </c>
      <c r="E460" s="457" t="s">
        <v>2686</v>
      </c>
      <c r="F460" s="457" t="s">
        <v>307</v>
      </c>
      <c r="G460" s="551" t="str">
        <f>VLOOKUP(WWWW[[#This Row],[Village  Name]],SiteDB6[[Site Name]:[Location Type]],8,FALSE)</f>
        <v>Village</v>
      </c>
      <c r="H460" s="457" t="s">
        <v>3055</v>
      </c>
      <c r="I460" s="611">
        <v>54</v>
      </c>
      <c r="J460" s="611">
        <v>270</v>
      </c>
      <c r="K460" s="461">
        <v>43678</v>
      </c>
      <c r="L460" s="55">
        <v>44196</v>
      </c>
      <c r="M460" s="611">
        <v>45</v>
      </c>
      <c r="N460" s="611"/>
      <c r="O460" s="611"/>
      <c r="P460" s="611">
        <v>2</v>
      </c>
      <c r="Q460" s="611">
        <v>1</v>
      </c>
      <c r="R460" s="611">
        <v>1</v>
      </c>
      <c r="S460" s="611"/>
      <c r="T460" s="643"/>
      <c r="U460" s="611"/>
      <c r="V460" s="611" t="s">
        <v>128</v>
      </c>
      <c r="W460" s="611">
        <v>4</v>
      </c>
      <c r="X460" s="611"/>
      <c r="Y460" s="611"/>
      <c r="Z460" s="611"/>
      <c r="AA460" s="611"/>
      <c r="AB460" s="643"/>
      <c r="AC460" s="611"/>
      <c r="AD460" s="611"/>
      <c r="AE460" s="611"/>
      <c r="AF460" s="611"/>
      <c r="AG460" s="611"/>
      <c r="AH460" s="611"/>
      <c r="AI460" s="611"/>
      <c r="AJ460" s="611"/>
      <c r="AK460" s="611"/>
      <c r="AL460" s="611"/>
      <c r="AM460" s="643"/>
      <c r="AN460" s="611"/>
      <c r="AO460" s="611"/>
      <c r="AP46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60" s="565">
        <f>WWWW[[#This Row],[%Equitable and continuous access to sufficient quantity of safe drinking water]]*WWWW[[#This Row],[Total PoP ]]</f>
        <v>270</v>
      </c>
      <c r="AR46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60" s="565">
        <f>WWWW[[#This Row],[% Access to unimproved water points]]*WWWW[[#This Row],[Total PoP ]]</f>
        <v>270</v>
      </c>
      <c r="AT46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6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AV460" s="565">
        <f>WWWW[[#This Row],[HRP1]]/250</f>
        <v>1.08</v>
      </c>
      <c r="AW460" s="555">
        <f>1-WWWW[[#This Row],[% Equitable and continuous access to sufficient quantity of domestic water]]</f>
        <v>0</v>
      </c>
      <c r="AX460" s="565">
        <f>WWWW[[#This Row],[%equitable and continuous access to sufficient quantity of safe drinking and domestic water''s GAP]]*WWWW[[#This Row],[Total PoP ]]</f>
        <v>0</v>
      </c>
      <c r="AY460" s="557">
        <f>IF(WWWW[[#This Row],[Total required water points]]-WWWW[[#This Row],['#Water points coverage]]&lt;0,0,WWWW[[#This Row],[Total required water points]]-WWWW[[#This Row],['#Water points coverage]])</f>
        <v>0</v>
      </c>
      <c r="AZ460" s="557">
        <f>ROUND(IF(WWWW[[#This Row],[Total PoP ]]&lt;250,1,WWWW[[#This Row],[Total PoP ]]/250),0)</f>
        <v>1</v>
      </c>
      <c r="BA46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0.7407407407407407</v>
      </c>
      <c r="BB460" s="565">
        <f>WWWW[[#This Row],[% people access to functioning Latrine]]*WWWW[[#This Row],[Total PoP ]]</f>
        <v>200</v>
      </c>
      <c r="BC460" s="557">
        <f>WWWW[[#This Row],['#_of_Functioning_latrines_in_school]]*50</f>
        <v>200</v>
      </c>
      <c r="BD460" s="557">
        <f>ROUND((WWWW[[#This Row],[Total PoP ]]/6),0)</f>
        <v>45</v>
      </c>
      <c r="BE460" s="557">
        <f>IF(WWWW[[#This Row],[Total required Latrines]]-(WWWW[[#This Row],['#_of_sanitary_fly-proof_HH_latrines]])&lt;0,0,WWWW[[#This Row],[Total required Latrines]]-(WWWW[[#This Row],['#_of_sanitary_fly-proof_HH_latrines]]))</f>
        <v>45</v>
      </c>
      <c r="BF460" s="558">
        <f>1-WWWW[[#This Row],[% people access to functioning Latrine]]</f>
        <v>0.2592592592592593</v>
      </c>
      <c r="BG46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0" s="565">
        <f>IF(WWWW[[#This Row],['#_of_functional_handwashing_facilities_at_HH_level]]*6&gt;WWWW[[#This Row],[Total PoP ]],WWWW[[#This Row],[Total PoP ]],WWWW[[#This Row],['#_of_functional_handwashing_facilities_at_HH_level]]*6)</f>
        <v>0</v>
      </c>
      <c r="BI460" s="557">
        <f>IF(WWWW[[#This Row],['# people reached by regular dedicated hygiene promotion]]&gt;WWWW[[#This Row],['# People received regular supply of hygiene items]],WWWW[[#This Row],['# people reached by regular dedicated hygiene promotion]],WWWW[[#This Row],['# People received regular supply of hygiene items]])</f>
        <v>0</v>
      </c>
      <c r="BJ460" s="555">
        <f>IF(WWWW[[#This Row],[HRP3]]/WWWW[[#This Row],[Total PoP ]]&gt;100%,100%,WWWW[[#This Row],[HRP3]]/WWWW[[#This Row],[Total PoP ]])</f>
        <v>0</v>
      </c>
      <c r="BK460" s="558">
        <f>1-WWWW[[#This Row],[Hygiene Coverage%]]</f>
        <v>1</v>
      </c>
      <c r="BL460" s="556">
        <f>WWWW[[#This Row],['# people reached by regular dedicated hygiene promotion]]/WWWW[[#This Row],[Total PoP ]]</f>
        <v>0</v>
      </c>
      <c r="BM46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0" s="557">
        <f>WWWW[[#This Row],['#_of_affected_women_and_girls_receiving_a_sufficient_quantity_of_sanitary_pads]]</f>
        <v>0</v>
      </c>
      <c r="BO460" s="611">
        <f>IF(WWWW[[#This Row],['# People with access to soap]]&gt;WWWW[[#This Row],['# People with access to Sanity Pads]],WWWW[[#This Row],['# People with access to soap]],WWWW[[#This Row],['# People with access to Sanity Pads]])</f>
        <v>0</v>
      </c>
      <c r="BP460" s="565" t="str">
        <f>IF(OR(WWWW[[#This Row],['#of students in school]]="",WWWW[[#This Row],['#of students in school]]=0),"No","Yes")</f>
        <v>Yes</v>
      </c>
      <c r="BQ460" s="559" t="str">
        <f>VLOOKUP(WWWW[[#This Row],[Village  Name]],SiteDB6[[Site Name]:[Location Type 1]],9,FALSE)</f>
        <v>Village</v>
      </c>
      <c r="BR460" s="559" t="str">
        <f>VLOOKUP(WWWW[[#This Row],[Village  Name]],SiteDB6[[Site Name]:[Type of Accommodation]],10,FALSE)</f>
        <v>Village</v>
      </c>
      <c r="BS460" s="559" t="str">
        <f>VLOOKUP(WWWW[[#This Row],[Village  Name]],SiteDB6[[Site Name]:[Ethnic or GCA/NGCA]],11,FALSE)</f>
        <v>Rakhine</v>
      </c>
      <c r="BT460" s="559">
        <f>VLOOKUP(WWWW[[#This Row],[Village  Name]],SiteDB6[[Site Name]:[Lat]],12,FALSE)</f>
        <v>0</v>
      </c>
      <c r="BU460" s="559">
        <f>VLOOKUP(WWWW[[#This Row],[Village  Name]],SiteDB6[[Site Name]:[Long]],13,FALSE)</f>
        <v>0</v>
      </c>
      <c r="BV460" s="559">
        <f>VLOOKUP(WWWW[[#This Row],[Village  Name]],SiteDB6[[Site Name]:[Pcode]],3,FALSE)</f>
        <v>0</v>
      </c>
      <c r="BW460" s="559" t="str">
        <f t="shared" si="16"/>
        <v>Covered</v>
      </c>
      <c r="BX460" s="587"/>
    </row>
    <row r="461" spans="1:76">
      <c r="A461" s="612" t="s">
        <v>2381</v>
      </c>
      <c r="B461" s="612" t="s">
        <v>2864</v>
      </c>
      <c r="C461" s="457" t="s">
        <v>371</v>
      </c>
      <c r="D461" s="457" t="s">
        <v>3050</v>
      </c>
      <c r="E461" s="457" t="s">
        <v>2686</v>
      </c>
      <c r="F461" s="457" t="s">
        <v>307</v>
      </c>
      <c r="G461" s="551" t="str">
        <f>VLOOKUP(WWWW[[#This Row],[Village  Name]],SiteDB6[[Site Name]:[Location Type]],8,FALSE)</f>
        <v>Village</v>
      </c>
      <c r="H461" s="457" t="s">
        <v>3056</v>
      </c>
      <c r="I461" s="611">
        <v>122</v>
      </c>
      <c r="J461" s="611">
        <v>693</v>
      </c>
      <c r="K461" s="461">
        <v>43678</v>
      </c>
      <c r="L461" s="55">
        <v>44196</v>
      </c>
      <c r="M461" s="611">
        <v>178</v>
      </c>
      <c r="N461" s="611"/>
      <c r="O461" s="611">
        <v>2</v>
      </c>
      <c r="P461" s="611">
        <v>40</v>
      </c>
      <c r="Q461" s="611"/>
      <c r="R461" s="611">
        <v>1</v>
      </c>
      <c r="S461" s="611"/>
      <c r="T461" s="643"/>
      <c r="U461" s="611"/>
      <c r="V461" s="611" t="s">
        <v>128</v>
      </c>
      <c r="W461" s="611">
        <v>6</v>
      </c>
      <c r="X461" s="611"/>
      <c r="Y461" s="611"/>
      <c r="Z461" s="611"/>
      <c r="AA461" s="611"/>
      <c r="AB461" s="643"/>
      <c r="AC461" s="611"/>
      <c r="AD461" s="611"/>
      <c r="AE461" s="611"/>
      <c r="AF461" s="611"/>
      <c r="AG461" s="611"/>
      <c r="AH461" s="611"/>
      <c r="AI461" s="611"/>
      <c r="AJ461" s="611"/>
      <c r="AK461" s="611"/>
      <c r="AL461" s="611"/>
      <c r="AM461" s="643"/>
      <c r="AN461" s="611"/>
      <c r="AO461" s="611"/>
      <c r="AP46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61" s="565">
        <f>WWWW[[#This Row],[%Equitable and continuous access to sufficient quantity of safe drinking water]]*WWWW[[#This Row],[Total PoP ]]</f>
        <v>693</v>
      </c>
      <c r="AR46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1.443001443001443E-3</v>
      </c>
      <c r="AS461" s="565">
        <f>WWWW[[#This Row],[% Access to unimproved water points]]*WWWW[[#This Row],[Total PoP ]]</f>
        <v>1</v>
      </c>
      <c r="AT46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6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693</v>
      </c>
      <c r="AV461" s="565">
        <f>WWWW[[#This Row],[HRP1]]/250</f>
        <v>2.7719999999999998</v>
      </c>
      <c r="AW461" s="555">
        <f>1-WWWW[[#This Row],[% Equitable and continuous access to sufficient quantity of domestic water]]</f>
        <v>0</v>
      </c>
      <c r="AX461" s="565">
        <f>WWWW[[#This Row],[%equitable and continuous access to sufficient quantity of safe drinking and domestic water''s GAP]]*WWWW[[#This Row],[Total PoP ]]</f>
        <v>0</v>
      </c>
      <c r="AY461" s="557">
        <f>IF(WWWW[[#This Row],[Total required water points]]-WWWW[[#This Row],['#Water points coverage]]&lt;0,0,WWWW[[#This Row],[Total required water points]]-WWWW[[#This Row],['#Water points coverage]])</f>
        <v>0.2280000000000002</v>
      </c>
      <c r="AZ461" s="557">
        <f>ROUND(IF(WWWW[[#This Row],[Total PoP ]]&lt;250,1,WWWW[[#This Row],[Total PoP ]]/250),0)</f>
        <v>3</v>
      </c>
      <c r="BA46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0.4329004329004329</v>
      </c>
      <c r="BB461" s="565">
        <f>WWWW[[#This Row],[% people access to functioning Latrine]]*WWWW[[#This Row],[Total PoP ]]</f>
        <v>300</v>
      </c>
      <c r="BC461" s="557">
        <f>WWWW[[#This Row],['#_of_Functioning_latrines_in_school]]*50</f>
        <v>300</v>
      </c>
      <c r="BD461" s="557">
        <f>ROUND((WWWW[[#This Row],[Total PoP ]]/6),0)</f>
        <v>116</v>
      </c>
      <c r="BE461" s="557">
        <f>IF(WWWW[[#This Row],[Total required Latrines]]-(WWWW[[#This Row],['#_of_sanitary_fly-proof_HH_latrines]])&lt;0,0,WWWW[[#This Row],[Total required Latrines]]-(WWWW[[#This Row],['#_of_sanitary_fly-proof_HH_latrines]]))</f>
        <v>116</v>
      </c>
      <c r="BF461" s="558">
        <f>1-WWWW[[#This Row],[% people access to functioning Latrine]]</f>
        <v>0.5670995670995671</v>
      </c>
      <c r="BG46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1" s="565">
        <f>IF(WWWW[[#This Row],['#_of_functional_handwashing_facilities_at_HH_level]]*6&gt;WWWW[[#This Row],[Total PoP ]],WWWW[[#This Row],[Total PoP ]],WWWW[[#This Row],['#_of_functional_handwashing_facilities_at_HH_level]]*6)</f>
        <v>0</v>
      </c>
      <c r="BI461" s="557">
        <f>IF(WWWW[[#This Row],['# people reached by regular dedicated hygiene promotion]]&gt;WWWW[[#This Row],['# People received regular supply of hygiene items]],WWWW[[#This Row],['# people reached by regular dedicated hygiene promotion]],WWWW[[#This Row],['# People received regular supply of hygiene items]])</f>
        <v>0</v>
      </c>
      <c r="BJ461" s="555">
        <f>IF(WWWW[[#This Row],[HRP3]]/WWWW[[#This Row],[Total PoP ]]&gt;100%,100%,WWWW[[#This Row],[HRP3]]/WWWW[[#This Row],[Total PoP ]])</f>
        <v>0</v>
      </c>
      <c r="BK461" s="558">
        <f>1-WWWW[[#This Row],[Hygiene Coverage%]]</f>
        <v>1</v>
      </c>
      <c r="BL461" s="556">
        <f>WWWW[[#This Row],['# people reached by regular dedicated hygiene promotion]]/WWWW[[#This Row],[Total PoP ]]</f>
        <v>0</v>
      </c>
      <c r="BM46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1" s="557">
        <f>WWWW[[#This Row],['#_of_affected_women_and_girls_receiving_a_sufficient_quantity_of_sanitary_pads]]</f>
        <v>0</v>
      </c>
      <c r="BO461" s="611">
        <f>IF(WWWW[[#This Row],['# People with access to soap]]&gt;WWWW[[#This Row],['# People with access to Sanity Pads]],WWWW[[#This Row],['# People with access to soap]],WWWW[[#This Row],['# People with access to Sanity Pads]])</f>
        <v>0</v>
      </c>
      <c r="BP461" s="565" t="str">
        <f>IF(OR(WWWW[[#This Row],['#of students in school]]="",WWWW[[#This Row],['#of students in school]]=0),"No","Yes")</f>
        <v>Yes</v>
      </c>
      <c r="BQ461" s="559" t="str">
        <f>VLOOKUP(WWWW[[#This Row],[Village  Name]],SiteDB6[[Site Name]:[Location Type 1]],9,FALSE)</f>
        <v>Village</v>
      </c>
      <c r="BR461" s="559" t="str">
        <f>VLOOKUP(WWWW[[#This Row],[Village  Name]],SiteDB6[[Site Name]:[Type of Accommodation]],10,FALSE)</f>
        <v>Village</v>
      </c>
      <c r="BS461" s="559" t="str">
        <f>VLOOKUP(WWWW[[#This Row],[Village  Name]],SiteDB6[[Site Name]:[Ethnic or GCA/NGCA]],11,FALSE)</f>
        <v>Rakhine</v>
      </c>
      <c r="BT461" s="559">
        <f>VLOOKUP(WWWW[[#This Row],[Village  Name]],SiteDB6[[Site Name]:[Lat]],12,FALSE)</f>
        <v>0</v>
      </c>
      <c r="BU461" s="559">
        <f>VLOOKUP(WWWW[[#This Row],[Village  Name]],SiteDB6[[Site Name]:[Long]],13,FALSE)</f>
        <v>0</v>
      </c>
      <c r="BV461" s="559">
        <f>VLOOKUP(WWWW[[#This Row],[Village  Name]],SiteDB6[[Site Name]:[Pcode]],3,FALSE)</f>
        <v>0</v>
      </c>
      <c r="BW461" s="559" t="str">
        <f t="shared" si="16"/>
        <v>Covered</v>
      </c>
      <c r="BX461" s="587"/>
    </row>
    <row r="462" spans="1:76">
      <c r="A462" s="612" t="s">
        <v>2381</v>
      </c>
      <c r="B462" s="612" t="s">
        <v>2864</v>
      </c>
      <c r="C462" s="457" t="s">
        <v>371</v>
      </c>
      <c r="D462" s="457" t="s">
        <v>3050</v>
      </c>
      <c r="E462" s="457" t="s">
        <v>2686</v>
      </c>
      <c r="F462" s="457" t="s">
        <v>307</v>
      </c>
      <c r="G462" s="551" t="str">
        <f>VLOOKUP(WWWW[[#This Row],[Village  Name]],SiteDB6[[Site Name]:[Location Type]],8,FALSE)</f>
        <v>Village</v>
      </c>
      <c r="H462" s="457" t="s">
        <v>2095</v>
      </c>
      <c r="I462" s="611">
        <v>108</v>
      </c>
      <c r="J462" s="611">
        <v>522</v>
      </c>
      <c r="K462" s="461">
        <v>43678</v>
      </c>
      <c r="L462" s="55">
        <v>44196</v>
      </c>
      <c r="M462" s="611">
        <v>57</v>
      </c>
      <c r="N462" s="611"/>
      <c r="O462" s="611">
        <v>2</v>
      </c>
      <c r="P462" s="611">
        <v>5</v>
      </c>
      <c r="Q462" s="611">
        <v>1</v>
      </c>
      <c r="R462" s="611">
        <v>1</v>
      </c>
      <c r="S462" s="611"/>
      <c r="T462" s="643"/>
      <c r="U462" s="611"/>
      <c r="V462" s="611" t="s">
        <v>128</v>
      </c>
      <c r="W462" s="611">
        <v>3</v>
      </c>
      <c r="X462" s="611"/>
      <c r="Y462" s="611"/>
      <c r="Z462" s="611"/>
      <c r="AA462" s="611"/>
      <c r="AB462" s="643"/>
      <c r="AC462" s="611"/>
      <c r="AD462" s="611"/>
      <c r="AE462" s="611"/>
      <c r="AF462" s="611"/>
      <c r="AG462" s="611"/>
      <c r="AH462" s="611"/>
      <c r="AI462" s="611"/>
      <c r="AJ462" s="611"/>
      <c r="AK462" s="611"/>
      <c r="AL462" s="611"/>
      <c r="AM462" s="643"/>
      <c r="AN462" s="611"/>
      <c r="AO462" s="611"/>
      <c r="AP46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62" s="565">
        <f>WWWW[[#This Row],[%Equitable and continuous access to sufficient quantity of safe drinking water]]*WWWW[[#This Row],[Total PoP ]]</f>
        <v>522</v>
      </c>
      <c r="AR46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62" s="565">
        <f>WWWW[[#This Row],[% Access to unimproved water points]]*WWWW[[#This Row],[Total PoP ]]</f>
        <v>522</v>
      </c>
      <c r="AT46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6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522</v>
      </c>
      <c r="AV462" s="565">
        <f>WWWW[[#This Row],[HRP1]]/250</f>
        <v>2.0880000000000001</v>
      </c>
      <c r="AW462" s="555">
        <f>1-WWWW[[#This Row],[% Equitable and continuous access to sufficient quantity of domestic water]]</f>
        <v>0</v>
      </c>
      <c r="AX462" s="565">
        <f>WWWW[[#This Row],[%equitable and continuous access to sufficient quantity of safe drinking and domestic water''s GAP]]*WWWW[[#This Row],[Total PoP ]]</f>
        <v>0</v>
      </c>
      <c r="AY462" s="557">
        <f>IF(WWWW[[#This Row],[Total required water points]]-WWWW[[#This Row],['#Water points coverage]]&lt;0,0,WWWW[[#This Row],[Total required water points]]-WWWW[[#This Row],['#Water points coverage]])</f>
        <v>0</v>
      </c>
      <c r="AZ462" s="557">
        <f>ROUND(IF(WWWW[[#This Row],[Total PoP ]]&lt;250,1,WWWW[[#This Row],[Total PoP ]]/250),0)</f>
        <v>2</v>
      </c>
      <c r="BA46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0.28735632183908044</v>
      </c>
      <c r="BB462" s="565">
        <f>WWWW[[#This Row],[% people access to functioning Latrine]]*WWWW[[#This Row],[Total PoP ]]</f>
        <v>150</v>
      </c>
      <c r="BC462" s="557">
        <f>WWWW[[#This Row],['#_of_Functioning_latrines_in_school]]*50</f>
        <v>150</v>
      </c>
      <c r="BD462" s="557">
        <f>ROUND((WWWW[[#This Row],[Total PoP ]]/6),0)</f>
        <v>87</v>
      </c>
      <c r="BE462" s="557">
        <f>IF(WWWW[[#This Row],[Total required Latrines]]-(WWWW[[#This Row],['#_of_sanitary_fly-proof_HH_latrines]])&lt;0,0,WWWW[[#This Row],[Total required Latrines]]-(WWWW[[#This Row],['#_of_sanitary_fly-proof_HH_latrines]]))</f>
        <v>87</v>
      </c>
      <c r="BF462" s="558">
        <f>1-WWWW[[#This Row],[% people access to functioning Latrine]]</f>
        <v>0.71264367816091956</v>
      </c>
      <c r="BG46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2" s="565">
        <f>IF(WWWW[[#This Row],['#_of_functional_handwashing_facilities_at_HH_level]]*6&gt;WWWW[[#This Row],[Total PoP ]],WWWW[[#This Row],[Total PoP ]],WWWW[[#This Row],['#_of_functional_handwashing_facilities_at_HH_level]]*6)</f>
        <v>0</v>
      </c>
      <c r="BI462" s="557">
        <f>IF(WWWW[[#This Row],['# people reached by regular dedicated hygiene promotion]]&gt;WWWW[[#This Row],['# People received regular supply of hygiene items]],WWWW[[#This Row],['# people reached by regular dedicated hygiene promotion]],WWWW[[#This Row],['# People received regular supply of hygiene items]])</f>
        <v>0</v>
      </c>
      <c r="BJ462" s="555">
        <f>IF(WWWW[[#This Row],[HRP3]]/WWWW[[#This Row],[Total PoP ]]&gt;100%,100%,WWWW[[#This Row],[HRP3]]/WWWW[[#This Row],[Total PoP ]])</f>
        <v>0</v>
      </c>
      <c r="BK462" s="558">
        <f>1-WWWW[[#This Row],[Hygiene Coverage%]]</f>
        <v>1</v>
      </c>
      <c r="BL462" s="556">
        <f>WWWW[[#This Row],['# people reached by regular dedicated hygiene promotion]]/WWWW[[#This Row],[Total PoP ]]</f>
        <v>0</v>
      </c>
      <c r="BM46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2" s="557">
        <f>WWWW[[#This Row],['#_of_affected_women_and_girls_receiving_a_sufficient_quantity_of_sanitary_pads]]</f>
        <v>0</v>
      </c>
      <c r="BO462" s="611">
        <f>IF(WWWW[[#This Row],['# People with access to soap]]&gt;WWWW[[#This Row],['# People with access to Sanity Pads]],WWWW[[#This Row],['# People with access to soap]],WWWW[[#This Row],['# People with access to Sanity Pads]])</f>
        <v>0</v>
      </c>
      <c r="BP462" s="565" t="str">
        <f>IF(OR(WWWW[[#This Row],['#of students in school]]="",WWWW[[#This Row],['#of students in school]]=0),"No","Yes")</f>
        <v>Yes</v>
      </c>
      <c r="BQ462" s="559" t="str">
        <f>VLOOKUP(WWWW[[#This Row],[Village  Name]],SiteDB6[[Site Name]:[Location Type 1]],9,FALSE)</f>
        <v>Village</v>
      </c>
      <c r="BR462" s="559" t="str">
        <f>VLOOKUP(WWWW[[#This Row],[Village  Name]],SiteDB6[[Site Name]:[Type of Accommodation]],10,FALSE)</f>
        <v>Village</v>
      </c>
      <c r="BS462" s="559" t="str">
        <f>VLOOKUP(WWWW[[#This Row],[Village  Name]],SiteDB6[[Site Name]:[Ethnic or GCA/NGCA]],11,FALSE)</f>
        <v>Rakhine</v>
      </c>
      <c r="BT462" s="559">
        <f>VLOOKUP(WWWW[[#This Row],[Village  Name]],SiteDB6[[Site Name]:[Lat]],12,FALSE)</f>
        <v>20.931335449999999</v>
      </c>
      <c r="BU462" s="559">
        <f>VLOOKUP(WWWW[[#This Row],[Village  Name]],SiteDB6[[Site Name]:[Long]],13,FALSE)</f>
        <v>92.381462099999993</v>
      </c>
      <c r="BV462" s="559">
        <f>VLOOKUP(WWWW[[#This Row],[Village  Name]],SiteDB6[[Site Name]:[Pcode]],3,FALSE)</f>
        <v>220733</v>
      </c>
      <c r="BW462" s="559" t="str">
        <f t="shared" si="16"/>
        <v>Covered</v>
      </c>
      <c r="BX462" s="587"/>
    </row>
    <row r="463" spans="1:76">
      <c r="A463" s="612" t="s">
        <v>2381</v>
      </c>
      <c r="B463" s="612" t="s">
        <v>2864</v>
      </c>
      <c r="C463" s="457" t="s">
        <v>371</v>
      </c>
      <c r="D463" s="457" t="s">
        <v>3050</v>
      </c>
      <c r="E463" s="457" t="s">
        <v>2686</v>
      </c>
      <c r="F463" s="457" t="s">
        <v>307</v>
      </c>
      <c r="G463" s="551" t="str">
        <f>VLOOKUP(WWWW[[#This Row],[Village  Name]],SiteDB6[[Site Name]:[Location Type]],8,FALSE)</f>
        <v>Village</v>
      </c>
      <c r="H463" s="457" t="s">
        <v>3066</v>
      </c>
      <c r="I463" s="611">
        <v>78</v>
      </c>
      <c r="J463" s="611">
        <v>368</v>
      </c>
      <c r="K463" s="461">
        <v>43678</v>
      </c>
      <c r="L463" s="55">
        <v>44196</v>
      </c>
      <c r="M463" s="611"/>
      <c r="N463" s="611"/>
      <c r="O463" s="611"/>
      <c r="P463" s="611"/>
      <c r="Q463" s="611"/>
      <c r="R463" s="611"/>
      <c r="S463" s="611"/>
      <c r="T463" s="643"/>
      <c r="U463" s="611"/>
      <c r="V463" s="611" t="s">
        <v>128</v>
      </c>
      <c r="W463" s="611"/>
      <c r="X463" s="611"/>
      <c r="Y463" s="611"/>
      <c r="Z463" s="611"/>
      <c r="AA463" s="611"/>
      <c r="AB463" s="643"/>
      <c r="AC463" s="611"/>
      <c r="AD463" s="611"/>
      <c r="AE463" s="611"/>
      <c r="AF463" s="611"/>
      <c r="AG463" s="611"/>
      <c r="AH463" s="611"/>
      <c r="AI463" s="611"/>
      <c r="AJ463" s="611"/>
      <c r="AK463" s="611"/>
      <c r="AL463" s="611"/>
      <c r="AM463" s="643"/>
      <c r="AN463" s="611"/>
      <c r="AO463" s="611"/>
      <c r="AP46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63" s="565">
        <f>WWWW[[#This Row],[%Equitable and continuous access to sufficient quantity of safe drinking water]]*WWWW[[#This Row],[Total PoP ]]</f>
        <v>0</v>
      </c>
      <c r="AR46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63" s="565">
        <f>WWWW[[#This Row],[% Access to unimproved water points]]*WWWW[[#This Row],[Total PoP ]]</f>
        <v>0</v>
      </c>
      <c r="AT46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6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63" s="565">
        <f>WWWW[[#This Row],[HRP1]]/250</f>
        <v>0</v>
      </c>
      <c r="AW463" s="555">
        <f>1-WWWW[[#This Row],[% Equitable and continuous access to sufficient quantity of domestic water]]</f>
        <v>1</v>
      </c>
      <c r="AX463" s="565">
        <f>WWWW[[#This Row],[%equitable and continuous access to sufficient quantity of safe drinking and domestic water''s GAP]]*WWWW[[#This Row],[Total PoP ]]</f>
        <v>368</v>
      </c>
      <c r="AY463" s="557">
        <f>IF(WWWW[[#This Row],[Total required water points]]-WWWW[[#This Row],['#Water points coverage]]&lt;0,0,WWWW[[#This Row],[Total required water points]]-WWWW[[#This Row],['#Water points coverage]])</f>
        <v>1</v>
      </c>
      <c r="AZ463" s="557">
        <f>ROUND(IF(WWWW[[#This Row],[Total PoP ]]&lt;250,1,WWWW[[#This Row],[Total PoP ]]/250),0)</f>
        <v>1</v>
      </c>
      <c r="BA46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63" s="565">
        <f>WWWW[[#This Row],[% people access to functioning Latrine]]*WWWW[[#This Row],[Total PoP ]]</f>
        <v>0</v>
      </c>
      <c r="BC463" s="557">
        <f>WWWW[[#This Row],['#_of_Functioning_latrines_in_school]]*50</f>
        <v>0</v>
      </c>
      <c r="BD463" s="557">
        <f>ROUND((WWWW[[#This Row],[Total PoP ]]/6),0)</f>
        <v>61</v>
      </c>
      <c r="BE463" s="557">
        <f>IF(WWWW[[#This Row],[Total required Latrines]]-(WWWW[[#This Row],['#_of_sanitary_fly-proof_HH_latrines]])&lt;0,0,WWWW[[#This Row],[Total required Latrines]]-(WWWW[[#This Row],['#_of_sanitary_fly-proof_HH_latrines]]))</f>
        <v>61</v>
      </c>
      <c r="BF463" s="558">
        <f>1-WWWW[[#This Row],[% people access to functioning Latrine]]</f>
        <v>1</v>
      </c>
      <c r="BG46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3" s="565">
        <f>IF(WWWW[[#This Row],['#_of_functional_handwashing_facilities_at_HH_level]]*6&gt;WWWW[[#This Row],[Total PoP ]],WWWW[[#This Row],[Total PoP ]],WWWW[[#This Row],['#_of_functional_handwashing_facilities_at_HH_level]]*6)</f>
        <v>0</v>
      </c>
      <c r="BI463" s="557">
        <f>IF(WWWW[[#This Row],['# people reached by regular dedicated hygiene promotion]]&gt;WWWW[[#This Row],['# People received regular supply of hygiene items]],WWWW[[#This Row],['# people reached by regular dedicated hygiene promotion]],WWWW[[#This Row],['# People received regular supply of hygiene items]])</f>
        <v>0</v>
      </c>
      <c r="BJ463" s="555">
        <f>IF(WWWW[[#This Row],[HRP3]]/WWWW[[#This Row],[Total PoP ]]&gt;100%,100%,WWWW[[#This Row],[HRP3]]/WWWW[[#This Row],[Total PoP ]])</f>
        <v>0</v>
      </c>
      <c r="BK463" s="558">
        <f>1-WWWW[[#This Row],[Hygiene Coverage%]]</f>
        <v>1</v>
      </c>
      <c r="BL463" s="556">
        <f>WWWW[[#This Row],['# people reached by regular dedicated hygiene promotion]]/WWWW[[#This Row],[Total PoP ]]</f>
        <v>0</v>
      </c>
      <c r="BM46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3" s="557">
        <f>WWWW[[#This Row],['#_of_affected_women_and_girls_receiving_a_sufficient_quantity_of_sanitary_pads]]</f>
        <v>0</v>
      </c>
      <c r="BO463" s="611">
        <f>IF(WWWW[[#This Row],['# People with access to soap]]&gt;WWWW[[#This Row],['# People with access to Sanity Pads]],WWWW[[#This Row],['# People with access to soap]],WWWW[[#This Row],['# People with access to Sanity Pads]])</f>
        <v>0</v>
      </c>
      <c r="BP463" s="565" t="str">
        <f>IF(OR(WWWW[[#This Row],['#of students in school]]="",WWWW[[#This Row],['#of students in school]]=0),"No","Yes")</f>
        <v>No</v>
      </c>
      <c r="BQ463" s="559" t="str">
        <f>VLOOKUP(WWWW[[#This Row],[Village  Name]],SiteDB6[[Site Name]:[Location Type 1]],9,FALSE)</f>
        <v>Village</v>
      </c>
      <c r="BR463" s="559" t="str">
        <f>VLOOKUP(WWWW[[#This Row],[Village  Name]],SiteDB6[[Site Name]:[Type of Accommodation]],10,FALSE)</f>
        <v>Village</v>
      </c>
      <c r="BS463" s="559">
        <f>VLOOKUP(WWWW[[#This Row],[Village  Name]],SiteDB6[[Site Name]:[Ethnic or GCA/NGCA]],11,FALSE)</f>
        <v>0</v>
      </c>
      <c r="BT463" s="559">
        <f>VLOOKUP(WWWW[[#This Row],[Village  Name]],SiteDB6[[Site Name]:[Lat]],12,FALSE)</f>
        <v>20.5168571472168</v>
      </c>
      <c r="BU463" s="559">
        <f>VLOOKUP(WWWW[[#This Row],[Village  Name]],SiteDB6[[Site Name]:[Long]],13,FALSE)</f>
        <v>92.577987670898395</v>
      </c>
      <c r="BV463" s="559">
        <f>VLOOKUP(WWWW[[#This Row],[Village  Name]],SiteDB6[[Site Name]:[Pcode]],3,FALSE)</f>
        <v>220746</v>
      </c>
      <c r="BW463" s="559" t="str">
        <f t="shared" si="16"/>
        <v>Covered</v>
      </c>
      <c r="BX463" s="587"/>
    </row>
    <row r="464" spans="1:76">
      <c r="A464" s="612" t="s">
        <v>2381</v>
      </c>
      <c r="B464" s="612" t="s">
        <v>2864</v>
      </c>
      <c r="C464" s="457" t="s">
        <v>371</v>
      </c>
      <c r="D464" s="457" t="s">
        <v>3050</v>
      </c>
      <c r="E464" s="457" t="s">
        <v>2686</v>
      </c>
      <c r="F464" s="457" t="s">
        <v>307</v>
      </c>
      <c r="G464" s="551" t="str">
        <f>VLOOKUP(WWWW[[#This Row],[Village  Name]],SiteDB6[[Site Name]:[Location Type]],8,FALSE)</f>
        <v>Village</v>
      </c>
      <c r="H464" s="457" t="s">
        <v>3057</v>
      </c>
      <c r="I464" s="611">
        <v>77</v>
      </c>
      <c r="J464" s="611">
        <v>274</v>
      </c>
      <c r="K464" s="461">
        <v>43678</v>
      </c>
      <c r="L464" s="55">
        <v>44196</v>
      </c>
      <c r="M464" s="611"/>
      <c r="N464" s="611"/>
      <c r="O464" s="611"/>
      <c r="P464" s="611"/>
      <c r="Q464" s="611"/>
      <c r="R464" s="611"/>
      <c r="S464" s="611"/>
      <c r="T464" s="643"/>
      <c r="U464" s="611"/>
      <c r="V464" s="611" t="s">
        <v>128</v>
      </c>
      <c r="W464" s="611"/>
      <c r="X464" s="611"/>
      <c r="Y464" s="611"/>
      <c r="Z464" s="611"/>
      <c r="AA464" s="611"/>
      <c r="AB464" s="643"/>
      <c r="AC464" s="611"/>
      <c r="AD464" s="611"/>
      <c r="AE464" s="611"/>
      <c r="AF464" s="611"/>
      <c r="AG464" s="611"/>
      <c r="AH464" s="611"/>
      <c r="AI464" s="611"/>
      <c r="AJ464" s="611"/>
      <c r="AK464" s="611"/>
      <c r="AL464" s="611"/>
      <c r="AM464" s="643"/>
      <c r="AN464" s="611"/>
      <c r="AO464" s="611"/>
      <c r="AP46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64" s="565">
        <f>WWWW[[#This Row],[%Equitable and continuous access to sufficient quantity of safe drinking water]]*WWWW[[#This Row],[Total PoP ]]</f>
        <v>0</v>
      </c>
      <c r="AR46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64" s="565">
        <f>WWWW[[#This Row],[% Access to unimproved water points]]*WWWW[[#This Row],[Total PoP ]]</f>
        <v>0</v>
      </c>
      <c r="AT46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6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64" s="565">
        <f>WWWW[[#This Row],[HRP1]]/250</f>
        <v>0</v>
      </c>
      <c r="AW464" s="555">
        <f>1-WWWW[[#This Row],[% Equitable and continuous access to sufficient quantity of domestic water]]</f>
        <v>1</v>
      </c>
      <c r="AX464" s="565">
        <f>WWWW[[#This Row],[%equitable and continuous access to sufficient quantity of safe drinking and domestic water''s GAP]]*WWWW[[#This Row],[Total PoP ]]</f>
        <v>274</v>
      </c>
      <c r="AY464" s="557">
        <f>IF(WWWW[[#This Row],[Total required water points]]-WWWW[[#This Row],['#Water points coverage]]&lt;0,0,WWWW[[#This Row],[Total required water points]]-WWWW[[#This Row],['#Water points coverage]])</f>
        <v>1</v>
      </c>
      <c r="AZ464" s="557">
        <f>ROUND(IF(WWWW[[#This Row],[Total PoP ]]&lt;250,1,WWWW[[#This Row],[Total PoP ]]/250),0)</f>
        <v>1</v>
      </c>
      <c r="BA46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64" s="565">
        <f>WWWW[[#This Row],[% people access to functioning Latrine]]*WWWW[[#This Row],[Total PoP ]]</f>
        <v>0</v>
      </c>
      <c r="BC464" s="557">
        <f>WWWW[[#This Row],['#_of_Functioning_latrines_in_school]]*50</f>
        <v>0</v>
      </c>
      <c r="BD464" s="557">
        <f>ROUND((WWWW[[#This Row],[Total PoP ]]/6),0)</f>
        <v>46</v>
      </c>
      <c r="BE464" s="557">
        <f>IF(WWWW[[#This Row],[Total required Latrines]]-(WWWW[[#This Row],['#_of_sanitary_fly-proof_HH_latrines]])&lt;0,0,WWWW[[#This Row],[Total required Latrines]]-(WWWW[[#This Row],['#_of_sanitary_fly-proof_HH_latrines]]))</f>
        <v>46</v>
      </c>
      <c r="BF464" s="558">
        <f>1-WWWW[[#This Row],[% people access to functioning Latrine]]</f>
        <v>1</v>
      </c>
      <c r="BG46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4" s="565">
        <f>IF(WWWW[[#This Row],['#_of_functional_handwashing_facilities_at_HH_level]]*6&gt;WWWW[[#This Row],[Total PoP ]],WWWW[[#This Row],[Total PoP ]],WWWW[[#This Row],['#_of_functional_handwashing_facilities_at_HH_level]]*6)</f>
        <v>0</v>
      </c>
      <c r="BI464" s="557">
        <f>IF(WWWW[[#This Row],['# people reached by regular dedicated hygiene promotion]]&gt;WWWW[[#This Row],['# People received regular supply of hygiene items]],WWWW[[#This Row],['# people reached by regular dedicated hygiene promotion]],WWWW[[#This Row],['# People received regular supply of hygiene items]])</f>
        <v>0</v>
      </c>
      <c r="BJ464" s="555">
        <f>IF(WWWW[[#This Row],[HRP3]]/WWWW[[#This Row],[Total PoP ]]&gt;100%,100%,WWWW[[#This Row],[HRP3]]/WWWW[[#This Row],[Total PoP ]])</f>
        <v>0</v>
      </c>
      <c r="BK464" s="558">
        <f>1-WWWW[[#This Row],[Hygiene Coverage%]]</f>
        <v>1</v>
      </c>
      <c r="BL464" s="556">
        <f>WWWW[[#This Row],['# people reached by regular dedicated hygiene promotion]]/WWWW[[#This Row],[Total PoP ]]</f>
        <v>0</v>
      </c>
      <c r="BM46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4" s="557">
        <f>WWWW[[#This Row],['#_of_affected_women_and_girls_receiving_a_sufficient_quantity_of_sanitary_pads]]</f>
        <v>0</v>
      </c>
      <c r="BO464" s="611">
        <f>IF(WWWW[[#This Row],['# People with access to soap]]&gt;WWWW[[#This Row],['# People with access to Sanity Pads]],WWWW[[#This Row],['# People with access to soap]],WWWW[[#This Row],['# People with access to Sanity Pads]])</f>
        <v>0</v>
      </c>
      <c r="BP464" s="565" t="str">
        <f>IF(OR(WWWW[[#This Row],['#of students in school]]="",WWWW[[#This Row],['#of students in school]]=0),"No","Yes")</f>
        <v>No</v>
      </c>
      <c r="BQ464" s="559" t="str">
        <f>VLOOKUP(WWWW[[#This Row],[Village  Name]],SiteDB6[[Site Name]:[Location Type 1]],9,FALSE)</f>
        <v>Village</v>
      </c>
      <c r="BR464" s="559" t="str">
        <f>VLOOKUP(WWWW[[#This Row],[Village  Name]],SiteDB6[[Site Name]:[Type of Accommodation]],10,FALSE)</f>
        <v>Village</v>
      </c>
      <c r="BS464" s="559">
        <f>VLOOKUP(WWWW[[#This Row],[Village  Name]],SiteDB6[[Site Name]:[Ethnic or GCA/NGCA]],11,FALSE)</f>
        <v>0</v>
      </c>
      <c r="BT464" s="559">
        <f>VLOOKUP(WWWW[[#This Row],[Village  Name]],SiteDB6[[Site Name]:[Lat]],12,FALSE)</f>
        <v>21.139829635620099</v>
      </c>
      <c r="BU464" s="559">
        <f>VLOOKUP(WWWW[[#This Row],[Village  Name]],SiteDB6[[Site Name]:[Long]],13,FALSE)</f>
        <v>92.330848693847699</v>
      </c>
      <c r="BV464" s="559">
        <f>VLOOKUP(WWWW[[#This Row],[Village  Name]],SiteDB6[[Site Name]:[Pcode]],3,FALSE)</f>
        <v>197848</v>
      </c>
      <c r="BW464" s="559" t="str">
        <f t="shared" si="16"/>
        <v>Covered</v>
      </c>
      <c r="BX464" s="587"/>
    </row>
    <row r="465" spans="1:76">
      <c r="A465" s="612" t="s">
        <v>2381</v>
      </c>
      <c r="B465" s="612" t="s">
        <v>2864</v>
      </c>
      <c r="C465" s="457" t="s">
        <v>371</v>
      </c>
      <c r="D465" s="457" t="s">
        <v>3050</v>
      </c>
      <c r="E465" s="457" t="s">
        <v>2686</v>
      </c>
      <c r="F465" s="457" t="s">
        <v>307</v>
      </c>
      <c r="G465" s="551" t="str">
        <f>VLOOKUP(WWWW[[#This Row],[Village  Name]],SiteDB6[[Site Name]:[Location Type]],8,FALSE)</f>
        <v>Village</v>
      </c>
      <c r="H465" s="457" t="s">
        <v>3068</v>
      </c>
      <c r="I465" s="611">
        <v>133</v>
      </c>
      <c r="J465" s="611">
        <v>910</v>
      </c>
      <c r="K465" s="461">
        <v>43678</v>
      </c>
      <c r="L465" s="55">
        <v>44196</v>
      </c>
      <c r="M465" s="611"/>
      <c r="N465" s="611"/>
      <c r="O465" s="611"/>
      <c r="P465" s="611"/>
      <c r="Q465" s="611"/>
      <c r="R465" s="611"/>
      <c r="S465" s="611"/>
      <c r="T465" s="643"/>
      <c r="U465" s="611"/>
      <c r="V465" s="611" t="s">
        <v>128</v>
      </c>
      <c r="W465" s="611"/>
      <c r="X465" s="611"/>
      <c r="Y465" s="611"/>
      <c r="Z465" s="611"/>
      <c r="AA465" s="611"/>
      <c r="AB465" s="643"/>
      <c r="AC465" s="611"/>
      <c r="AD465" s="611"/>
      <c r="AE465" s="611"/>
      <c r="AF465" s="611"/>
      <c r="AG465" s="611"/>
      <c r="AH465" s="611"/>
      <c r="AI465" s="611"/>
      <c r="AJ465" s="611"/>
      <c r="AK465" s="611"/>
      <c r="AL465" s="611"/>
      <c r="AM465" s="643"/>
      <c r="AN465" s="611"/>
      <c r="AO465" s="611"/>
      <c r="AP46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65" s="565">
        <f>WWWW[[#This Row],[%Equitable and continuous access to sufficient quantity of safe drinking water]]*WWWW[[#This Row],[Total PoP ]]</f>
        <v>0</v>
      </c>
      <c r="AR46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65" s="565">
        <f>WWWW[[#This Row],[% Access to unimproved water points]]*WWWW[[#This Row],[Total PoP ]]</f>
        <v>0</v>
      </c>
      <c r="AT46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6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65" s="565">
        <f>WWWW[[#This Row],[HRP1]]/250</f>
        <v>0</v>
      </c>
      <c r="AW465" s="555">
        <f>1-WWWW[[#This Row],[% Equitable and continuous access to sufficient quantity of domestic water]]</f>
        <v>1</v>
      </c>
      <c r="AX465" s="565">
        <f>WWWW[[#This Row],[%equitable and continuous access to sufficient quantity of safe drinking and domestic water''s GAP]]*WWWW[[#This Row],[Total PoP ]]</f>
        <v>910</v>
      </c>
      <c r="AY465" s="557">
        <f>IF(WWWW[[#This Row],[Total required water points]]-WWWW[[#This Row],['#Water points coverage]]&lt;0,0,WWWW[[#This Row],[Total required water points]]-WWWW[[#This Row],['#Water points coverage]])</f>
        <v>4</v>
      </c>
      <c r="AZ465" s="557">
        <f>ROUND(IF(WWWW[[#This Row],[Total PoP ]]&lt;250,1,WWWW[[#This Row],[Total PoP ]]/250),0)</f>
        <v>4</v>
      </c>
      <c r="BA46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65" s="565">
        <f>WWWW[[#This Row],[% people access to functioning Latrine]]*WWWW[[#This Row],[Total PoP ]]</f>
        <v>0</v>
      </c>
      <c r="BC465" s="557">
        <f>WWWW[[#This Row],['#_of_Functioning_latrines_in_school]]*50</f>
        <v>0</v>
      </c>
      <c r="BD465" s="557">
        <f>ROUND((WWWW[[#This Row],[Total PoP ]]/6),0)</f>
        <v>152</v>
      </c>
      <c r="BE465" s="557">
        <f>IF(WWWW[[#This Row],[Total required Latrines]]-(WWWW[[#This Row],['#_of_sanitary_fly-proof_HH_latrines]])&lt;0,0,WWWW[[#This Row],[Total required Latrines]]-(WWWW[[#This Row],['#_of_sanitary_fly-proof_HH_latrines]]))</f>
        <v>152</v>
      </c>
      <c r="BF465" s="558">
        <f>1-WWWW[[#This Row],[% people access to functioning Latrine]]</f>
        <v>1</v>
      </c>
      <c r="BG46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5" s="565">
        <f>IF(WWWW[[#This Row],['#_of_functional_handwashing_facilities_at_HH_level]]*6&gt;WWWW[[#This Row],[Total PoP ]],WWWW[[#This Row],[Total PoP ]],WWWW[[#This Row],['#_of_functional_handwashing_facilities_at_HH_level]]*6)</f>
        <v>0</v>
      </c>
      <c r="BI465" s="557">
        <f>IF(WWWW[[#This Row],['# people reached by regular dedicated hygiene promotion]]&gt;WWWW[[#This Row],['# People received regular supply of hygiene items]],WWWW[[#This Row],['# people reached by regular dedicated hygiene promotion]],WWWW[[#This Row],['# People received regular supply of hygiene items]])</f>
        <v>0</v>
      </c>
      <c r="BJ465" s="555">
        <f>IF(WWWW[[#This Row],[HRP3]]/WWWW[[#This Row],[Total PoP ]]&gt;100%,100%,WWWW[[#This Row],[HRP3]]/WWWW[[#This Row],[Total PoP ]])</f>
        <v>0</v>
      </c>
      <c r="BK465" s="558">
        <f>1-WWWW[[#This Row],[Hygiene Coverage%]]</f>
        <v>1</v>
      </c>
      <c r="BL465" s="556">
        <f>WWWW[[#This Row],['# people reached by regular dedicated hygiene promotion]]/WWWW[[#This Row],[Total PoP ]]</f>
        <v>0</v>
      </c>
      <c r="BM46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5" s="557">
        <f>WWWW[[#This Row],['#_of_affected_women_and_girls_receiving_a_sufficient_quantity_of_sanitary_pads]]</f>
        <v>0</v>
      </c>
      <c r="BO465" s="611">
        <f>IF(WWWW[[#This Row],['# People with access to soap]]&gt;WWWW[[#This Row],['# People with access to Sanity Pads]],WWWW[[#This Row],['# People with access to soap]],WWWW[[#This Row],['# People with access to Sanity Pads]])</f>
        <v>0</v>
      </c>
      <c r="BP465" s="565" t="str">
        <f>IF(OR(WWWW[[#This Row],['#of students in school]]="",WWWW[[#This Row],['#of students in school]]=0),"No","Yes")</f>
        <v>No</v>
      </c>
      <c r="BQ465" s="559" t="str">
        <f>VLOOKUP(WWWW[[#This Row],[Village  Name]],SiteDB6[[Site Name]:[Location Type 1]],9,FALSE)</f>
        <v>Village</v>
      </c>
      <c r="BR465" s="559" t="str">
        <f>VLOOKUP(WWWW[[#This Row],[Village  Name]],SiteDB6[[Site Name]:[Type of Accommodation]],10,FALSE)</f>
        <v>Village</v>
      </c>
      <c r="BS465" s="559">
        <f>VLOOKUP(WWWW[[#This Row],[Village  Name]],SiteDB6[[Site Name]:[Ethnic or GCA/NGCA]],11,FALSE)</f>
        <v>0</v>
      </c>
      <c r="BT465" s="559">
        <f>VLOOKUP(WWWW[[#This Row],[Village  Name]],SiteDB6[[Site Name]:[Lat]],12,FALSE)</f>
        <v>20.860589981079102</v>
      </c>
      <c r="BU465" s="559">
        <f>VLOOKUP(WWWW[[#This Row],[Village  Name]],SiteDB6[[Site Name]:[Long]],13,FALSE)</f>
        <v>92.367843627929702</v>
      </c>
      <c r="BV465" s="559">
        <f>VLOOKUP(WWWW[[#This Row],[Village  Name]],SiteDB6[[Site Name]:[Pcode]],3,FALSE)</f>
        <v>197975</v>
      </c>
      <c r="BW465" s="559" t="str">
        <f t="shared" ref="BW465:BW481" si="17">IF(C465="none","Notcovered","Covered")</f>
        <v>Covered</v>
      </c>
      <c r="BX465" s="587"/>
    </row>
    <row r="466" spans="1:76">
      <c r="A466" s="612" t="s">
        <v>2381</v>
      </c>
      <c r="B466" s="612" t="s">
        <v>2864</v>
      </c>
      <c r="C466" s="457" t="s">
        <v>371</v>
      </c>
      <c r="D466" s="457" t="s">
        <v>3050</v>
      </c>
      <c r="E466" s="457" t="s">
        <v>2686</v>
      </c>
      <c r="F466" s="457" t="s">
        <v>307</v>
      </c>
      <c r="G466" s="551" t="str">
        <f>VLOOKUP(WWWW[[#This Row],[Village  Name]],SiteDB6[[Site Name]:[Location Type]],8,FALSE)</f>
        <v>Village</v>
      </c>
      <c r="H466" s="457" t="s">
        <v>3069</v>
      </c>
      <c r="I466" s="611">
        <v>30</v>
      </c>
      <c r="J466" s="611">
        <v>146</v>
      </c>
      <c r="K466" s="461">
        <v>43678</v>
      </c>
      <c r="L466" s="55">
        <v>44196</v>
      </c>
      <c r="M466" s="611"/>
      <c r="N466" s="611"/>
      <c r="O466" s="611"/>
      <c r="P466" s="611"/>
      <c r="Q466" s="611"/>
      <c r="R466" s="611"/>
      <c r="S466" s="611"/>
      <c r="T466" s="643"/>
      <c r="U466" s="611"/>
      <c r="V466" s="611" t="s">
        <v>128</v>
      </c>
      <c r="W466" s="611"/>
      <c r="X466" s="611"/>
      <c r="Y466" s="611"/>
      <c r="Z466" s="611"/>
      <c r="AA466" s="611"/>
      <c r="AB466" s="643"/>
      <c r="AC466" s="611"/>
      <c r="AD466" s="611"/>
      <c r="AE466" s="611"/>
      <c r="AF466" s="611"/>
      <c r="AG466" s="611"/>
      <c r="AH466" s="611"/>
      <c r="AI466" s="611"/>
      <c r="AJ466" s="611"/>
      <c r="AK466" s="611"/>
      <c r="AL466" s="611"/>
      <c r="AM466" s="643"/>
      <c r="AN466" s="611"/>
      <c r="AO466" s="611"/>
      <c r="AP46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66" s="565">
        <f>WWWW[[#This Row],[%Equitable and continuous access to sufficient quantity of safe drinking water]]*WWWW[[#This Row],[Total PoP ]]</f>
        <v>0</v>
      </c>
      <c r="AR46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66" s="565">
        <f>WWWW[[#This Row],[% Access to unimproved water points]]*WWWW[[#This Row],[Total PoP ]]</f>
        <v>0</v>
      </c>
      <c r="AT46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6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66" s="565">
        <f>WWWW[[#This Row],[HRP1]]/250</f>
        <v>0</v>
      </c>
      <c r="AW466" s="555">
        <f>1-WWWW[[#This Row],[% Equitable and continuous access to sufficient quantity of domestic water]]</f>
        <v>1</v>
      </c>
      <c r="AX466" s="565">
        <f>WWWW[[#This Row],[%equitable and continuous access to sufficient quantity of safe drinking and domestic water''s GAP]]*WWWW[[#This Row],[Total PoP ]]</f>
        <v>146</v>
      </c>
      <c r="AY466" s="557">
        <f>IF(WWWW[[#This Row],[Total required water points]]-WWWW[[#This Row],['#Water points coverage]]&lt;0,0,WWWW[[#This Row],[Total required water points]]-WWWW[[#This Row],['#Water points coverage]])</f>
        <v>1</v>
      </c>
      <c r="AZ466" s="557">
        <f>ROUND(IF(WWWW[[#This Row],[Total PoP ]]&lt;250,1,WWWW[[#This Row],[Total PoP ]]/250),0)</f>
        <v>1</v>
      </c>
      <c r="BA46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66" s="565">
        <f>WWWW[[#This Row],[% people access to functioning Latrine]]*WWWW[[#This Row],[Total PoP ]]</f>
        <v>0</v>
      </c>
      <c r="BC466" s="557">
        <f>WWWW[[#This Row],['#_of_Functioning_latrines_in_school]]*50</f>
        <v>0</v>
      </c>
      <c r="BD466" s="557">
        <f>ROUND((WWWW[[#This Row],[Total PoP ]]/6),0)</f>
        <v>24</v>
      </c>
      <c r="BE466" s="557">
        <f>IF(WWWW[[#This Row],[Total required Latrines]]-(WWWW[[#This Row],['#_of_sanitary_fly-proof_HH_latrines]])&lt;0,0,WWWW[[#This Row],[Total required Latrines]]-(WWWW[[#This Row],['#_of_sanitary_fly-proof_HH_latrines]]))</f>
        <v>24</v>
      </c>
      <c r="BF466" s="558">
        <f>1-WWWW[[#This Row],[% people access to functioning Latrine]]</f>
        <v>1</v>
      </c>
      <c r="BG46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6" s="565">
        <f>IF(WWWW[[#This Row],['#_of_functional_handwashing_facilities_at_HH_level]]*6&gt;WWWW[[#This Row],[Total PoP ]],WWWW[[#This Row],[Total PoP ]],WWWW[[#This Row],['#_of_functional_handwashing_facilities_at_HH_level]]*6)</f>
        <v>0</v>
      </c>
      <c r="BI466" s="557">
        <f>IF(WWWW[[#This Row],['# people reached by regular dedicated hygiene promotion]]&gt;WWWW[[#This Row],['# People received regular supply of hygiene items]],WWWW[[#This Row],['# people reached by regular dedicated hygiene promotion]],WWWW[[#This Row],['# People received regular supply of hygiene items]])</f>
        <v>0</v>
      </c>
      <c r="BJ466" s="555">
        <f>IF(WWWW[[#This Row],[HRP3]]/WWWW[[#This Row],[Total PoP ]]&gt;100%,100%,WWWW[[#This Row],[HRP3]]/WWWW[[#This Row],[Total PoP ]])</f>
        <v>0</v>
      </c>
      <c r="BK466" s="558">
        <f>1-WWWW[[#This Row],[Hygiene Coverage%]]</f>
        <v>1</v>
      </c>
      <c r="BL466" s="556">
        <f>WWWW[[#This Row],['# people reached by regular dedicated hygiene promotion]]/WWWW[[#This Row],[Total PoP ]]</f>
        <v>0</v>
      </c>
      <c r="BM46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6" s="557">
        <f>WWWW[[#This Row],['#_of_affected_women_and_girls_receiving_a_sufficient_quantity_of_sanitary_pads]]</f>
        <v>0</v>
      </c>
      <c r="BO466" s="611">
        <f>IF(WWWW[[#This Row],['# People with access to soap]]&gt;WWWW[[#This Row],['# People with access to Sanity Pads]],WWWW[[#This Row],['# People with access to soap]],WWWW[[#This Row],['# People with access to Sanity Pads]])</f>
        <v>0</v>
      </c>
      <c r="BP466" s="565" t="str">
        <f>IF(OR(WWWW[[#This Row],['#of students in school]]="",WWWW[[#This Row],['#of students in school]]=0),"No","Yes")</f>
        <v>No</v>
      </c>
      <c r="BQ466" s="559" t="str">
        <f>VLOOKUP(WWWW[[#This Row],[Village  Name]],SiteDB6[[Site Name]:[Location Type 1]],9,FALSE)</f>
        <v>Village</v>
      </c>
      <c r="BR466" s="559" t="str">
        <f>VLOOKUP(WWWW[[#This Row],[Village  Name]],SiteDB6[[Site Name]:[Type of Accommodation]],10,FALSE)</f>
        <v>Village</v>
      </c>
      <c r="BS466" s="559">
        <f>VLOOKUP(WWWW[[#This Row],[Village  Name]],SiteDB6[[Site Name]:[Ethnic or GCA/NGCA]],11,FALSE)</f>
        <v>0</v>
      </c>
      <c r="BT466" s="559">
        <f>VLOOKUP(WWWW[[#This Row],[Village  Name]],SiteDB6[[Site Name]:[Lat]],12,FALSE)</f>
        <v>20.6845893859863</v>
      </c>
      <c r="BU466" s="559">
        <f>VLOOKUP(WWWW[[#This Row],[Village  Name]],SiteDB6[[Site Name]:[Long]],13,FALSE)</f>
        <v>92.443580627441406</v>
      </c>
      <c r="BV466" s="559">
        <f>VLOOKUP(WWWW[[#This Row],[Village  Name]],SiteDB6[[Site Name]:[Pcode]],3,FALSE)</f>
        <v>198033</v>
      </c>
      <c r="BW466" s="559" t="str">
        <f t="shared" si="17"/>
        <v>Covered</v>
      </c>
      <c r="BX466" s="587"/>
    </row>
    <row r="467" spans="1:76">
      <c r="A467" s="612" t="s">
        <v>2381</v>
      </c>
      <c r="B467" s="612" t="s">
        <v>2864</v>
      </c>
      <c r="C467" s="457" t="s">
        <v>371</v>
      </c>
      <c r="D467" s="457" t="s">
        <v>3050</v>
      </c>
      <c r="E467" s="457" t="s">
        <v>2686</v>
      </c>
      <c r="F467" s="457" t="s">
        <v>321</v>
      </c>
      <c r="G467" s="551" t="str">
        <f>VLOOKUP(WWWW[[#This Row],[Village  Name]],SiteDB6[[Site Name]:[Location Type]],8,FALSE)</f>
        <v>Village</v>
      </c>
      <c r="H467" s="457" t="s">
        <v>2542</v>
      </c>
      <c r="I467" s="611">
        <v>171</v>
      </c>
      <c r="J467" s="611">
        <v>908</v>
      </c>
      <c r="K467" s="461">
        <v>43678</v>
      </c>
      <c r="L467" s="55">
        <v>44196</v>
      </c>
      <c r="M467" s="611">
        <v>96</v>
      </c>
      <c r="N467" s="611"/>
      <c r="O467" s="611">
        <v>3</v>
      </c>
      <c r="P467" s="611">
        <v>34</v>
      </c>
      <c r="Q467" s="611">
        <v>1</v>
      </c>
      <c r="R467" s="611"/>
      <c r="S467" s="611"/>
      <c r="T467" s="643"/>
      <c r="U467" s="611"/>
      <c r="V467" s="611" t="s">
        <v>128</v>
      </c>
      <c r="W467" s="611"/>
      <c r="X467" s="611"/>
      <c r="Y467" s="611"/>
      <c r="Z467" s="611"/>
      <c r="AA467" s="611"/>
      <c r="AB467" s="643"/>
      <c r="AC467" s="611"/>
      <c r="AD467" s="611"/>
      <c r="AE467" s="611"/>
      <c r="AF467" s="611"/>
      <c r="AG467" s="611"/>
      <c r="AH467" s="611"/>
      <c r="AI467" s="611"/>
      <c r="AJ467" s="611"/>
      <c r="AK467" s="611"/>
      <c r="AL467" s="611"/>
      <c r="AM467" s="643"/>
      <c r="AN467" s="611"/>
      <c r="AO467" s="611"/>
      <c r="AP46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67" s="565">
        <f>WWWW[[#This Row],[%Equitable and continuous access to sufficient quantity of safe drinking water]]*WWWW[[#This Row],[Total PoP ]]</f>
        <v>908</v>
      </c>
      <c r="AR46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67" s="565">
        <f>WWWW[[#This Row],[% Access to unimproved water points]]*WWWW[[#This Row],[Total PoP ]]</f>
        <v>908</v>
      </c>
      <c r="AT46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6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908</v>
      </c>
      <c r="AV467" s="565">
        <f>WWWW[[#This Row],[HRP1]]/250</f>
        <v>3.6320000000000001</v>
      </c>
      <c r="AW467" s="555">
        <f>1-WWWW[[#This Row],[% Equitable and continuous access to sufficient quantity of domestic water]]</f>
        <v>0</v>
      </c>
      <c r="AX467" s="565">
        <f>WWWW[[#This Row],[%equitable and continuous access to sufficient quantity of safe drinking and domestic water''s GAP]]*WWWW[[#This Row],[Total PoP ]]</f>
        <v>0</v>
      </c>
      <c r="AY467" s="557">
        <f>IF(WWWW[[#This Row],[Total required water points]]-WWWW[[#This Row],['#Water points coverage]]&lt;0,0,WWWW[[#This Row],[Total required water points]]-WWWW[[#This Row],['#Water points coverage]])</f>
        <v>0.36799999999999988</v>
      </c>
      <c r="AZ467" s="557">
        <f>ROUND(IF(WWWW[[#This Row],[Total PoP ]]&lt;250,1,WWWW[[#This Row],[Total PoP ]]/250),0)</f>
        <v>4</v>
      </c>
      <c r="BA46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67" s="565">
        <f>WWWW[[#This Row],[% people access to functioning Latrine]]*WWWW[[#This Row],[Total PoP ]]</f>
        <v>0</v>
      </c>
      <c r="BC467" s="557">
        <f>WWWW[[#This Row],['#_of_Functioning_latrines_in_school]]*50</f>
        <v>0</v>
      </c>
      <c r="BD467" s="557">
        <f>ROUND((WWWW[[#This Row],[Total PoP ]]/6),0)</f>
        <v>151</v>
      </c>
      <c r="BE467" s="557">
        <f>IF(WWWW[[#This Row],[Total required Latrines]]-(WWWW[[#This Row],['#_of_sanitary_fly-proof_HH_latrines]])&lt;0,0,WWWW[[#This Row],[Total required Latrines]]-(WWWW[[#This Row],['#_of_sanitary_fly-proof_HH_latrines]]))</f>
        <v>151</v>
      </c>
      <c r="BF467" s="558">
        <f>1-WWWW[[#This Row],[% people access to functioning Latrine]]</f>
        <v>1</v>
      </c>
      <c r="BG46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7" s="565">
        <f>IF(WWWW[[#This Row],['#_of_functional_handwashing_facilities_at_HH_level]]*6&gt;WWWW[[#This Row],[Total PoP ]],WWWW[[#This Row],[Total PoP ]],WWWW[[#This Row],['#_of_functional_handwashing_facilities_at_HH_level]]*6)</f>
        <v>0</v>
      </c>
      <c r="BI467" s="557">
        <f>IF(WWWW[[#This Row],['# people reached by regular dedicated hygiene promotion]]&gt;WWWW[[#This Row],['# People received regular supply of hygiene items]],WWWW[[#This Row],['# people reached by regular dedicated hygiene promotion]],WWWW[[#This Row],['# People received regular supply of hygiene items]])</f>
        <v>0</v>
      </c>
      <c r="BJ467" s="555">
        <f>IF(WWWW[[#This Row],[HRP3]]/WWWW[[#This Row],[Total PoP ]]&gt;100%,100%,WWWW[[#This Row],[HRP3]]/WWWW[[#This Row],[Total PoP ]])</f>
        <v>0</v>
      </c>
      <c r="BK467" s="558">
        <f>1-WWWW[[#This Row],[Hygiene Coverage%]]</f>
        <v>1</v>
      </c>
      <c r="BL467" s="556">
        <f>WWWW[[#This Row],['# people reached by regular dedicated hygiene promotion]]/WWWW[[#This Row],[Total PoP ]]</f>
        <v>0</v>
      </c>
      <c r="BM46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7" s="557">
        <f>WWWW[[#This Row],['#_of_affected_women_and_girls_receiving_a_sufficient_quantity_of_sanitary_pads]]</f>
        <v>0</v>
      </c>
      <c r="BO467" s="611">
        <f>IF(WWWW[[#This Row],['# People with access to soap]]&gt;WWWW[[#This Row],['# People with access to Sanity Pads]],WWWW[[#This Row],['# People with access to soap]],WWWW[[#This Row],['# People with access to Sanity Pads]])</f>
        <v>0</v>
      </c>
      <c r="BP467" s="565" t="str">
        <f>IF(OR(WWWW[[#This Row],['#of students in school]]="",WWWW[[#This Row],['#of students in school]]=0),"No","Yes")</f>
        <v>Yes</v>
      </c>
      <c r="BQ467" s="559" t="str">
        <f>VLOOKUP(WWWW[[#This Row],[Village  Name]],SiteDB6[[Site Name]:[Location Type 1]],9,FALSE)</f>
        <v>Village</v>
      </c>
      <c r="BR467" s="559" t="str">
        <f>VLOOKUP(WWWW[[#This Row],[Village  Name]],SiteDB6[[Site Name]:[Type of Accommodation]],10,FALSE)</f>
        <v>Village</v>
      </c>
      <c r="BS467" s="559" t="str">
        <f>VLOOKUP(WWWW[[#This Row],[Village  Name]],SiteDB6[[Site Name]:[Ethnic or GCA/NGCA]],11,FALSE)</f>
        <v>Muslim</v>
      </c>
      <c r="BT467" s="559">
        <f>VLOOKUP(WWWW[[#This Row],[Village  Name]],SiteDB6[[Site Name]:[Lat]],12,FALSE)</f>
        <v>0</v>
      </c>
      <c r="BU467" s="559">
        <f>VLOOKUP(WWWW[[#This Row],[Village  Name]],SiteDB6[[Site Name]:[Long]],13,FALSE)</f>
        <v>0</v>
      </c>
      <c r="BV467" s="559">
        <f>VLOOKUP(WWWW[[#This Row],[Village  Name]],SiteDB6[[Site Name]:[Pcode]],3,FALSE)</f>
        <v>198350</v>
      </c>
      <c r="BW467" s="559" t="str">
        <f t="shared" si="17"/>
        <v>Covered</v>
      </c>
      <c r="BX467" s="587"/>
    </row>
    <row r="468" spans="1:76">
      <c r="A468" s="612" t="s">
        <v>2381</v>
      </c>
      <c r="B468" s="612" t="s">
        <v>2864</v>
      </c>
      <c r="C468" s="457" t="s">
        <v>371</v>
      </c>
      <c r="D468" s="457" t="s">
        <v>3050</v>
      </c>
      <c r="E468" s="457" t="s">
        <v>2686</v>
      </c>
      <c r="F468" s="457" t="s">
        <v>321</v>
      </c>
      <c r="G468" s="551" t="str">
        <f>VLOOKUP(WWWW[[#This Row],[Village  Name]],SiteDB6[[Site Name]:[Location Type]],8,FALSE)</f>
        <v>Village</v>
      </c>
      <c r="H468" s="457" t="s">
        <v>2543</v>
      </c>
      <c r="I468" s="611">
        <v>153</v>
      </c>
      <c r="J468" s="611">
        <v>835</v>
      </c>
      <c r="K468" s="461">
        <v>43678</v>
      </c>
      <c r="L468" s="55">
        <v>44196</v>
      </c>
      <c r="M468" s="611">
        <v>281</v>
      </c>
      <c r="N468" s="611"/>
      <c r="O468" s="611"/>
      <c r="P468" s="611">
        <v>1</v>
      </c>
      <c r="Q468" s="611">
        <v>2</v>
      </c>
      <c r="R468" s="611">
        <v>2</v>
      </c>
      <c r="S468" s="611"/>
      <c r="T468" s="643"/>
      <c r="U468" s="611"/>
      <c r="V468" s="611" t="s">
        <v>128</v>
      </c>
      <c r="W468" s="611"/>
      <c r="X468" s="611"/>
      <c r="Y468" s="611"/>
      <c r="Z468" s="611"/>
      <c r="AA468" s="611"/>
      <c r="AB468" s="643"/>
      <c r="AC468" s="611"/>
      <c r="AD468" s="611"/>
      <c r="AE468" s="611"/>
      <c r="AF468" s="611"/>
      <c r="AG468" s="611"/>
      <c r="AH468" s="611"/>
      <c r="AI468" s="611"/>
      <c r="AJ468" s="611"/>
      <c r="AK468" s="611"/>
      <c r="AL468" s="611"/>
      <c r="AM468" s="643"/>
      <c r="AN468" s="611"/>
      <c r="AO468" s="611"/>
      <c r="AP46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68" s="565">
        <f>WWWW[[#This Row],[%Equitable and continuous access to sufficient quantity of safe drinking water]]*WWWW[[#This Row],[Total PoP ]]</f>
        <v>835</v>
      </c>
      <c r="AR46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68" s="565">
        <f>WWWW[[#This Row],[% Access to unimproved water points]]*WWWW[[#This Row],[Total PoP ]]</f>
        <v>835</v>
      </c>
      <c r="AT46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6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835</v>
      </c>
      <c r="AV468" s="565">
        <f>WWWW[[#This Row],[HRP1]]/250</f>
        <v>3.34</v>
      </c>
      <c r="AW468" s="555">
        <f>1-WWWW[[#This Row],[% Equitable and continuous access to sufficient quantity of domestic water]]</f>
        <v>0</v>
      </c>
      <c r="AX468" s="565">
        <f>WWWW[[#This Row],[%equitable and continuous access to sufficient quantity of safe drinking and domestic water''s GAP]]*WWWW[[#This Row],[Total PoP ]]</f>
        <v>0</v>
      </c>
      <c r="AY468" s="557">
        <f>IF(WWWW[[#This Row],[Total required water points]]-WWWW[[#This Row],['#Water points coverage]]&lt;0,0,WWWW[[#This Row],[Total required water points]]-WWWW[[#This Row],['#Water points coverage]])</f>
        <v>0</v>
      </c>
      <c r="AZ468" s="557">
        <f>ROUND(IF(WWWW[[#This Row],[Total PoP ]]&lt;250,1,WWWW[[#This Row],[Total PoP ]]/250),0)</f>
        <v>3</v>
      </c>
      <c r="BA46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68" s="565">
        <f>WWWW[[#This Row],[% people access to functioning Latrine]]*WWWW[[#This Row],[Total PoP ]]</f>
        <v>0</v>
      </c>
      <c r="BC468" s="557">
        <f>WWWW[[#This Row],['#_of_Functioning_latrines_in_school]]*50</f>
        <v>0</v>
      </c>
      <c r="BD468" s="557">
        <f>ROUND((WWWW[[#This Row],[Total PoP ]]/6),0)</f>
        <v>139</v>
      </c>
      <c r="BE468" s="557">
        <f>IF(WWWW[[#This Row],[Total required Latrines]]-(WWWW[[#This Row],['#_of_sanitary_fly-proof_HH_latrines]])&lt;0,0,WWWW[[#This Row],[Total required Latrines]]-(WWWW[[#This Row],['#_of_sanitary_fly-proof_HH_latrines]]))</f>
        <v>139</v>
      </c>
      <c r="BF468" s="558">
        <f>1-WWWW[[#This Row],[% people access to functioning Latrine]]</f>
        <v>1</v>
      </c>
      <c r="BG46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8" s="565">
        <f>IF(WWWW[[#This Row],['#_of_functional_handwashing_facilities_at_HH_level]]*6&gt;WWWW[[#This Row],[Total PoP ]],WWWW[[#This Row],[Total PoP ]],WWWW[[#This Row],['#_of_functional_handwashing_facilities_at_HH_level]]*6)</f>
        <v>0</v>
      </c>
      <c r="BI468" s="557">
        <f>IF(WWWW[[#This Row],['# people reached by regular dedicated hygiene promotion]]&gt;WWWW[[#This Row],['# People received regular supply of hygiene items]],WWWW[[#This Row],['# people reached by regular dedicated hygiene promotion]],WWWW[[#This Row],['# People received regular supply of hygiene items]])</f>
        <v>0</v>
      </c>
      <c r="BJ468" s="555">
        <f>IF(WWWW[[#This Row],[HRP3]]/WWWW[[#This Row],[Total PoP ]]&gt;100%,100%,WWWW[[#This Row],[HRP3]]/WWWW[[#This Row],[Total PoP ]])</f>
        <v>0</v>
      </c>
      <c r="BK468" s="558">
        <f>1-WWWW[[#This Row],[Hygiene Coverage%]]</f>
        <v>1</v>
      </c>
      <c r="BL468" s="556">
        <f>WWWW[[#This Row],['# people reached by regular dedicated hygiene promotion]]/WWWW[[#This Row],[Total PoP ]]</f>
        <v>0</v>
      </c>
      <c r="BM46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8" s="557">
        <f>WWWW[[#This Row],['#_of_affected_women_and_girls_receiving_a_sufficient_quantity_of_sanitary_pads]]</f>
        <v>0</v>
      </c>
      <c r="BO468" s="611">
        <f>IF(WWWW[[#This Row],['# People with access to soap]]&gt;WWWW[[#This Row],['# People with access to Sanity Pads]],WWWW[[#This Row],['# People with access to soap]],WWWW[[#This Row],['# People with access to Sanity Pads]])</f>
        <v>0</v>
      </c>
      <c r="BP468" s="565" t="str">
        <f>IF(OR(WWWW[[#This Row],['#of students in school]]="",WWWW[[#This Row],['#of students in school]]=0),"No","Yes")</f>
        <v>Yes</v>
      </c>
      <c r="BQ468" s="559" t="str">
        <f>VLOOKUP(WWWW[[#This Row],[Village  Name]],SiteDB6[[Site Name]:[Location Type 1]],9,FALSE)</f>
        <v>Village</v>
      </c>
      <c r="BR468" s="559" t="str">
        <f>VLOOKUP(WWWW[[#This Row],[Village  Name]],SiteDB6[[Site Name]:[Type of Accommodation]],10,FALSE)</f>
        <v>Village</v>
      </c>
      <c r="BS468" s="559" t="str">
        <f>VLOOKUP(WWWW[[#This Row],[Village  Name]],SiteDB6[[Site Name]:[Ethnic or GCA/NGCA]],11,FALSE)</f>
        <v>Muslim</v>
      </c>
      <c r="BT468" s="559">
        <f>VLOOKUP(WWWW[[#This Row],[Village  Name]],SiteDB6[[Site Name]:[Lat]],12,FALSE)</f>
        <v>20.819919586181602</v>
      </c>
      <c r="BU468" s="559">
        <f>VLOOKUP(WWWW[[#This Row],[Village  Name]],SiteDB6[[Site Name]:[Long]],13,FALSE)</f>
        <v>92.589729309082003</v>
      </c>
      <c r="BV468" s="559">
        <f>VLOOKUP(WWWW[[#This Row],[Village  Name]],SiteDB6[[Site Name]:[Pcode]],3,FALSE)</f>
        <v>198349</v>
      </c>
      <c r="BW468" s="559" t="str">
        <f t="shared" si="17"/>
        <v>Covered</v>
      </c>
      <c r="BX468" s="587"/>
    </row>
    <row r="469" spans="1:76">
      <c r="A469" s="612" t="s">
        <v>2381</v>
      </c>
      <c r="B469" s="612" t="s">
        <v>2864</v>
      </c>
      <c r="C469" s="457" t="s">
        <v>371</v>
      </c>
      <c r="D469" s="457" t="s">
        <v>3050</v>
      </c>
      <c r="E469" s="457" t="s">
        <v>2686</v>
      </c>
      <c r="F469" s="457" t="s">
        <v>321</v>
      </c>
      <c r="G469" s="551" t="str">
        <f>VLOOKUP(WWWW[[#This Row],[Village  Name]],SiteDB6[[Site Name]:[Location Type]],8,FALSE)</f>
        <v>Village</v>
      </c>
      <c r="H469" s="457" t="s">
        <v>2552</v>
      </c>
      <c r="I469" s="611">
        <v>128</v>
      </c>
      <c r="J469" s="611">
        <v>658</v>
      </c>
      <c r="K469" s="461">
        <v>43678</v>
      </c>
      <c r="L469" s="55">
        <v>44196</v>
      </c>
      <c r="M469" s="611"/>
      <c r="N469" s="611"/>
      <c r="O469" s="611"/>
      <c r="P469" s="611"/>
      <c r="Q469" s="611"/>
      <c r="R469" s="611"/>
      <c r="S469" s="611"/>
      <c r="T469" s="643"/>
      <c r="U469" s="611"/>
      <c r="V469" s="611" t="s">
        <v>128</v>
      </c>
      <c r="W469" s="611"/>
      <c r="X469" s="611"/>
      <c r="Y469" s="611"/>
      <c r="Z469" s="611"/>
      <c r="AA469" s="611"/>
      <c r="AB469" s="643"/>
      <c r="AC469" s="611"/>
      <c r="AD469" s="611"/>
      <c r="AE469" s="611"/>
      <c r="AF469" s="611"/>
      <c r="AG469" s="611"/>
      <c r="AH469" s="611"/>
      <c r="AI469" s="611"/>
      <c r="AJ469" s="611"/>
      <c r="AK469" s="611"/>
      <c r="AL469" s="611"/>
      <c r="AM469" s="643"/>
      <c r="AN469" s="611"/>
      <c r="AO469" s="611"/>
      <c r="AP46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69" s="565">
        <f>WWWW[[#This Row],[%Equitable and continuous access to sufficient quantity of safe drinking water]]*WWWW[[#This Row],[Total PoP ]]</f>
        <v>0</v>
      </c>
      <c r="AR46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69" s="565">
        <f>WWWW[[#This Row],[% Access to unimproved water points]]*WWWW[[#This Row],[Total PoP ]]</f>
        <v>0</v>
      </c>
      <c r="AT46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6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69" s="565">
        <f>WWWW[[#This Row],[HRP1]]/250</f>
        <v>0</v>
      </c>
      <c r="AW469" s="555">
        <f>1-WWWW[[#This Row],[% Equitable and continuous access to sufficient quantity of domestic water]]</f>
        <v>1</v>
      </c>
      <c r="AX469" s="565">
        <f>WWWW[[#This Row],[%equitable and continuous access to sufficient quantity of safe drinking and domestic water''s GAP]]*WWWW[[#This Row],[Total PoP ]]</f>
        <v>658</v>
      </c>
      <c r="AY469" s="557">
        <f>IF(WWWW[[#This Row],[Total required water points]]-WWWW[[#This Row],['#Water points coverage]]&lt;0,0,WWWW[[#This Row],[Total required water points]]-WWWW[[#This Row],['#Water points coverage]])</f>
        <v>3</v>
      </c>
      <c r="AZ469" s="557">
        <f>ROUND(IF(WWWW[[#This Row],[Total PoP ]]&lt;250,1,WWWW[[#This Row],[Total PoP ]]/250),0)</f>
        <v>3</v>
      </c>
      <c r="BA46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69" s="565">
        <f>WWWW[[#This Row],[% people access to functioning Latrine]]*WWWW[[#This Row],[Total PoP ]]</f>
        <v>0</v>
      </c>
      <c r="BC469" s="557">
        <f>WWWW[[#This Row],['#_of_Functioning_latrines_in_school]]*50</f>
        <v>0</v>
      </c>
      <c r="BD469" s="557">
        <f>ROUND((WWWW[[#This Row],[Total PoP ]]/6),0)</f>
        <v>110</v>
      </c>
      <c r="BE469" s="557">
        <f>IF(WWWW[[#This Row],[Total required Latrines]]-(WWWW[[#This Row],['#_of_sanitary_fly-proof_HH_latrines]])&lt;0,0,WWWW[[#This Row],[Total required Latrines]]-(WWWW[[#This Row],['#_of_sanitary_fly-proof_HH_latrines]]))</f>
        <v>110</v>
      </c>
      <c r="BF469" s="558">
        <f>1-WWWW[[#This Row],[% people access to functioning Latrine]]</f>
        <v>1</v>
      </c>
      <c r="BG46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69" s="565">
        <f>IF(WWWW[[#This Row],['#_of_functional_handwashing_facilities_at_HH_level]]*6&gt;WWWW[[#This Row],[Total PoP ]],WWWW[[#This Row],[Total PoP ]],WWWW[[#This Row],['#_of_functional_handwashing_facilities_at_HH_level]]*6)</f>
        <v>0</v>
      </c>
      <c r="BI469" s="557">
        <f>IF(WWWW[[#This Row],['# people reached by regular dedicated hygiene promotion]]&gt;WWWW[[#This Row],['# People received regular supply of hygiene items]],WWWW[[#This Row],['# people reached by regular dedicated hygiene promotion]],WWWW[[#This Row],['# People received regular supply of hygiene items]])</f>
        <v>0</v>
      </c>
      <c r="BJ469" s="555">
        <f>IF(WWWW[[#This Row],[HRP3]]/WWWW[[#This Row],[Total PoP ]]&gt;100%,100%,WWWW[[#This Row],[HRP3]]/WWWW[[#This Row],[Total PoP ]])</f>
        <v>0</v>
      </c>
      <c r="BK469" s="558">
        <f>1-WWWW[[#This Row],[Hygiene Coverage%]]</f>
        <v>1</v>
      </c>
      <c r="BL469" s="556">
        <f>WWWW[[#This Row],['# people reached by regular dedicated hygiene promotion]]/WWWW[[#This Row],[Total PoP ]]</f>
        <v>0</v>
      </c>
      <c r="BM46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69" s="557">
        <f>WWWW[[#This Row],['#_of_affected_women_and_girls_receiving_a_sufficient_quantity_of_sanitary_pads]]</f>
        <v>0</v>
      </c>
      <c r="BO469" s="611">
        <f>IF(WWWW[[#This Row],['# People with access to soap]]&gt;WWWW[[#This Row],['# People with access to Sanity Pads]],WWWW[[#This Row],['# People with access to soap]],WWWW[[#This Row],['# People with access to Sanity Pads]])</f>
        <v>0</v>
      </c>
      <c r="BP469" s="565" t="str">
        <f>IF(OR(WWWW[[#This Row],['#of students in school]]="",WWWW[[#This Row],['#of students in school]]=0),"No","Yes")</f>
        <v>No</v>
      </c>
      <c r="BQ469" s="559" t="str">
        <f>VLOOKUP(WWWW[[#This Row],[Village  Name]],SiteDB6[[Site Name]:[Location Type 1]],9,FALSE)</f>
        <v>Village</v>
      </c>
      <c r="BR469" s="559" t="str">
        <f>VLOOKUP(WWWW[[#This Row],[Village  Name]],SiteDB6[[Site Name]:[Type of Accommodation]],10,FALSE)</f>
        <v>Village</v>
      </c>
      <c r="BS469" s="559" t="str">
        <f>VLOOKUP(WWWW[[#This Row],[Village  Name]],SiteDB6[[Site Name]:[Ethnic or GCA/NGCA]],11,FALSE)</f>
        <v>Rakhine</v>
      </c>
      <c r="BT469" s="559">
        <f>VLOOKUP(WWWW[[#This Row],[Village  Name]],SiteDB6[[Site Name]:[Lat]],12,FALSE)</f>
        <v>20.703920360000001</v>
      </c>
      <c r="BU469" s="559">
        <f>VLOOKUP(WWWW[[#This Row],[Village  Name]],SiteDB6[[Site Name]:[Long]],13,FALSE)</f>
        <v>92.631500239999994</v>
      </c>
      <c r="BV469" s="559">
        <f>VLOOKUP(WWWW[[#This Row],[Village  Name]],SiteDB6[[Site Name]:[Pcode]],3,FALSE)</f>
        <v>198428</v>
      </c>
      <c r="BW469" s="559" t="str">
        <f t="shared" si="17"/>
        <v>Covered</v>
      </c>
      <c r="BX469" s="587"/>
    </row>
    <row r="470" spans="1:76">
      <c r="A470" s="612" t="s">
        <v>2381</v>
      </c>
      <c r="B470" s="612" t="s">
        <v>2864</v>
      </c>
      <c r="C470" s="457" t="s">
        <v>371</v>
      </c>
      <c r="D470" s="457" t="s">
        <v>3050</v>
      </c>
      <c r="E470" s="457" t="s">
        <v>2686</v>
      </c>
      <c r="F470" s="457" t="s">
        <v>321</v>
      </c>
      <c r="G470" s="551" t="str">
        <f>VLOOKUP(WWWW[[#This Row],[Village  Name]],SiteDB6[[Site Name]:[Location Type]],8,FALSE)</f>
        <v>Village</v>
      </c>
      <c r="H470" s="457" t="s">
        <v>540</v>
      </c>
      <c r="I470" s="611">
        <v>120</v>
      </c>
      <c r="J470" s="611">
        <v>491</v>
      </c>
      <c r="K470" s="461">
        <v>43678</v>
      </c>
      <c r="L470" s="55">
        <v>44196</v>
      </c>
      <c r="M470" s="611">
        <v>120</v>
      </c>
      <c r="N470" s="611"/>
      <c r="O470" s="611"/>
      <c r="P470" s="611">
        <v>2</v>
      </c>
      <c r="Q470" s="611">
        <v>1</v>
      </c>
      <c r="R470" s="611"/>
      <c r="S470" s="611"/>
      <c r="T470" s="643"/>
      <c r="U470" s="611"/>
      <c r="V470" s="611" t="s">
        <v>128</v>
      </c>
      <c r="W470" s="611">
        <v>3</v>
      </c>
      <c r="X470" s="611"/>
      <c r="Y470" s="611"/>
      <c r="Z470" s="611"/>
      <c r="AA470" s="611"/>
      <c r="AB470" s="643"/>
      <c r="AC470" s="611"/>
      <c r="AD470" s="611"/>
      <c r="AE470" s="611"/>
      <c r="AF470" s="611"/>
      <c r="AG470" s="611"/>
      <c r="AH470" s="611"/>
      <c r="AI470" s="611"/>
      <c r="AJ470" s="611"/>
      <c r="AK470" s="611"/>
      <c r="AL470" s="611"/>
      <c r="AM470" s="643"/>
      <c r="AN470" s="611"/>
      <c r="AO470" s="611"/>
      <c r="AP47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70" s="565">
        <f>WWWW[[#This Row],[%Equitable and continuous access to sufficient quantity of safe drinking water]]*WWWW[[#This Row],[Total PoP ]]</f>
        <v>491</v>
      </c>
      <c r="AR47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70" s="565">
        <f>WWWW[[#This Row],[% Access to unimproved water points]]*WWWW[[#This Row],[Total PoP ]]</f>
        <v>491</v>
      </c>
      <c r="AT47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7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491</v>
      </c>
      <c r="AV470" s="565">
        <f>WWWW[[#This Row],[HRP1]]/250</f>
        <v>1.964</v>
      </c>
      <c r="AW470" s="555">
        <f>1-WWWW[[#This Row],[% Equitable and continuous access to sufficient quantity of domestic water]]</f>
        <v>0</v>
      </c>
      <c r="AX470" s="565">
        <f>WWWW[[#This Row],[%equitable and continuous access to sufficient quantity of safe drinking and domestic water''s GAP]]*WWWW[[#This Row],[Total PoP ]]</f>
        <v>0</v>
      </c>
      <c r="AY470" s="557">
        <f>IF(WWWW[[#This Row],[Total required water points]]-WWWW[[#This Row],['#Water points coverage]]&lt;0,0,WWWW[[#This Row],[Total required water points]]-WWWW[[#This Row],['#Water points coverage]])</f>
        <v>3.6000000000000032E-2</v>
      </c>
      <c r="AZ470" s="557">
        <f>ROUND(IF(WWWW[[#This Row],[Total PoP ]]&lt;250,1,WWWW[[#This Row],[Total PoP ]]/250),0)</f>
        <v>2</v>
      </c>
      <c r="BA47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0.30549898167006112</v>
      </c>
      <c r="BB470" s="565">
        <f>WWWW[[#This Row],[% people access to functioning Latrine]]*WWWW[[#This Row],[Total PoP ]]</f>
        <v>150</v>
      </c>
      <c r="BC470" s="557">
        <f>WWWW[[#This Row],['#_of_Functioning_latrines_in_school]]*50</f>
        <v>150</v>
      </c>
      <c r="BD470" s="557">
        <f>ROUND((WWWW[[#This Row],[Total PoP ]]/6),0)</f>
        <v>82</v>
      </c>
      <c r="BE470" s="557">
        <f>IF(WWWW[[#This Row],[Total required Latrines]]-(WWWW[[#This Row],['#_of_sanitary_fly-proof_HH_latrines]])&lt;0,0,WWWW[[#This Row],[Total required Latrines]]-(WWWW[[#This Row],['#_of_sanitary_fly-proof_HH_latrines]]))</f>
        <v>82</v>
      </c>
      <c r="BF470" s="558">
        <f>1-WWWW[[#This Row],[% people access to functioning Latrine]]</f>
        <v>0.69450101832993894</v>
      </c>
      <c r="BG47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0" s="565">
        <f>IF(WWWW[[#This Row],['#_of_functional_handwashing_facilities_at_HH_level]]*6&gt;WWWW[[#This Row],[Total PoP ]],WWWW[[#This Row],[Total PoP ]],WWWW[[#This Row],['#_of_functional_handwashing_facilities_at_HH_level]]*6)</f>
        <v>0</v>
      </c>
      <c r="BI470" s="557">
        <f>IF(WWWW[[#This Row],['# people reached by regular dedicated hygiene promotion]]&gt;WWWW[[#This Row],['# People received regular supply of hygiene items]],WWWW[[#This Row],['# people reached by regular dedicated hygiene promotion]],WWWW[[#This Row],['# People received regular supply of hygiene items]])</f>
        <v>0</v>
      </c>
      <c r="BJ470" s="555">
        <f>IF(WWWW[[#This Row],[HRP3]]/WWWW[[#This Row],[Total PoP ]]&gt;100%,100%,WWWW[[#This Row],[HRP3]]/WWWW[[#This Row],[Total PoP ]])</f>
        <v>0</v>
      </c>
      <c r="BK470" s="558">
        <f>1-WWWW[[#This Row],[Hygiene Coverage%]]</f>
        <v>1</v>
      </c>
      <c r="BL470" s="556">
        <f>WWWW[[#This Row],['# people reached by regular dedicated hygiene promotion]]/WWWW[[#This Row],[Total PoP ]]</f>
        <v>0</v>
      </c>
      <c r="BM47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0" s="557">
        <f>WWWW[[#This Row],['#_of_affected_women_and_girls_receiving_a_sufficient_quantity_of_sanitary_pads]]</f>
        <v>0</v>
      </c>
      <c r="BO470" s="611">
        <f>IF(WWWW[[#This Row],['# People with access to soap]]&gt;WWWW[[#This Row],['# People with access to Sanity Pads]],WWWW[[#This Row],['# People with access to soap]],WWWW[[#This Row],['# People with access to Sanity Pads]])</f>
        <v>0</v>
      </c>
      <c r="BP470" s="565" t="str">
        <f>IF(OR(WWWW[[#This Row],['#of students in school]]="",WWWW[[#This Row],['#of students in school]]=0),"No","Yes")</f>
        <v>Yes</v>
      </c>
      <c r="BQ470" s="559" t="str">
        <f>VLOOKUP(WWWW[[#This Row],[Village  Name]],SiteDB6[[Site Name]:[Location Type 1]],9,FALSE)</f>
        <v>Village</v>
      </c>
      <c r="BR470" s="559" t="str">
        <f>VLOOKUP(WWWW[[#This Row],[Village  Name]],SiteDB6[[Site Name]:[Type of Accommodation]],10,FALSE)</f>
        <v>Village</v>
      </c>
      <c r="BS470" s="559">
        <f>VLOOKUP(WWWW[[#This Row],[Village  Name]],SiteDB6[[Site Name]:[Ethnic or GCA/NGCA]],11,FALSE)</f>
        <v>0</v>
      </c>
      <c r="BT470" s="559">
        <f>VLOOKUP(WWWW[[#This Row],[Village  Name]],SiteDB6[[Site Name]:[Lat]],12,FALSE)</f>
        <v>20.685689929999999</v>
      </c>
      <c r="BU470" s="559">
        <f>VLOOKUP(WWWW[[#This Row],[Village  Name]],SiteDB6[[Site Name]:[Long]],13,FALSE)</f>
        <v>92.572860719999994</v>
      </c>
      <c r="BV470" s="559">
        <f>VLOOKUP(WWWW[[#This Row],[Village  Name]],SiteDB6[[Site Name]:[Pcode]],3,FALSE)</f>
        <v>220754</v>
      </c>
      <c r="BW470" s="559" t="str">
        <f t="shared" si="17"/>
        <v>Covered</v>
      </c>
      <c r="BX470" s="587"/>
    </row>
    <row r="471" spans="1:76">
      <c r="A471" s="612" t="s">
        <v>2381</v>
      </c>
      <c r="B471" s="612" t="s">
        <v>2864</v>
      </c>
      <c r="C471" s="457" t="s">
        <v>371</v>
      </c>
      <c r="D471" s="457" t="s">
        <v>3050</v>
      </c>
      <c r="E471" s="457" t="s">
        <v>2686</v>
      </c>
      <c r="F471" s="457" t="s">
        <v>321</v>
      </c>
      <c r="G471" s="551" t="str">
        <f>VLOOKUP(WWWW[[#This Row],[Village  Name]],SiteDB6[[Site Name]:[Location Type]],8,FALSE)</f>
        <v>Village</v>
      </c>
      <c r="H471" s="457" t="s">
        <v>2967</v>
      </c>
      <c r="I471" s="611">
        <v>350</v>
      </c>
      <c r="J471" s="611">
        <v>2722</v>
      </c>
      <c r="K471" s="461">
        <v>43678</v>
      </c>
      <c r="L471" s="55">
        <v>44196</v>
      </c>
      <c r="M471" s="611"/>
      <c r="N471" s="611"/>
      <c r="O471" s="611">
        <v>2</v>
      </c>
      <c r="P471" s="611">
        <v>3</v>
      </c>
      <c r="Q471" s="611"/>
      <c r="R471" s="611"/>
      <c r="S471" s="611"/>
      <c r="T471" s="643"/>
      <c r="U471" s="611"/>
      <c r="V471" s="611" t="s">
        <v>128</v>
      </c>
      <c r="W471" s="611">
        <v>3</v>
      </c>
      <c r="X471" s="611"/>
      <c r="Y471" s="611"/>
      <c r="Z471" s="611"/>
      <c r="AA471" s="611"/>
      <c r="AB471" s="643"/>
      <c r="AC471" s="611"/>
      <c r="AD471" s="611"/>
      <c r="AE471" s="611"/>
      <c r="AF471" s="611"/>
      <c r="AG471" s="611"/>
      <c r="AH471" s="611"/>
      <c r="AI471" s="611"/>
      <c r="AJ471" s="611"/>
      <c r="AK471" s="611"/>
      <c r="AL471" s="611"/>
      <c r="AM471" s="643"/>
      <c r="AN471" s="611"/>
      <c r="AO471" s="611"/>
      <c r="AP47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71" s="565">
        <f>WWWW[[#This Row],[%Equitable and continuous access to sufficient quantity of safe drinking water]]*WWWW[[#This Row],[Total PoP ]]</f>
        <v>2722</v>
      </c>
      <c r="AR47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71" s="565">
        <f>WWWW[[#This Row],[% Access to unimproved water points]]*WWWW[[#This Row],[Total PoP ]]</f>
        <v>0</v>
      </c>
      <c r="AT47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7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2722</v>
      </c>
      <c r="AV471" s="565">
        <f>WWWW[[#This Row],[HRP1]]/250</f>
        <v>10.888</v>
      </c>
      <c r="AW471" s="555">
        <f>1-WWWW[[#This Row],[% Equitable and continuous access to sufficient quantity of domestic water]]</f>
        <v>0</v>
      </c>
      <c r="AX471" s="565">
        <f>WWWW[[#This Row],[%equitable and continuous access to sufficient quantity of safe drinking and domestic water''s GAP]]*WWWW[[#This Row],[Total PoP ]]</f>
        <v>0</v>
      </c>
      <c r="AY471" s="557">
        <f>IF(WWWW[[#This Row],[Total required water points]]-WWWW[[#This Row],['#Water points coverage]]&lt;0,0,WWWW[[#This Row],[Total required water points]]-WWWW[[#This Row],['#Water points coverage]])</f>
        <v>0.1120000000000001</v>
      </c>
      <c r="AZ471" s="557">
        <f>ROUND(IF(WWWW[[#This Row],[Total PoP ]]&lt;250,1,WWWW[[#This Row],[Total PoP ]]/250),0)</f>
        <v>11</v>
      </c>
      <c r="BA47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5.5106539309331376E-2</v>
      </c>
      <c r="BB471" s="565">
        <f>WWWW[[#This Row],[% people access to functioning Latrine]]*WWWW[[#This Row],[Total PoP ]]</f>
        <v>150</v>
      </c>
      <c r="BC471" s="557">
        <f>WWWW[[#This Row],['#_of_Functioning_latrines_in_school]]*50</f>
        <v>150</v>
      </c>
      <c r="BD471" s="557">
        <f>ROUND((WWWW[[#This Row],[Total PoP ]]/6),0)</f>
        <v>454</v>
      </c>
      <c r="BE471" s="557">
        <f>IF(WWWW[[#This Row],[Total required Latrines]]-(WWWW[[#This Row],['#_of_sanitary_fly-proof_HH_latrines]])&lt;0,0,WWWW[[#This Row],[Total required Latrines]]-(WWWW[[#This Row],['#_of_sanitary_fly-proof_HH_latrines]]))</f>
        <v>454</v>
      </c>
      <c r="BF471" s="558">
        <f>1-WWWW[[#This Row],[% people access to functioning Latrine]]</f>
        <v>0.9448934606906686</v>
      </c>
      <c r="BG47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1" s="565">
        <f>IF(WWWW[[#This Row],['#_of_functional_handwashing_facilities_at_HH_level]]*6&gt;WWWW[[#This Row],[Total PoP ]],WWWW[[#This Row],[Total PoP ]],WWWW[[#This Row],['#_of_functional_handwashing_facilities_at_HH_level]]*6)</f>
        <v>0</v>
      </c>
      <c r="BI471" s="557">
        <f>IF(WWWW[[#This Row],['# people reached by regular dedicated hygiene promotion]]&gt;WWWW[[#This Row],['# People received regular supply of hygiene items]],WWWW[[#This Row],['# people reached by regular dedicated hygiene promotion]],WWWW[[#This Row],['# People received regular supply of hygiene items]])</f>
        <v>0</v>
      </c>
      <c r="BJ471" s="555">
        <f>IF(WWWW[[#This Row],[HRP3]]/WWWW[[#This Row],[Total PoP ]]&gt;100%,100%,WWWW[[#This Row],[HRP3]]/WWWW[[#This Row],[Total PoP ]])</f>
        <v>0</v>
      </c>
      <c r="BK471" s="558">
        <f>1-WWWW[[#This Row],[Hygiene Coverage%]]</f>
        <v>1</v>
      </c>
      <c r="BL471" s="556">
        <f>WWWW[[#This Row],['# people reached by regular dedicated hygiene promotion]]/WWWW[[#This Row],[Total PoP ]]</f>
        <v>0</v>
      </c>
      <c r="BM47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1" s="557">
        <f>WWWW[[#This Row],['#_of_affected_women_and_girls_receiving_a_sufficient_quantity_of_sanitary_pads]]</f>
        <v>0</v>
      </c>
      <c r="BO471" s="611">
        <f>IF(WWWW[[#This Row],['# People with access to soap]]&gt;WWWW[[#This Row],['# People with access to Sanity Pads]],WWWW[[#This Row],['# People with access to soap]],WWWW[[#This Row],['# People with access to Sanity Pads]])</f>
        <v>0</v>
      </c>
      <c r="BP471" s="565" t="str">
        <f>IF(OR(WWWW[[#This Row],['#of students in school]]="",WWWW[[#This Row],['#of students in school]]=0),"No","Yes")</f>
        <v>No</v>
      </c>
      <c r="BQ471" s="559" t="str">
        <f>VLOOKUP(WWWW[[#This Row],[Village  Name]],SiteDB6[[Site Name]:[Location Type 1]],9,FALSE)</f>
        <v>Village</v>
      </c>
      <c r="BR471" s="559" t="str">
        <f>VLOOKUP(WWWW[[#This Row],[Village  Name]],SiteDB6[[Site Name]:[Type of Accommodation]],10,FALSE)</f>
        <v>Village</v>
      </c>
      <c r="BS471" s="559" t="str">
        <f>VLOOKUP(WWWW[[#This Row],[Village  Name]],SiteDB6[[Site Name]:[Ethnic or GCA/NGCA]],11,FALSE)</f>
        <v>Muslim</v>
      </c>
      <c r="BT471" s="559">
        <f>VLOOKUP(WWWW[[#This Row],[Village  Name]],SiteDB6[[Site Name]:[Lat]],12,FALSE)</f>
        <v>20.692510599999999</v>
      </c>
      <c r="BU471" s="559">
        <f>VLOOKUP(WWWW[[#This Row],[Village  Name]],SiteDB6[[Site Name]:[Long]],13,FALSE)</f>
        <v>92.579689029999997</v>
      </c>
      <c r="BV471" s="559">
        <f>VLOOKUP(WWWW[[#This Row],[Village  Name]],SiteDB6[[Site Name]:[Pcode]],3,FALSE)</f>
        <v>198442</v>
      </c>
      <c r="BW471" s="559" t="str">
        <f t="shared" si="17"/>
        <v>Covered</v>
      </c>
      <c r="BX471" s="587"/>
    </row>
    <row r="472" spans="1:76">
      <c r="A472" s="612" t="s">
        <v>2381</v>
      </c>
      <c r="B472" s="612" t="s">
        <v>2864</v>
      </c>
      <c r="C472" s="457" t="s">
        <v>371</v>
      </c>
      <c r="D472" s="457" t="s">
        <v>3050</v>
      </c>
      <c r="E472" s="457" t="s">
        <v>2686</v>
      </c>
      <c r="F472" s="457" t="s">
        <v>321</v>
      </c>
      <c r="G472" s="551" t="str">
        <f>VLOOKUP(WWWW[[#This Row],[Village  Name]],SiteDB6[[Site Name]:[Location Type]],8,FALSE)</f>
        <v>Village</v>
      </c>
      <c r="H472" s="457" t="s">
        <v>542</v>
      </c>
      <c r="I472" s="611">
        <v>272</v>
      </c>
      <c r="J472" s="611">
        <v>1757</v>
      </c>
      <c r="K472" s="461">
        <v>43678</v>
      </c>
      <c r="L472" s="55">
        <v>44196</v>
      </c>
      <c r="M472" s="611"/>
      <c r="N472" s="611"/>
      <c r="O472" s="611">
        <v>2</v>
      </c>
      <c r="P472" s="611"/>
      <c r="Q472" s="611">
        <v>2</v>
      </c>
      <c r="R472" s="611">
        <v>1</v>
      </c>
      <c r="S472" s="611"/>
      <c r="T472" s="643"/>
      <c r="U472" s="611"/>
      <c r="V472" s="611" t="s">
        <v>128</v>
      </c>
      <c r="W472" s="611">
        <v>4</v>
      </c>
      <c r="X472" s="611"/>
      <c r="Y472" s="611"/>
      <c r="Z472" s="611"/>
      <c r="AA472" s="611"/>
      <c r="AB472" s="643"/>
      <c r="AC472" s="611"/>
      <c r="AD472" s="611"/>
      <c r="AE472" s="611"/>
      <c r="AF472" s="611"/>
      <c r="AG472" s="611"/>
      <c r="AH472" s="611"/>
      <c r="AI472" s="611"/>
      <c r="AJ472" s="611"/>
      <c r="AK472" s="611"/>
      <c r="AL472" s="611"/>
      <c r="AM472" s="643"/>
      <c r="AN472" s="611"/>
      <c r="AO472" s="611"/>
      <c r="AP47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72" s="565">
        <f>WWWW[[#This Row],[%Equitable and continuous access to sufficient quantity of safe drinking water]]*WWWW[[#This Row],[Total PoP ]]</f>
        <v>1757</v>
      </c>
      <c r="AR47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72" s="565">
        <f>WWWW[[#This Row],[% Access to unimproved water points]]*WWWW[[#This Row],[Total PoP ]]</f>
        <v>1757</v>
      </c>
      <c r="AT47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7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1757</v>
      </c>
      <c r="AV472" s="565">
        <f>WWWW[[#This Row],[HRP1]]/250</f>
        <v>7.0279999999999996</v>
      </c>
      <c r="AW472" s="555">
        <f>1-WWWW[[#This Row],[% Equitable and continuous access to sufficient quantity of domestic water]]</f>
        <v>0</v>
      </c>
      <c r="AX472" s="565">
        <f>WWWW[[#This Row],[%equitable and continuous access to sufficient quantity of safe drinking and domestic water''s GAP]]*WWWW[[#This Row],[Total PoP ]]</f>
        <v>0</v>
      </c>
      <c r="AY472" s="557">
        <f>IF(WWWW[[#This Row],[Total required water points]]-WWWW[[#This Row],['#Water points coverage]]&lt;0,0,WWWW[[#This Row],[Total required water points]]-WWWW[[#This Row],['#Water points coverage]])</f>
        <v>0</v>
      </c>
      <c r="AZ472" s="557">
        <f>ROUND(IF(WWWW[[#This Row],[Total PoP ]]&lt;250,1,WWWW[[#This Row],[Total PoP ]]/250),0)</f>
        <v>7</v>
      </c>
      <c r="BA47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0.11383039271485487</v>
      </c>
      <c r="BB472" s="565">
        <f>WWWW[[#This Row],[% people access to functioning Latrine]]*WWWW[[#This Row],[Total PoP ]]</f>
        <v>200</v>
      </c>
      <c r="BC472" s="557">
        <f>WWWW[[#This Row],['#_of_Functioning_latrines_in_school]]*50</f>
        <v>200</v>
      </c>
      <c r="BD472" s="557">
        <f>ROUND((WWWW[[#This Row],[Total PoP ]]/6),0)</f>
        <v>293</v>
      </c>
      <c r="BE472" s="557">
        <f>IF(WWWW[[#This Row],[Total required Latrines]]-(WWWW[[#This Row],['#_of_sanitary_fly-proof_HH_latrines]])&lt;0,0,WWWW[[#This Row],[Total required Latrines]]-(WWWW[[#This Row],['#_of_sanitary_fly-proof_HH_latrines]]))</f>
        <v>293</v>
      </c>
      <c r="BF472" s="558">
        <f>1-WWWW[[#This Row],[% people access to functioning Latrine]]</f>
        <v>0.88616960728514516</v>
      </c>
      <c r="BG47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2" s="565">
        <f>IF(WWWW[[#This Row],['#_of_functional_handwashing_facilities_at_HH_level]]*6&gt;WWWW[[#This Row],[Total PoP ]],WWWW[[#This Row],[Total PoP ]],WWWW[[#This Row],['#_of_functional_handwashing_facilities_at_HH_level]]*6)</f>
        <v>0</v>
      </c>
      <c r="BI472" s="557">
        <f>IF(WWWW[[#This Row],['# people reached by regular dedicated hygiene promotion]]&gt;WWWW[[#This Row],['# People received regular supply of hygiene items]],WWWW[[#This Row],['# people reached by regular dedicated hygiene promotion]],WWWW[[#This Row],['# People received regular supply of hygiene items]])</f>
        <v>0</v>
      </c>
      <c r="BJ472" s="555">
        <f>IF(WWWW[[#This Row],[HRP3]]/WWWW[[#This Row],[Total PoP ]]&gt;100%,100%,WWWW[[#This Row],[HRP3]]/WWWW[[#This Row],[Total PoP ]])</f>
        <v>0</v>
      </c>
      <c r="BK472" s="558">
        <f>1-WWWW[[#This Row],[Hygiene Coverage%]]</f>
        <v>1</v>
      </c>
      <c r="BL472" s="556">
        <f>WWWW[[#This Row],['# people reached by regular dedicated hygiene promotion]]/WWWW[[#This Row],[Total PoP ]]</f>
        <v>0</v>
      </c>
      <c r="BM47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2" s="557">
        <f>WWWW[[#This Row],['#_of_affected_women_and_girls_receiving_a_sufficient_quantity_of_sanitary_pads]]</f>
        <v>0</v>
      </c>
      <c r="BO472" s="611">
        <f>IF(WWWW[[#This Row],['# People with access to soap]]&gt;WWWW[[#This Row],['# People with access to Sanity Pads]],WWWW[[#This Row],['# People with access to soap]],WWWW[[#This Row],['# People with access to Sanity Pads]])</f>
        <v>0</v>
      </c>
      <c r="BP472" s="565" t="str">
        <f>IF(OR(WWWW[[#This Row],['#of students in school]]="",WWWW[[#This Row],['#of students in school]]=0),"No","Yes")</f>
        <v>No</v>
      </c>
      <c r="BQ472" s="559" t="str">
        <f>VLOOKUP(WWWW[[#This Row],[Village  Name]],SiteDB6[[Site Name]:[Location Type 1]],9,FALSE)</f>
        <v>Village</v>
      </c>
      <c r="BR472" s="559" t="str">
        <f>VLOOKUP(WWWW[[#This Row],[Village  Name]],SiteDB6[[Site Name]:[Type of Accommodation]],10,FALSE)</f>
        <v>Village</v>
      </c>
      <c r="BS472" s="559" t="str">
        <f>VLOOKUP(WWWW[[#This Row],[Village  Name]],SiteDB6[[Site Name]:[Ethnic or GCA/NGCA]],11,FALSE)</f>
        <v>Muslim</v>
      </c>
      <c r="BT472" s="559">
        <f>VLOOKUP(WWWW[[#This Row],[Village  Name]],SiteDB6[[Site Name]:[Lat]],12,FALSE)</f>
        <v>20.686819079999999</v>
      </c>
      <c r="BU472" s="559">
        <f>VLOOKUP(WWWW[[#This Row],[Village  Name]],SiteDB6[[Site Name]:[Long]],13,FALSE)</f>
        <v>92.57855988</v>
      </c>
      <c r="BV472" s="559">
        <f>VLOOKUP(WWWW[[#This Row],[Village  Name]],SiteDB6[[Site Name]:[Pcode]],3,FALSE)</f>
        <v>198443</v>
      </c>
      <c r="BW472" s="559" t="str">
        <f t="shared" si="17"/>
        <v>Covered</v>
      </c>
      <c r="BX472" s="587"/>
    </row>
    <row r="473" spans="1:76">
      <c r="A473" s="612" t="s">
        <v>2381</v>
      </c>
      <c r="B473" s="612" t="s">
        <v>2864</v>
      </c>
      <c r="C473" s="457" t="s">
        <v>371</v>
      </c>
      <c r="D473" s="457" t="s">
        <v>3050</v>
      </c>
      <c r="E473" s="457" t="s">
        <v>2686</v>
      </c>
      <c r="F473" s="457" t="s">
        <v>321</v>
      </c>
      <c r="G473" s="551" t="str">
        <f>VLOOKUP(WWWW[[#This Row],[Village  Name]],SiteDB6[[Site Name]:[Location Type]],8,FALSE)</f>
        <v>Village</v>
      </c>
      <c r="H473" s="457" t="s">
        <v>3058</v>
      </c>
      <c r="I473" s="611">
        <v>395</v>
      </c>
      <c r="J473" s="611">
        <v>2435</v>
      </c>
      <c r="K473" s="461">
        <v>43678</v>
      </c>
      <c r="L473" s="55">
        <v>44196</v>
      </c>
      <c r="M473" s="611">
        <v>630</v>
      </c>
      <c r="N473" s="611"/>
      <c r="O473" s="611"/>
      <c r="P473" s="611">
        <v>1</v>
      </c>
      <c r="Q473" s="611">
        <v>6</v>
      </c>
      <c r="R473" s="611">
        <v>1</v>
      </c>
      <c r="S473" s="611"/>
      <c r="T473" s="643"/>
      <c r="U473" s="611"/>
      <c r="V473" s="611" t="s">
        <v>128</v>
      </c>
      <c r="W473" s="611">
        <v>2</v>
      </c>
      <c r="X473" s="611"/>
      <c r="Y473" s="611"/>
      <c r="Z473" s="611"/>
      <c r="AA473" s="611"/>
      <c r="AB473" s="643"/>
      <c r="AC473" s="611"/>
      <c r="AD473" s="611"/>
      <c r="AE473" s="611"/>
      <c r="AF473" s="611"/>
      <c r="AG473" s="611"/>
      <c r="AH473" s="611"/>
      <c r="AI473" s="611"/>
      <c r="AJ473" s="611"/>
      <c r="AK473" s="611"/>
      <c r="AL473" s="611"/>
      <c r="AM473" s="643"/>
      <c r="AN473" s="611"/>
      <c r="AO473" s="611"/>
      <c r="AP47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73" s="565">
        <f>WWWW[[#This Row],[%Equitable and continuous access to sufficient quantity of safe drinking water]]*WWWW[[#This Row],[Total PoP ]]</f>
        <v>2435</v>
      </c>
      <c r="AR47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73" s="565">
        <f>WWWW[[#This Row],[% Access to unimproved water points]]*WWWW[[#This Row],[Total PoP ]]</f>
        <v>2435</v>
      </c>
      <c r="AT47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7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2435</v>
      </c>
      <c r="AV473" s="565">
        <f>WWWW[[#This Row],[HRP1]]/250</f>
        <v>9.74</v>
      </c>
      <c r="AW473" s="555">
        <f>1-WWWW[[#This Row],[% Equitable and continuous access to sufficient quantity of domestic water]]</f>
        <v>0</v>
      </c>
      <c r="AX473" s="565">
        <f>WWWW[[#This Row],[%equitable and continuous access to sufficient quantity of safe drinking and domestic water''s GAP]]*WWWW[[#This Row],[Total PoP ]]</f>
        <v>0</v>
      </c>
      <c r="AY473" s="557">
        <f>IF(WWWW[[#This Row],[Total required water points]]-WWWW[[#This Row],['#Water points coverage]]&lt;0,0,WWWW[[#This Row],[Total required water points]]-WWWW[[#This Row],['#Water points coverage]])</f>
        <v>0.25999999999999979</v>
      </c>
      <c r="AZ473" s="557">
        <f>ROUND(IF(WWWW[[#This Row],[Total PoP ]]&lt;250,1,WWWW[[#This Row],[Total PoP ]]/250),0)</f>
        <v>10</v>
      </c>
      <c r="BA47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4.1067761806981518E-2</v>
      </c>
      <c r="BB473" s="565">
        <f>WWWW[[#This Row],[% people access to functioning Latrine]]*WWWW[[#This Row],[Total PoP ]]</f>
        <v>100</v>
      </c>
      <c r="BC473" s="557">
        <f>WWWW[[#This Row],['#_of_Functioning_latrines_in_school]]*50</f>
        <v>100</v>
      </c>
      <c r="BD473" s="557">
        <f>ROUND((WWWW[[#This Row],[Total PoP ]]/6),0)</f>
        <v>406</v>
      </c>
      <c r="BE473" s="557">
        <f>IF(WWWW[[#This Row],[Total required Latrines]]-(WWWW[[#This Row],['#_of_sanitary_fly-proof_HH_latrines]])&lt;0,0,WWWW[[#This Row],[Total required Latrines]]-(WWWW[[#This Row],['#_of_sanitary_fly-proof_HH_latrines]]))</f>
        <v>406</v>
      </c>
      <c r="BF473" s="558">
        <f>1-WWWW[[#This Row],[% people access to functioning Latrine]]</f>
        <v>0.95893223819301854</v>
      </c>
      <c r="BG47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3" s="565">
        <f>IF(WWWW[[#This Row],['#_of_functional_handwashing_facilities_at_HH_level]]*6&gt;WWWW[[#This Row],[Total PoP ]],WWWW[[#This Row],[Total PoP ]],WWWW[[#This Row],['#_of_functional_handwashing_facilities_at_HH_level]]*6)</f>
        <v>0</v>
      </c>
      <c r="BI473" s="557">
        <f>IF(WWWW[[#This Row],['# people reached by regular dedicated hygiene promotion]]&gt;WWWW[[#This Row],['# People received regular supply of hygiene items]],WWWW[[#This Row],['# people reached by regular dedicated hygiene promotion]],WWWW[[#This Row],['# People received regular supply of hygiene items]])</f>
        <v>0</v>
      </c>
      <c r="BJ473" s="555">
        <f>IF(WWWW[[#This Row],[HRP3]]/WWWW[[#This Row],[Total PoP ]]&gt;100%,100%,WWWW[[#This Row],[HRP3]]/WWWW[[#This Row],[Total PoP ]])</f>
        <v>0</v>
      </c>
      <c r="BK473" s="558">
        <f>1-WWWW[[#This Row],[Hygiene Coverage%]]</f>
        <v>1</v>
      </c>
      <c r="BL473" s="556">
        <f>WWWW[[#This Row],['# people reached by regular dedicated hygiene promotion]]/WWWW[[#This Row],[Total PoP ]]</f>
        <v>0</v>
      </c>
      <c r="BM47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3" s="557">
        <f>WWWW[[#This Row],['#_of_affected_women_and_girls_receiving_a_sufficient_quantity_of_sanitary_pads]]</f>
        <v>0</v>
      </c>
      <c r="BO473" s="611">
        <f>IF(WWWW[[#This Row],['# People with access to soap]]&gt;WWWW[[#This Row],['# People with access to Sanity Pads]],WWWW[[#This Row],['# People with access to soap]],WWWW[[#This Row],['# People with access to Sanity Pads]])</f>
        <v>0</v>
      </c>
      <c r="BP473" s="565" t="str">
        <f>IF(OR(WWWW[[#This Row],['#of students in school]]="",WWWW[[#This Row],['#of students in school]]=0),"No","Yes")</f>
        <v>Yes</v>
      </c>
      <c r="BQ473" s="559" t="str">
        <f>VLOOKUP(WWWW[[#This Row],[Village  Name]],SiteDB6[[Site Name]:[Location Type 1]],9,FALSE)</f>
        <v>Village</v>
      </c>
      <c r="BR473" s="559" t="str">
        <f>VLOOKUP(WWWW[[#This Row],[Village  Name]],SiteDB6[[Site Name]:[Type of Accommodation]],10,FALSE)</f>
        <v>Village</v>
      </c>
      <c r="BS473" s="559" t="str">
        <f>VLOOKUP(WWWW[[#This Row],[Village  Name]],SiteDB6[[Site Name]:[Ethnic or GCA/NGCA]],11,FALSE)</f>
        <v>Rakhine</v>
      </c>
      <c r="BT473" s="559">
        <f>VLOOKUP(WWWW[[#This Row],[Village  Name]],SiteDB6[[Site Name]:[Lat]],12,FALSE)</f>
        <v>20.864589691162099</v>
      </c>
      <c r="BU473" s="559">
        <f>VLOOKUP(WWWW[[#This Row],[Village  Name]],SiteDB6[[Site Name]:[Long]],13,FALSE)</f>
        <v>92.575378417968807</v>
      </c>
      <c r="BV473" s="559">
        <f>VLOOKUP(WWWW[[#This Row],[Village  Name]],SiteDB6[[Site Name]:[Pcode]],3,FALSE)</f>
        <v>198290</v>
      </c>
      <c r="BW473" s="559" t="str">
        <f t="shared" si="17"/>
        <v>Covered</v>
      </c>
      <c r="BX473" s="587"/>
    </row>
    <row r="474" spans="1:76">
      <c r="A474" s="612" t="s">
        <v>2381</v>
      </c>
      <c r="B474" s="612" t="s">
        <v>2864</v>
      </c>
      <c r="C474" s="457" t="s">
        <v>371</v>
      </c>
      <c r="D474" s="457" t="s">
        <v>3050</v>
      </c>
      <c r="E474" s="457" t="s">
        <v>2686</v>
      </c>
      <c r="F474" s="457" t="s">
        <v>321</v>
      </c>
      <c r="G474" s="551" t="str">
        <f>VLOOKUP(WWWW[[#This Row],[Village  Name]],SiteDB6[[Site Name]:[Location Type]],8,FALSE)</f>
        <v>Village</v>
      </c>
      <c r="H474" s="457" t="s">
        <v>3059</v>
      </c>
      <c r="I474" s="611">
        <v>59</v>
      </c>
      <c r="J474" s="611">
        <v>251</v>
      </c>
      <c r="K474" s="461">
        <v>43678</v>
      </c>
      <c r="L474" s="55">
        <v>44196</v>
      </c>
      <c r="M474" s="611">
        <v>74</v>
      </c>
      <c r="N474" s="611"/>
      <c r="O474" s="611">
        <v>1</v>
      </c>
      <c r="P474" s="611">
        <v>4</v>
      </c>
      <c r="Q474" s="611">
        <v>2</v>
      </c>
      <c r="R474" s="611"/>
      <c r="S474" s="611"/>
      <c r="T474" s="643"/>
      <c r="U474" s="611"/>
      <c r="V474" s="611" t="s">
        <v>128</v>
      </c>
      <c r="W474" s="611"/>
      <c r="X474" s="611"/>
      <c r="Y474" s="611"/>
      <c r="Z474" s="611"/>
      <c r="AA474" s="611"/>
      <c r="AB474" s="643"/>
      <c r="AC474" s="611"/>
      <c r="AD474" s="611"/>
      <c r="AE474" s="611"/>
      <c r="AF474" s="611"/>
      <c r="AG474" s="611"/>
      <c r="AH474" s="611"/>
      <c r="AI474" s="611"/>
      <c r="AJ474" s="611"/>
      <c r="AK474" s="611"/>
      <c r="AL474" s="611"/>
      <c r="AM474" s="643"/>
      <c r="AN474" s="611"/>
      <c r="AO474" s="611"/>
      <c r="AP47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74" s="565">
        <f>WWWW[[#This Row],[%Equitable and continuous access to sufficient quantity of safe drinking water]]*WWWW[[#This Row],[Total PoP ]]</f>
        <v>251</v>
      </c>
      <c r="AR47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S474" s="565">
        <f>WWWW[[#This Row],[% Access to unimproved water points]]*WWWW[[#This Row],[Total PoP ]]</f>
        <v>251</v>
      </c>
      <c r="AT47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7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AV474" s="565">
        <f>WWWW[[#This Row],[HRP1]]/250</f>
        <v>1.004</v>
      </c>
      <c r="AW474" s="555">
        <f>1-WWWW[[#This Row],[% Equitable and continuous access to sufficient quantity of domestic water]]</f>
        <v>0</v>
      </c>
      <c r="AX474" s="565">
        <f>WWWW[[#This Row],[%equitable and continuous access to sufficient quantity of safe drinking and domestic water''s GAP]]*WWWW[[#This Row],[Total PoP ]]</f>
        <v>0</v>
      </c>
      <c r="AY474" s="557">
        <f>IF(WWWW[[#This Row],[Total required water points]]-WWWW[[#This Row],['#Water points coverage]]&lt;0,0,WWWW[[#This Row],[Total required water points]]-WWWW[[#This Row],['#Water points coverage]])</f>
        <v>0</v>
      </c>
      <c r="AZ474" s="557">
        <f>ROUND(IF(WWWW[[#This Row],[Total PoP ]]&lt;250,1,WWWW[[#This Row],[Total PoP ]]/250),0)</f>
        <v>1</v>
      </c>
      <c r="BA47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74" s="565">
        <f>WWWW[[#This Row],[% people access to functioning Latrine]]*WWWW[[#This Row],[Total PoP ]]</f>
        <v>0</v>
      </c>
      <c r="BC474" s="557">
        <f>WWWW[[#This Row],['#_of_Functioning_latrines_in_school]]*50</f>
        <v>0</v>
      </c>
      <c r="BD474" s="557">
        <f>ROUND((WWWW[[#This Row],[Total PoP ]]/6),0)</f>
        <v>42</v>
      </c>
      <c r="BE474" s="557">
        <f>IF(WWWW[[#This Row],[Total required Latrines]]-(WWWW[[#This Row],['#_of_sanitary_fly-proof_HH_latrines]])&lt;0,0,WWWW[[#This Row],[Total required Latrines]]-(WWWW[[#This Row],['#_of_sanitary_fly-proof_HH_latrines]]))</f>
        <v>42</v>
      </c>
      <c r="BF474" s="558">
        <f>1-WWWW[[#This Row],[% people access to functioning Latrine]]</f>
        <v>1</v>
      </c>
      <c r="BG47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4" s="565">
        <f>IF(WWWW[[#This Row],['#_of_functional_handwashing_facilities_at_HH_level]]*6&gt;WWWW[[#This Row],[Total PoP ]],WWWW[[#This Row],[Total PoP ]],WWWW[[#This Row],['#_of_functional_handwashing_facilities_at_HH_level]]*6)</f>
        <v>0</v>
      </c>
      <c r="BI474" s="557">
        <f>IF(WWWW[[#This Row],['# people reached by regular dedicated hygiene promotion]]&gt;WWWW[[#This Row],['# People received regular supply of hygiene items]],WWWW[[#This Row],['# people reached by regular dedicated hygiene promotion]],WWWW[[#This Row],['# People received regular supply of hygiene items]])</f>
        <v>0</v>
      </c>
      <c r="BJ474" s="555">
        <f>IF(WWWW[[#This Row],[HRP3]]/WWWW[[#This Row],[Total PoP ]]&gt;100%,100%,WWWW[[#This Row],[HRP3]]/WWWW[[#This Row],[Total PoP ]])</f>
        <v>0</v>
      </c>
      <c r="BK474" s="558">
        <f>1-WWWW[[#This Row],[Hygiene Coverage%]]</f>
        <v>1</v>
      </c>
      <c r="BL474" s="556">
        <f>WWWW[[#This Row],['# people reached by regular dedicated hygiene promotion]]/WWWW[[#This Row],[Total PoP ]]</f>
        <v>0</v>
      </c>
      <c r="BM47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4" s="557">
        <f>WWWW[[#This Row],['#_of_affected_women_and_girls_receiving_a_sufficient_quantity_of_sanitary_pads]]</f>
        <v>0</v>
      </c>
      <c r="BO474" s="611">
        <f>IF(WWWW[[#This Row],['# People with access to soap]]&gt;WWWW[[#This Row],['# People with access to Sanity Pads]],WWWW[[#This Row],['# People with access to soap]],WWWW[[#This Row],['# People with access to Sanity Pads]])</f>
        <v>0</v>
      </c>
      <c r="BP474" s="565" t="str">
        <f>IF(OR(WWWW[[#This Row],['#of students in school]]="",WWWW[[#This Row],['#of students in school]]=0),"No","Yes")</f>
        <v>Yes</v>
      </c>
      <c r="BQ474" s="559" t="str">
        <f>VLOOKUP(WWWW[[#This Row],[Village  Name]],SiteDB6[[Site Name]:[Location Type 1]],9,FALSE)</f>
        <v>Village</v>
      </c>
      <c r="BR474" s="559" t="str">
        <f>VLOOKUP(WWWW[[#This Row],[Village  Name]],SiteDB6[[Site Name]:[Type of Accommodation]],10,FALSE)</f>
        <v>Village</v>
      </c>
      <c r="BS474" s="559">
        <f>VLOOKUP(WWWW[[#This Row],[Village  Name]],SiteDB6[[Site Name]:[Ethnic or GCA/NGCA]],11,FALSE)</f>
        <v>0</v>
      </c>
      <c r="BT474" s="559">
        <f>VLOOKUP(WWWW[[#This Row],[Village  Name]],SiteDB6[[Site Name]:[Lat]],12,FALSE)</f>
        <v>20.8534545898438</v>
      </c>
      <c r="BU474" s="559">
        <f>VLOOKUP(WWWW[[#This Row],[Village  Name]],SiteDB6[[Site Name]:[Long]],13,FALSE)</f>
        <v>92.568794250488295</v>
      </c>
      <c r="BV474" s="559">
        <f>VLOOKUP(WWWW[[#This Row],[Village  Name]],SiteDB6[[Site Name]:[Pcode]],3,FALSE)</f>
        <v>220751</v>
      </c>
      <c r="BW474" s="559" t="str">
        <f t="shared" si="17"/>
        <v>Covered</v>
      </c>
      <c r="BX474" s="587"/>
    </row>
    <row r="475" spans="1:76">
      <c r="A475" s="612" t="s">
        <v>2381</v>
      </c>
      <c r="B475" s="612" t="s">
        <v>2864</v>
      </c>
      <c r="C475" s="457" t="s">
        <v>371</v>
      </c>
      <c r="D475" s="457" t="s">
        <v>3050</v>
      </c>
      <c r="E475" s="457" t="s">
        <v>2686</v>
      </c>
      <c r="F475" s="457" t="s">
        <v>321</v>
      </c>
      <c r="G475" s="551" t="str">
        <f>VLOOKUP(WWWW[[#This Row],[Village  Name]],SiteDB6[[Site Name]:[Location Type]],8,FALSE)</f>
        <v>Village</v>
      </c>
      <c r="H475" s="457" t="s">
        <v>3070</v>
      </c>
      <c r="I475" s="611">
        <v>368</v>
      </c>
      <c r="J475" s="611">
        <v>2499</v>
      </c>
      <c r="K475" s="461">
        <v>43678</v>
      </c>
      <c r="L475" s="55">
        <v>44196</v>
      </c>
      <c r="M475" s="611">
        <v>500</v>
      </c>
      <c r="N475" s="611"/>
      <c r="O475" s="611"/>
      <c r="P475" s="611"/>
      <c r="Q475" s="611"/>
      <c r="R475" s="611"/>
      <c r="S475" s="611"/>
      <c r="T475" s="643"/>
      <c r="U475" s="611"/>
      <c r="V475" s="611" t="s">
        <v>128</v>
      </c>
      <c r="W475" s="611"/>
      <c r="X475" s="611"/>
      <c r="Y475" s="611"/>
      <c r="Z475" s="611"/>
      <c r="AA475" s="611"/>
      <c r="AB475" s="643"/>
      <c r="AC475" s="611"/>
      <c r="AD475" s="611"/>
      <c r="AE475" s="611"/>
      <c r="AF475" s="611"/>
      <c r="AG475" s="611"/>
      <c r="AH475" s="611"/>
      <c r="AI475" s="611"/>
      <c r="AJ475" s="611"/>
      <c r="AK475" s="611"/>
      <c r="AL475" s="611"/>
      <c r="AM475" s="643"/>
      <c r="AN475" s="611"/>
      <c r="AO475" s="611"/>
      <c r="AP47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75" s="565">
        <f>WWWW[[#This Row],[%Equitable and continuous access to sufficient quantity of safe drinking water]]*WWWW[[#This Row],[Total PoP ]]</f>
        <v>0</v>
      </c>
      <c r="AR47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75" s="565">
        <f>WWWW[[#This Row],[% Access to unimproved water points]]*WWWW[[#This Row],[Total PoP ]]</f>
        <v>0</v>
      </c>
      <c r="AT47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7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75" s="565">
        <f>WWWW[[#This Row],[HRP1]]/250</f>
        <v>0</v>
      </c>
      <c r="AW475" s="555">
        <f>1-WWWW[[#This Row],[% Equitable and continuous access to sufficient quantity of domestic water]]</f>
        <v>1</v>
      </c>
      <c r="AX475" s="565">
        <f>WWWW[[#This Row],[%equitable and continuous access to sufficient quantity of safe drinking and domestic water''s GAP]]*WWWW[[#This Row],[Total PoP ]]</f>
        <v>2499</v>
      </c>
      <c r="AY475" s="557">
        <f>IF(WWWW[[#This Row],[Total required water points]]-WWWW[[#This Row],['#Water points coverage]]&lt;0,0,WWWW[[#This Row],[Total required water points]]-WWWW[[#This Row],['#Water points coverage]])</f>
        <v>10</v>
      </c>
      <c r="AZ475" s="557">
        <f>ROUND(IF(WWWW[[#This Row],[Total PoP ]]&lt;250,1,WWWW[[#This Row],[Total PoP ]]/250),0)</f>
        <v>10</v>
      </c>
      <c r="BA47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75" s="565">
        <f>WWWW[[#This Row],[% people access to functioning Latrine]]*WWWW[[#This Row],[Total PoP ]]</f>
        <v>0</v>
      </c>
      <c r="BC475" s="557">
        <f>WWWW[[#This Row],['#_of_Functioning_latrines_in_school]]*50</f>
        <v>0</v>
      </c>
      <c r="BD475" s="557">
        <f>ROUND((WWWW[[#This Row],[Total PoP ]]/6),0)</f>
        <v>417</v>
      </c>
      <c r="BE475" s="557">
        <f>IF(WWWW[[#This Row],[Total required Latrines]]-(WWWW[[#This Row],['#_of_sanitary_fly-proof_HH_latrines]])&lt;0,0,WWWW[[#This Row],[Total required Latrines]]-(WWWW[[#This Row],['#_of_sanitary_fly-proof_HH_latrines]]))</f>
        <v>417</v>
      </c>
      <c r="BF475" s="558">
        <f>1-WWWW[[#This Row],[% people access to functioning Latrine]]</f>
        <v>1</v>
      </c>
      <c r="BG47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5" s="565">
        <f>IF(WWWW[[#This Row],['#_of_functional_handwashing_facilities_at_HH_level]]*6&gt;WWWW[[#This Row],[Total PoP ]],WWWW[[#This Row],[Total PoP ]],WWWW[[#This Row],['#_of_functional_handwashing_facilities_at_HH_level]]*6)</f>
        <v>0</v>
      </c>
      <c r="BI475" s="557">
        <f>IF(WWWW[[#This Row],['# people reached by regular dedicated hygiene promotion]]&gt;WWWW[[#This Row],['# People received regular supply of hygiene items]],WWWW[[#This Row],['# people reached by regular dedicated hygiene promotion]],WWWW[[#This Row],['# People received regular supply of hygiene items]])</f>
        <v>0</v>
      </c>
      <c r="BJ475" s="555">
        <f>IF(WWWW[[#This Row],[HRP3]]/WWWW[[#This Row],[Total PoP ]]&gt;100%,100%,WWWW[[#This Row],[HRP3]]/WWWW[[#This Row],[Total PoP ]])</f>
        <v>0</v>
      </c>
      <c r="BK475" s="558">
        <f>1-WWWW[[#This Row],[Hygiene Coverage%]]</f>
        <v>1</v>
      </c>
      <c r="BL475" s="556">
        <f>WWWW[[#This Row],['# people reached by regular dedicated hygiene promotion]]/WWWW[[#This Row],[Total PoP ]]</f>
        <v>0</v>
      </c>
      <c r="BM47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5" s="557">
        <f>WWWW[[#This Row],['#_of_affected_women_and_girls_receiving_a_sufficient_quantity_of_sanitary_pads]]</f>
        <v>0</v>
      </c>
      <c r="BO475" s="611">
        <f>IF(WWWW[[#This Row],['# People with access to soap]]&gt;WWWW[[#This Row],['# People with access to Sanity Pads]],WWWW[[#This Row],['# People with access to soap]],WWWW[[#This Row],['# People with access to Sanity Pads]])</f>
        <v>0</v>
      </c>
      <c r="BP475" s="565" t="str">
        <f>IF(OR(WWWW[[#This Row],['#of students in school]]="",WWWW[[#This Row],['#of students in school]]=0),"No","Yes")</f>
        <v>Yes</v>
      </c>
      <c r="BQ475" s="559" t="str">
        <f>VLOOKUP(WWWW[[#This Row],[Village  Name]],SiteDB6[[Site Name]:[Location Type 1]],9,FALSE)</f>
        <v>Village</v>
      </c>
      <c r="BR475" s="559" t="str">
        <f>VLOOKUP(WWWW[[#This Row],[Village  Name]],SiteDB6[[Site Name]:[Type of Accommodation]],10,FALSE)</f>
        <v>Village</v>
      </c>
      <c r="BS475" s="559" t="str">
        <f>VLOOKUP(WWWW[[#This Row],[Village  Name]],SiteDB6[[Site Name]:[Ethnic or GCA/NGCA]],11,FALSE)</f>
        <v>Muslim</v>
      </c>
      <c r="BT475" s="559">
        <f>VLOOKUP(WWWW[[#This Row],[Village  Name]],SiteDB6[[Site Name]:[Lat]],12,FALSE)</f>
        <v>20.897079467773398</v>
      </c>
      <c r="BU475" s="559">
        <f>VLOOKUP(WWWW[[#This Row],[Village  Name]],SiteDB6[[Site Name]:[Long]],13,FALSE)</f>
        <v>92.469520568847699</v>
      </c>
      <c r="BV475" s="559">
        <f>VLOOKUP(WWWW[[#This Row],[Village  Name]],SiteDB6[[Site Name]:[Pcode]],3,FALSE)</f>
        <v>198168</v>
      </c>
      <c r="BW475" s="559" t="str">
        <f t="shared" si="17"/>
        <v>Covered</v>
      </c>
      <c r="BX475" s="587"/>
    </row>
    <row r="476" spans="1:76">
      <c r="A476" s="612" t="s">
        <v>2381</v>
      </c>
      <c r="B476" s="612" t="s">
        <v>2864</v>
      </c>
      <c r="C476" s="457" t="s">
        <v>371</v>
      </c>
      <c r="D476" s="457" t="s">
        <v>3050</v>
      </c>
      <c r="E476" s="457" t="s">
        <v>2686</v>
      </c>
      <c r="F476" s="457" t="s">
        <v>321</v>
      </c>
      <c r="G476" s="551" t="str">
        <f>VLOOKUP(WWWW[[#This Row],[Village  Name]],SiteDB6[[Site Name]:[Location Type]],8,FALSE)</f>
        <v>Village</v>
      </c>
      <c r="H476" s="457" t="s">
        <v>3071</v>
      </c>
      <c r="I476" s="611">
        <v>33</v>
      </c>
      <c r="J476" s="611">
        <v>140</v>
      </c>
      <c r="K476" s="461">
        <v>43678</v>
      </c>
      <c r="L476" s="55">
        <v>44196</v>
      </c>
      <c r="M476" s="611">
        <v>40</v>
      </c>
      <c r="N476" s="611"/>
      <c r="O476" s="611">
        <v>3</v>
      </c>
      <c r="P476" s="611"/>
      <c r="Q476" s="611"/>
      <c r="R476" s="611">
        <v>1</v>
      </c>
      <c r="S476" s="611"/>
      <c r="T476" s="643"/>
      <c r="U476" s="611"/>
      <c r="V476" s="611" t="s">
        <v>128</v>
      </c>
      <c r="W476" s="611"/>
      <c r="X476" s="611"/>
      <c r="Y476" s="611"/>
      <c r="Z476" s="611"/>
      <c r="AA476" s="611"/>
      <c r="AB476" s="643"/>
      <c r="AC476" s="611"/>
      <c r="AD476" s="611"/>
      <c r="AE476" s="611"/>
      <c r="AF476" s="611"/>
      <c r="AG476" s="611"/>
      <c r="AH476" s="611"/>
      <c r="AI476" s="611"/>
      <c r="AJ476" s="611"/>
      <c r="AK476" s="611"/>
      <c r="AL476" s="611"/>
      <c r="AM476" s="643"/>
      <c r="AN476" s="611"/>
      <c r="AO476" s="611"/>
      <c r="AP47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1</v>
      </c>
      <c r="AQ476" s="565">
        <f>WWWW[[#This Row],[%Equitable and continuous access to sufficient quantity of safe drinking water]]*WWWW[[#This Row],[Total PoP ]]</f>
        <v>140</v>
      </c>
      <c r="AR47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7.1428571428571426E-3</v>
      </c>
      <c r="AS476" s="565">
        <f>WWWW[[#This Row],[% Access to unimproved water points]]*WWWW[[#This Row],[Total PoP ]]</f>
        <v>1</v>
      </c>
      <c r="AT47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U47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v>
      </c>
      <c r="AV476" s="565">
        <f>WWWW[[#This Row],[HRP1]]/250</f>
        <v>0.56000000000000005</v>
      </c>
      <c r="AW476" s="555">
        <f>1-WWWW[[#This Row],[% Equitable and continuous access to sufficient quantity of domestic water]]</f>
        <v>0</v>
      </c>
      <c r="AX476" s="565">
        <f>WWWW[[#This Row],[%equitable and continuous access to sufficient quantity of safe drinking and domestic water''s GAP]]*WWWW[[#This Row],[Total PoP ]]</f>
        <v>0</v>
      </c>
      <c r="AY476" s="557">
        <f>IF(WWWW[[#This Row],[Total required water points]]-WWWW[[#This Row],['#Water points coverage]]&lt;0,0,WWWW[[#This Row],[Total required water points]]-WWWW[[#This Row],['#Water points coverage]])</f>
        <v>0.43999999999999995</v>
      </c>
      <c r="AZ476" s="557">
        <f>ROUND(IF(WWWW[[#This Row],[Total PoP ]]&lt;250,1,WWWW[[#This Row],[Total PoP ]]/250),0)</f>
        <v>1</v>
      </c>
      <c r="BA47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76" s="565">
        <f>WWWW[[#This Row],[% people access to functioning Latrine]]*WWWW[[#This Row],[Total PoP ]]</f>
        <v>0</v>
      </c>
      <c r="BC476" s="557">
        <f>WWWW[[#This Row],['#_of_Functioning_latrines_in_school]]*50</f>
        <v>0</v>
      </c>
      <c r="BD476" s="557">
        <f>ROUND((WWWW[[#This Row],[Total PoP ]]/6),0)</f>
        <v>23</v>
      </c>
      <c r="BE476" s="557">
        <f>IF(WWWW[[#This Row],[Total required Latrines]]-(WWWW[[#This Row],['#_of_sanitary_fly-proof_HH_latrines]])&lt;0,0,WWWW[[#This Row],[Total required Latrines]]-(WWWW[[#This Row],['#_of_sanitary_fly-proof_HH_latrines]]))</f>
        <v>23</v>
      </c>
      <c r="BF476" s="558">
        <f>1-WWWW[[#This Row],[% people access to functioning Latrine]]</f>
        <v>1</v>
      </c>
      <c r="BG47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6" s="565">
        <f>IF(WWWW[[#This Row],['#_of_functional_handwashing_facilities_at_HH_level]]*6&gt;WWWW[[#This Row],[Total PoP ]],WWWW[[#This Row],[Total PoP ]],WWWW[[#This Row],['#_of_functional_handwashing_facilities_at_HH_level]]*6)</f>
        <v>0</v>
      </c>
      <c r="BI476" s="557">
        <f>IF(WWWW[[#This Row],['# people reached by regular dedicated hygiene promotion]]&gt;WWWW[[#This Row],['# People received regular supply of hygiene items]],WWWW[[#This Row],['# people reached by regular dedicated hygiene promotion]],WWWW[[#This Row],['# People received regular supply of hygiene items]])</f>
        <v>0</v>
      </c>
      <c r="BJ476" s="555">
        <f>IF(WWWW[[#This Row],[HRP3]]/WWWW[[#This Row],[Total PoP ]]&gt;100%,100%,WWWW[[#This Row],[HRP3]]/WWWW[[#This Row],[Total PoP ]])</f>
        <v>0</v>
      </c>
      <c r="BK476" s="558">
        <f>1-WWWW[[#This Row],[Hygiene Coverage%]]</f>
        <v>1</v>
      </c>
      <c r="BL476" s="556">
        <f>WWWW[[#This Row],['# people reached by regular dedicated hygiene promotion]]/WWWW[[#This Row],[Total PoP ]]</f>
        <v>0</v>
      </c>
      <c r="BM47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6" s="557">
        <f>WWWW[[#This Row],['#_of_affected_women_and_girls_receiving_a_sufficient_quantity_of_sanitary_pads]]</f>
        <v>0</v>
      </c>
      <c r="BO476" s="611">
        <f>IF(WWWW[[#This Row],['# People with access to soap]]&gt;WWWW[[#This Row],['# People with access to Sanity Pads]],WWWW[[#This Row],['# People with access to soap]],WWWW[[#This Row],['# People with access to Sanity Pads]])</f>
        <v>0</v>
      </c>
      <c r="BP476" s="565" t="str">
        <f>IF(OR(WWWW[[#This Row],['#of students in school]]="",WWWW[[#This Row],['#of students in school]]=0),"No","Yes")</f>
        <v>Yes</v>
      </c>
      <c r="BQ476" s="559" t="str">
        <f>VLOOKUP(WWWW[[#This Row],[Village  Name]],SiteDB6[[Site Name]:[Location Type 1]],9,FALSE)</f>
        <v>Village</v>
      </c>
      <c r="BR476" s="559" t="str">
        <f>VLOOKUP(WWWW[[#This Row],[Village  Name]],SiteDB6[[Site Name]:[Type of Accommodation]],10,FALSE)</f>
        <v>Village</v>
      </c>
      <c r="BS476" s="559" t="str">
        <f>VLOOKUP(WWWW[[#This Row],[Village  Name]],SiteDB6[[Site Name]:[Ethnic or GCA/NGCA]],11,FALSE)</f>
        <v>Rakhine, Daing Net</v>
      </c>
      <c r="BT476" s="559">
        <f>VLOOKUP(WWWW[[#This Row],[Village  Name]],SiteDB6[[Site Name]:[Lat]],12,FALSE)</f>
        <v>20.897079467773398</v>
      </c>
      <c r="BU476" s="559">
        <f>VLOOKUP(WWWW[[#This Row],[Village  Name]],SiteDB6[[Site Name]:[Long]],13,FALSE)</f>
        <v>92.469520568847699</v>
      </c>
      <c r="BV476" s="559">
        <f>VLOOKUP(WWWW[[#This Row],[Village  Name]],SiteDB6[[Site Name]:[Pcode]],3,FALSE)</f>
        <v>198168</v>
      </c>
      <c r="BW476" s="559" t="str">
        <f t="shared" si="17"/>
        <v>Covered</v>
      </c>
      <c r="BX476" s="587"/>
    </row>
    <row r="477" spans="1:76">
      <c r="A477" s="612" t="s">
        <v>2381</v>
      </c>
      <c r="B477" s="612" t="s">
        <v>2864</v>
      </c>
      <c r="C477" s="457" t="s">
        <v>371</v>
      </c>
      <c r="D477" s="457" t="s">
        <v>3050</v>
      </c>
      <c r="E477" s="457" t="s">
        <v>2686</v>
      </c>
      <c r="F477" s="457" t="s">
        <v>321</v>
      </c>
      <c r="G477" s="551" t="str">
        <f>VLOOKUP(WWWW[[#This Row],[Village  Name]],SiteDB6[[Site Name]:[Location Type]],8,FALSE)</f>
        <v>Village</v>
      </c>
      <c r="H477" s="457" t="s">
        <v>642</v>
      </c>
      <c r="I477" s="611">
        <v>115</v>
      </c>
      <c r="J477" s="611">
        <v>658</v>
      </c>
      <c r="K477" s="461">
        <v>43678</v>
      </c>
      <c r="L477" s="55">
        <v>44196</v>
      </c>
      <c r="M477" s="611"/>
      <c r="N477" s="611"/>
      <c r="O477" s="611"/>
      <c r="P477" s="611"/>
      <c r="Q477" s="611"/>
      <c r="R477" s="611"/>
      <c r="S477" s="611"/>
      <c r="T477" s="643"/>
      <c r="U477" s="611"/>
      <c r="V477" s="611" t="s">
        <v>128</v>
      </c>
      <c r="W477" s="611"/>
      <c r="X477" s="611"/>
      <c r="Y477" s="611"/>
      <c r="Z477" s="611"/>
      <c r="AA477" s="611"/>
      <c r="AB477" s="643"/>
      <c r="AC477" s="611"/>
      <c r="AD477" s="611"/>
      <c r="AE477" s="611"/>
      <c r="AF477" s="611"/>
      <c r="AG477" s="611"/>
      <c r="AH477" s="611"/>
      <c r="AI477" s="611"/>
      <c r="AJ477" s="611"/>
      <c r="AK477" s="611"/>
      <c r="AL477" s="611"/>
      <c r="AM477" s="643"/>
      <c r="AN477" s="611"/>
      <c r="AO477" s="611"/>
      <c r="AP47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77" s="565">
        <f>WWWW[[#This Row],[%Equitable and continuous access to sufficient quantity of safe drinking water]]*WWWW[[#This Row],[Total PoP ]]</f>
        <v>0</v>
      </c>
      <c r="AR47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77" s="565">
        <f>WWWW[[#This Row],[% Access to unimproved water points]]*WWWW[[#This Row],[Total PoP ]]</f>
        <v>0</v>
      </c>
      <c r="AT47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7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77" s="565">
        <f>WWWW[[#This Row],[HRP1]]/250</f>
        <v>0</v>
      </c>
      <c r="AW477" s="555">
        <f>1-WWWW[[#This Row],[% Equitable and continuous access to sufficient quantity of domestic water]]</f>
        <v>1</v>
      </c>
      <c r="AX477" s="565">
        <f>WWWW[[#This Row],[%equitable and continuous access to sufficient quantity of safe drinking and domestic water''s GAP]]*WWWW[[#This Row],[Total PoP ]]</f>
        <v>658</v>
      </c>
      <c r="AY477" s="557">
        <f>IF(WWWW[[#This Row],[Total required water points]]-WWWW[[#This Row],['#Water points coverage]]&lt;0,0,WWWW[[#This Row],[Total required water points]]-WWWW[[#This Row],['#Water points coverage]])</f>
        <v>3</v>
      </c>
      <c r="AZ477" s="557">
        <f>ROUND(IF(WWWW[[#This Row],[Total PoP ]]&lt;250,1,WWWW[[#This Row],[Total PoP ]]/250),0)</f>
        <v>3</v>
      </c>
      <c r="BA47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77" s="565">
        <f>WWWW[[#This Row],[% people access to functioning Latrine]]*WWWW[[#This Row],[Total PoP ]]</f>
        <v>0</v>
      </c>
      <c r="BC477" s="557">
        <f>WWWW[[#This Row],['#_of_Functioning_latrines_in_school]]*50</f>
        <v>0</v>
      </c>
      <c r="BD477" s="557">
        <f>ROUND((WWWW[[#This Row],[Total PoP ]]/6),0)</f>
        <v>110</v>
      </c>
      <c r="BE477" s="557">
        <f>IF(WWWW[[#This Row],[Total required Latrines]]-(WWWW[[#This Row],['#_of_sanitary_fly-proof_HH_latrines]])&lt;0,0,WWWW[[#This Row],[Total required Latrines]]-(WWWW[[#This Row],['#_of_sanitary_fly-proof_HH_latrines]]))</f>
        <v>110</v>
      </c>
      <c r="BF477" s="558">
        <f>1-WWWW[[#This Row],[% people access to functioning Latrine]]</f>
        <v>1</v>
      </c>
      <c r="BG47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7" s="565">
        <f>IF(WWWW[[#This Row],['#_of_functional_handwashing_facilities_at_HH_level]]*6&gt;WWWW[[#This Row],[Total PoP ]],WWWW[[#This Row],[Total PoP ]],WWWW[[#This Row],['#_of_functional_handwashing_facilities_at_HH_level]]*6)</f>
        <v>0</v>
      </c>
      <c r="BI477" s="557">
        <f>IF(WWWW[[#This Row],['# people reached by regular dedicated hygiene promotion]]&gt;WWWW[[#This Row],['# People received regular supply of hygiene items]],WWWW[[#This Row],['# people reached by regular dedicated hygiene promotion]],WWWW[[#This Row],['# People received regular supply of hygiene items]])</f>
        <v>0</v>
      </c>
      <c r="BJ477" s="555">
        <f>IF(WWWW[[#This Row],[HRP3]]/WWWW[[#This Row],[Total PoP ]]&gt;100%,100%,WWWW[[#This Row],[HRP3]]/WWWW[[#This Row],[Total PoP ]])</f>
        <v>0</v>
      </c>
      <c r="BK477" s="558">
        <f>1-WWWW[[#This Row],[Hygiene Coverage%]]</f>
        <v>1</v>
      </c>
      <c r="BL477" s="556">
        <f>WWWW[[#This Row],['# people reached by regular dedicated hygiene promotion]]/WWWW[[#This Row],[Total PoP ]]</f>
        <v>0</v>
      </c>
      <c r="BM47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7" s="557">
        <f>WWWW[[#This Row],['#_of_affected_women_and_girls_receiving_a_sufficient_quantity_of_sanitary_pads]]</f>
        <v>0</v>
      </c>
      <c r="BO477" s="611">
        <f>IF(WWWW[[#This Row],['# People with access to soap]]&gt;WWWW[[#This Row],['# People with access to Sanity Pads]],WWWW[[#This Row],['# People with access to soap]],WWWW[[#This Row],['# People with access to Sanity Pads]])</f>
        <v>0</v>
      </c>
      <c r="BP477" s="565" t="str">
        <f>IF(OR(WWWW[[#This Row],['#of students in school]]="",WWWW[[#This Row],['#of students in school]]=0),"No","Yes")</f>
        <v>No</v>
      </c>
      <c r="BQ477" s="559" t="str">
        <f>VLOOKUP(WWWW[[#This Row],[Village  Name]],SiteDB6[[Site Name]:[Location Type 1]],9,FALSE)</f>
        <v>Village</v>
      </c>
      <c r="BR477" s="559" t="str">
        <f>VLOOKUP(WWWW[[#This Row],[Village  Name]],SiteDB6[[Site Name]:[Type of Accommodation]],10,FALSE)</f>
        <v>Village</v>
      </c>
      <c r="BS477" s="559" t="str">
        <f>VLOOKUP(WWWW[[#This Row],[Village  Name]],SiteDB6[[Site Name]:[Ethnic or GCA/NGCA]],11,FALSE)</f>
        <v>Muslim</v>
      </c>
      <c r="BT477" s="559">
        <f>VLOOKUP(WWWW[[#This Row],[Village  Name]],SiteDB6[[Site Name]:[Lat]],12,FALSE)</f>
        <v>20.876710889999998</v>
      </c>
      <c r="BU477" s="559">
        <f>VLOOKUP(WWWW[[#This Row],[Village  Name]],SiteDB6[[Site Name]:[Long]],13,FALSE)</f>
        <v>92.537406919999995</v>
      </c>
      <c r="BV477" s="559">
        <f>VLOOKUP(WWWW[[#This Row],[Village  Name]],SiteDB6[[Site Name]:[Pcode]],3,FALSE)</f>
        <v>198301</v>
      </c>
      <c r="BW477" s="559" t="str">
        <f t="shared" si="17"/>
        <v>Covered</v>
      </c>
      <c r="BX477" s="587"/>
    </row>
    <row r="478" spans="1:76">
      <c r="A478" s="612" t="s">
        <v>2381</v>
      </c>
      <c r="B478" s="612" t="s">
        <v>2864</v>
      </c>
      <c r="C478" s="457" t="s">
        <v>371</v>
      </c>
      <c r="D478" s="457" t="s">
        <v>3050</v>
      </c>
      <c r="E478" s="457" t="s">
        <v>2686</v>
      </c>
      <c r="F478" s="457" t="s">
        <v>321</v>
      </c>
      <c r="G478" s="551" t="str">
        <f>VLOOKUP(WWWW[[#This Row],[Village  Name]],SiteDB6[[Site Name]:[Location Type]],8,FALSE)</f>
        <v>Village</v>
      </c>
      <c r="H478" s="457" t="s">
        <v>3072</v>
      </c>
      <c r="I478" s="611">
        <v>143</v>
      </c>
      <c r="J478" s="611">
        <v>801</v>
      </c>
      <c r="K478" s="461">
        <v>43678</v>
      </c>
      <c r="L478" s="55">
        <v>44196</v>
      </c>
      <c r="M478" s="611"/>
      <c r="N478" s="611"/>
      <c r="O478" s="611"/>
      <c r="P478" s="611"/>
      <c r="Q478" s="611"/>
      <c r="R478" s="611"/>
      <c r="S478" s="611"/>
      <c r="T478" s="643"/>
      <c r="U478" s="611"/>
      <c r="V478" s="611" t="s">
        <v>128</v>
      </c>
      <c r="W478" s="611"/>
      <c r="X478" s="611"/>
      <c r="Y478" s="611"/>
      <c r="Z478" s="611"/>
      <c r="AA478" s="611"/>
      <c r="AB478" s="643"/>
      <c r="AC478" s="611"/>
      <c r="AD478" s="611"/>
      <c r="AE478" s="611"/>
      <c r="AF478" s="611"/>
      <c r="AG478" s="611"/>
      <c r="AH478" s="611"/>
      <c r="AI478" s="611"/>
      <c r="AJ478" s="611"/>
      <c r="AK478" s="611"/>
      <c r="AL478" s="611"/>
      <c r="AM478" s="643"/>
      <c r="AN478" s="611"/>
      <c r="AO478" s="611"/>
      <c r="AP47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78" s="565">
        <f>WWWW[[#This Row],[%Equitable and continuous access to sufficient quantity of safe drinking water]]*WWWW[[#This Row],[Total PoP ]]</f>
        <v>0</v>
      </c>
      <c r="AR47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78" s="565">
        <f>WWWW[[#This Row],[% Access to unimproved water points]]*WWWW[[#This Row],[Total PoP ]]</f>
        <v>0</v>
      </c>
      <c r="AT47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7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78" s="565">
        <f>WWWW[[#This Row],[HRP1]]/250</f>
        <v>0</v>
      </c>
      <c r="AW478" s="555">
        <f>1-WWWW[[#This Row],[% Equitable and continuous access to sufficient quantity of domestic water]]</f>
        <v>1</v>
      </c>
      <c r="AX478" s="565">
        <f>WWWW[[#This Row],[%equitable and continuous access to sufficient quantity of safe drinking and domestic water''s GAP]]*WWWW[[#This Row],[Total PoP ]]</f>
        <v>801</v>
      </c>
      <c r="AY478" s="557">
        <f>IF(WWWW[[#This Row],[Total required water points]]-WWWW[[#This Row],['#Water points coverage]]&lt;0,0,WWWW[[#This Row],[Total required water points]]-WWWW[[#This Row],['#Water points coverage]])</f>
        <v>3</v>
      </c>
      <c r="AZ478" s="557">
        <f>ROUND(IF(WWWW[[#This Row],[Total PoP ]]&lt;250,1,WWWW[[#This Row],[Total PoP ]]/250),0)</f>
        <v>3</v>
      </c>
      <c r="BA47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78" s="565">
        <f>WWWW[[#This Row],[% people access to functioning Latrine]]*WWWW[[#This Row],[Total PoP ]]</f>
        <v>0</v>
      </c>
      <c r="BC478" s="557">
        <f>WWWW[[#This Row],['#_of_Functioning_latrines_in_school]]*50</f>
        <v>0</v>
      </c>
      <c r="BD478" s="557">
        <f>ROUND((WWWW[[#This Row],[Total PoP ]]/6),0)</f>
        <v>134</v>
      </c>
      <c r="BE478" s="557">
        <f>IF(WWWW[[#This Row],[Total required Latrines]]-(WWWW[[#This Row],['#_of_sanitary_fly-proof_HH_latrines]])&lt;0,0,WWWW[[#This Row],[Total required Latrines]]-(WWWW[[#This Row],['#_of_sanitary_fly-proof_HH_latrines]]))</f>
        <v>134</v>
      </c>
      <c r="BF478" s="558">
        <f>1-WWWW[[#This Row],[% people access to functioning Latrine]]</f>
        <v>1</v>
      </c>
      <c r="BG47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8" s="565">
        <f>IF(WWWW[[#This Row],['#_of_functional_handwashing_facilities_at_HH_level]]*6&gt;WWWW[[#This Row],[Total PoP ]],WWWW[[#This Row],[Total PoP ]],WWWW[[#This Row],['#_of_functional_handwashing_facilities_at_HH_level]]*6)</f>
        <v>0</v>
      </c>
      <c r="BI478" s="557">
        <f>IF(WWWW[[#This Row],['# people reached by regular dedicated hygiene promotion]]&gt;WWWW[[#This Row],['# People received regular supply of hygiene items]],WWWW[[#This Row],['# people reached by regular dedicated hygiene promotion]],WWWW[[#This Row],['# People received regular supply of hygiene items]])</f>
        <v>0</v>
      </c>
      <c r="BJ478" s="555">
        <f>IF(WWWW[[#This Row],[HRP3]]/WWWW[[#This Row],[Total PoP ]]&gt;100%,100%,WWWW[[#This Row],[HRP3]]/WWWW[[#This Row],[Total PoP ]])</f>
        <v>0</v>
      </c>
      <c r="BK478" s="558">
        <f>1-WWWW[[#This Row],[Hygiene Coverage%]]</f>
        <v>1</v>
      </c>
      <c r="BL478" s="556">
        <f>WWWW[[#This Row],['# people reached by regular dedicated hygiene promotion]]/WWWW[[#This Row],[Total PoP ]]</f>
        <v>0</v>
      </c>
      <c r="BM47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8" s="557">
        <f>WWWW[[#This Row],['#_of_affected_women_and_girls_receiving_a_sufficient_quantity_of_sanitary_pads]]</f>
        <v>0</v>
      </c>
      <c r="BO478" s="611">
        <f>IF(WWWW[[#This Row],['# People with access to soap]]&gt;WWWW[[#This Row],['# People with access to Sanity Pads]],WWWW[[#This Row],['# People with access to soap]],WWWW[[#This Row],['# People with access to Sanity Pads]])</f>
        <v>0</v>
      </c>
      <c r="BP478" s="565" t="str">
        <f>IF(OR(WWWW[[#This Row],['#of students in school]]="",WWWW[[#This Row],['#of students in school]]=0),"No","Yes")</f>
        <v>No</v>
      </c>
      <c r="BQ478" s="559" t="str">
        <f>VLOOKUP(WWWW[[#This Row],[Village  Name]],SiteDB6[[Site Name]:[Location Type 1]],9,FALSE)</f>
        <v>Village</v>
      </c>
      <c r="BR478" s="559" t="str">
        <f>VLOOKUP(WWWW[[#This Row],[Village  Name]],SiteDB6[[Site Name]:[Type of Accommodation]],10,FALSE)</f>
        <v>Village</v>
      </c>
      <c r="BS478" s="559" t="str">
        <f>VLOOKUP(WWWW[[#This Row],[Village  Name]],SiteDB6[[Site Name]:[Ethnic or GCA/NGCA]],11,FALSE)</f>
        <v>Muslim</v>
      </c>
      <c r="BT478" s="559">
        <f>VLOOKUP(WWWW[[#This Row],[Village  Name]],SiteDB6[[Site Name]:[Lat]],12,FALSE)</f>
        <v>20.753370289999999</v>
      </c>
      <c r="BU478" s="559">
        <f>VLOOKUP(WWWW[[#This Row],[Village  Name]],SiteDB6[[Site Name]:[Long]],13,FALSE)</f>
        <v>92.545188899999999</v>
      </c>
      <c r="BV478" s="559">
        <f>VLOOKUP(WWWW[[#This Row],[Village  Name]],SiteDB6[[Site Name]:[Pcode]],3,FALSE)</f>
        <v>198390</v>
      </c>
      <c r="BW478" s="559" t="str">
        <f t="shared" si="17"/>
        <v>Covered</v>
      </c>
      <c r="BX478" s="587"/>
    </row>
    <row r="479" spans="1:76">
      <c r="A479" s="612" t="s">
        <v>2381</v>
      </c>
      <c r="B479" s="612" t="s">
        <v>2864</v>
      </c>
      <c r="C479" s="457" t="s">
        <v>371</v>
      </c>
      <c r="D479" s="457" t="s">
        <v>3050</v>
      </c>
      <c r="E479" s="457" t="s">
        <v>2686</v>
      </c>
      <c r="F479" s="457" t="s">
        <v>321</v>
      </c>
      <c r="G479" s="551" t="str">
        <f>VLOOKUP(WWWW[[#This Row],[Village  Name]],SiteDB6[[Site Name]:[Location Type]],8,FALSE)</f>
        <v>Village</v>
      </c>
      <c r="H479" s="457" t="s">
        <v>3060</v>
      </c>
      <c r="I479" s="611">
        <v>220</v>
      </c>
      <c r="J479" s="611">
        <v>1028</v>
      </c>
      <c r="K479" s="461">
        <v>43678</v>
      </c>
      <c r="L479" s="55">
        <v>44196</v>
      </c>
      <c r="M479" s="611"/>
      <c r="N479" s="611"/>
      <c r="O479" s="611"/>
      <c r="P479" s="611"/>
      <c r="Q479" s="611"/>
      <c r="R479" s="611"/>
      <c r="S479" s="611"/>
      <c r="T479" s="643"/>
      <c r="U479" s="611"/>
      <c r="V479" s="611" t="s">
        <v>128</v>
      </c>
      <c r="W479" s="611"/>
      <c r="X479" s="611"/>
      <c r="Y479" s="611"/>
      <c r="Z479" s="611"/>
      <c r="AA479" s="611"/>
      <c r="AB479" s="643"/>
      <c r="AC479" s="611"/>
      <c r="AD479" s="611"/>
      <c r="AE479" s="611"/>
      <c r="AF479" s="611"/>
      <c r="AG479" s="611"/>
      <c r="AH479" s="611"/>
      <c r="AI479" s="611"/>
      <c r="AJ479" s="611"/>
      <c r="AK479" s="611"/>
      <c r="AL479" s="611"/>
      <c r="AM479" s="643"/>
      <c r="AN479" s="611"/>
      <c r="AO479" s="611"/>
      <c r="AP47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79" s="565">
        <f>WWWW[[#This Row],[%Equitable and continuous access to sufficient quantity of safe drinking water]]*WWWW[[#This Row],[Total PoP ]]</f>
        <v>0</v>
      </c>
      <c r="AR47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79" s="565">
        <f>WWWW[[#This Row],[% Access to unimproved water points]]*WWWW[[#This Row],[Total PoP ]]</f>
        <v>0</v>
      </c>
      <c r="AT47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7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79" s="565">
        <f>WWWW[[#This Row],[HRP1]]/250</f>
        <v>0</v>
      </c>
      <c r="AW479" s="555">
        <f>1-WWWW[[#This Row],[% Equitable and continuous access to sufficient quantity of domestic water]]</f>
        <v>1</v>
      </c>
      <c r="AX479" s="565">
        <f>WWWW[[#This Row],[%equitable and continuous access to sufficient quantity of safe drinking and domestic water''s GAP]]*WWWW[[#This Row],[Total PoP ]]</f>
        <v>1028</v>
      </c>
      <c r="AY479" s="557">
        <f>IF(WWWW[[#This Row],[Total required water points]]-WWWW[[#This Row],['#Water points coverage]]&lt;0,0,WWWW[[#This Row],[Total required water points]]-WWWW[[#This Row],['#Water points coverage]])</f>
        <v>4</v>
      </c>
      <c r="AZ479" s="557">
        <f>ROUND(IF(WWWW[[#This Row],[Total PoP ]]&lt;250,1,WWWW[[#This Row],[Total PoP ]]/250),0)</f>
        <v>4</v>
      </c>
      <c r="BA47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79" s="565">
        <f>WWWW[[#This Row],[% people access to functioning Latrine]]*WWWW[[#This Row],[Total PoP ]]</f>
        <v>0</v>
      </c>
      <c r="BC479" s="557">
        <f>WWWW[[#This Row],['#_of_Functioning_latrines_in_school]]*50</f>
        <v>0</v>
      </c>
      <c r="BD479" s="557">
        <f>ROUND((WWWW[[#This Row],[Total PoP ]]/6),0)</f>
        <v>171</v>
      </c>
      <c r="BE479" s="557">
        <f>IF(WWWW[[#This Row],[Total required Latrines]]-(WWWW[[#This Row],['#_of_sanitary_fly-proof_HH_latrines]])&lt;0,0,WWWW[[#This Row],[Total required Latrines]]-(WWWW[[#This Row],['#_of_sanitary_fly-proof_HH_latrines]]))</f>
        <v>171</v>
      </c>
      <c r="BF479" s="558">
        <f>1-WWWW[[#This Row],[% people access to functioning Latrine]]</f>
        <v>1</v>
      </c>
      <c r="BG47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79" s="565">
        <f>IF(WWWW[[#This Row],['#_of_functional_handwashing_facilities_at_HH_level]]*6&gt;WWWW[[#This Row],[Total PoP ]],WWWW[[#This Row],[Total PoP ]],WWWW[[#This Row],['#_of_functional_handwashing_facilities_at_HH_level]]*6)</f>
        <v>0</v>
      </c>
      <c r="BI479" s="557">
        <f>IF(WWWW[[#This Row],['# people reached by regular dedicated hygiene promotion]]&gt;WWWW[[#This Row],['# People received regular supply of hygiene items]],WWWW[[#This Row],['# people reached by regular dedicated hygiene promotion]],WWWW[[#This Row],['# People received regular supply of hygiene items]])</f>
        <v>0</v>
      </c>
      <c r="BJ479" s="555">
        <f>IF(WWWW[[#This Row],[HRP3]]/WWWW[[#This Row],[Total PoP ]]&gt;100%,100%,WWWW[[#This Row],[HRP3]]/WWWW[[#This Row],[Total PoP ]])</f>
        <v>0</v>
      </c>
      <c r="BK479" s="558">
        <f>1-WWWW[[#This Row],[Hygiene Coverage%]]</f>
        <v>1</v>
      </c>
      <c r="BL479" s="556">
        <f>WWWW[[#This Row],['# people reached by regular dedicated hygiene promotion]]/WWWW[[#This Row],[Total PoP ]]</f>
        <v>0</v>
      </c>
      <c r="BM47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79" s="557">
        <f>WWWW[[#This Row],['#_of_affected_women_and_girls_receiving_a_sufficient_quantity_of_sanitary_pads]]</f>
        <v>0</v>
      </c>
      <c r="BO479" s="611">
        <f>IF(WWWW[[#This Row],['# People with access to soap]]&gt;WWWW[[#This Row],['# People with access to Sanity Pads]],WWWW[[#This Row],['# People with access to soap]],WWWW[[#This Row],['# People with access to Sanity Pads]])</f>
        <v>0</v>
      </c>
      <c r="BP479" s="565" t="str">
        <f>IF(OR(WWWW[[#This Row],['#of students in school]]="",WWWW[[#This Row],['#of students in school]]=0),"No","Yes")</f>
        <v>No</v>
      </c>
      <c r="BQ479" s="559" t="str">
        <f>VLOOKUP(WWWW[[#This Row],[Village  Name]],SiteDB6[[Site Name]:[Location Type 1]],9,FALSE)</f>
        <v>Village</v>
      </c>
      <c r="BR479" s="559" t="str">
        <f>VLOOKUP(WWWW[[#This Row],[Village  Name]],SiteDB6[[Site Name]:[Type of Accommodation]],10,FALSE)</f>
        <v>Village</v>
      </c>
      <c r="BS479" s="559">
        <f>VLOOKUP(WWWW[[#This Row],[Village  Name]],SiteDB6[[Site Name]:[Ethnic or GCA/NGCA]],11,FALSE)</f>
        <v>0</v>
      </c>
      <c r="BT479" s="559">
        <f>VLOOKUP(WWWW[[#This Row],[Village  Name]],SiteDB6[[Site Name]:[Lat]],12,FALSE)</f>
        <v>21.169160842895501</v>
      </c>
      <c r="BU479" s="559">
        <f>VLOOKUP(WWWW[[#This Row],[Village  Name]],SiteDB6[[Site Name]:[Long]],13,FALSE)</f>
        <v>92.569076538085895</v>
      </c>
      <c r="BV479" s="559">
        <f>VLOOKUP(WWWW[[#This Row],[Village  Name]],SiteDB6[[Site Name]:[Pcode]],3,FALSE)</f>
        <v>198249</v>
      </c>
      <c r="BW479" s="559" t="str">
        <f t="shared" si="17"/>
        <v>Covered</v>
      </c>
      <c r="BX479" s="587"/>
    </row>
    <row r="480" spans="1:76">
      <c r="A480" s="612" t="s">
        <v>2381</v>
      </c>
      <c r="B480" s="612" t="s">
        <v>2864</v>
      </c>
      <c r="C480" s="457" t="s">
        <v>371</v>
      </c>
      <c r="D480" s="457" t="s">
        <v>3050</v>
      </c>
      <c r="E480" s="457" t="s">
        <v>2686</v>
      </c>
      <c r="F480" s="457" t="s">
        <v>321</v>
      </c>
      <c r="G480" s="551" t="str">
        <f>VLOOKUP(WWWW[[#This Row],[Village  Name]],SiteDB6[[Site Name]:[Location Type]],8,FALSE)</f>
        <v>Village</v>
      </c>
      <c r="H480" s="457" t="s">
        <v>3061</v>
      </c>
      <c r="I480" s="611">
        <v>90</v>
      </c>
      <c r="J480" s="611">
        <v>387</v>
      </c>
      <c r="K480" s="461">
        <v>43678</v>
      </c>
      <c r="L480" s="55">
        <v>44196</v>
      </c>
      <c r="M480" s="611"/>
      <c r="N480" s="611"/>
      <c r="O480" s="611"/>
      <c r="P480" s="611"/>
      <c r="Q480" s="611"/>
      <c r="R480" s="611"/>
      <c r="S480" s="611"/>
      <c r="T480" s="643"/>
      <c r="U480" s="611"/>
      <c r="V480" s="611" t="s">
        <v>128</v>
      </c>
      <c r="W480" s="611"/>
      <c r="X480" s="611"/>
      <c r="Y480" s="611"/>
      <c r="Z480" s="611"/>
      <c r="AA480" s="611"/>
      <c r="AB480" s="643"/>
      <c r="AC480" s="611"/>
      <c r="AD480" s="611"/>
      <c r="AE480" s="611"/>
      <c r="AF480" s="611"/>
      <c r="AG480" s="611"/>
      <c r="AH480" s="611"/>
      <c r="AI480" s="611"/>
      <c r="AJ480" s="611"/>
      <c r="AK480" s="611"/>
      <c r="AL480" s="611"/>
      <c r="AM480" s="643"/>
      <c r="AN480" s="611"/>
      <c r="AO480" s="611"/>
      <c r="AP480"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0" s="565">
        <f>WWWW[[#This Row],[%Equitable and continuous access to sufficient quantity of safe drinking water]]*WWWW[[#This Row],[Total PoP ]]</f>
        <v>0</v>
      </c>
      <c r="AR480"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0" s="565">
        <f>WWWW[[#This Row],[% Access to unimproved water points]]*WWWW[[#This Row],[Total PoP ]]</f>
        <v>0</v>
      </c>
      <c r="AT480"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0"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0" s="565">
        <f>WWWW[[#This Row],[HRP1]]/250</f>
        <v>0</v>
      </c>
      <c r="AW480" s="555">
        <f>1-WWWW[[#This Row],[% Equitable and continuous access to sufficient quantity of domestic water]]</f>
        <v>1</v>
      </c>
      <c r="AX480" s="565">
        <f>WWWW[[#This Row],[%equitable and continuous access to sufficient quantity of safe drinking and domestic water''s GAP]]*WWWW[[#This Row],[Total PoP ]]</f>
        <v>387</v>
      </c>
      <c r="AY480" s="557">
        <f>IF(WWWW[[#This Row],[Total required water points]]-WWWW[[#This Row],['#Water points coverage]]&lt;0,0,WWWW[[#This Row],[Total required water points]]-WWWW[[#This Row],['#Water points coverage]])</f>
        <v>2</v>
      </c>
      <c r="AZ480" s="557">
        <f>ROUND(IF(WWWW[[#This Row],[Total PoP ]]&lt;250,1,WWWW[[#This Row],[Total PoP ]]/250),0)</f>
        <v>2</v>
      </c>
      <c r="BA480"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0" s="565">
        <f>WWWW[[#This Row],[% people access to functioning Latrine]]*WWWW[[#This Row],[Total PoP ]]</f>
        <v>0</v>
      </c>
      <c r="BC480" s="557">
        <f>WWWW[[#This Row],['#_of_Functioning_latrines_in_school]]*50</f>
        <v>0</v>
      </c>
      <c r="BD480" s="557">
        <f>ROUND((WWWW[[#This Row],[Total PoP ]]/6),0)</f>
        <v>65</v>
      </c>
      <c r="BE480" s="557">
        <f>IF(WWWW[[#This Row],[Total required Latrines]]-(WWWW[[#This Row],['#_of_sanitary_fly-proof_HH_latrines]])&lt;0,0,WWWW[[#This Row],[Total required Latrines]]-(WWWW[[#This Row],['#_of_sanitary_fly-proof_HH_latrines]]))</f>
        <v>65</v>
      </c>
      <c r="BF480" s="558">
        <f>1-WWWW[[#This Row],[% people access to functioning Latrine]]</f>
        <v>1</v>
      </c>
      <c r="BG480"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0" s="565">
        <f>IF(WWWW[[#This Row],['#_of_functional_handwashing_facilities_at_HH_level]]*6&gt;WWWW[[#This Row],[Total PoP ]],WWWW[[#This Row],[Total PoP ]],WWWW[[#This Row],['#_of_functional_handwashing_facilities_at_HH_level]]*6)</f>
        <v>0</v>
      </c>
      <c r="BI480" s="557">
        <f>IF(WWWW[[#This Row],['# people reached by regular dedicated hygiene promotion]]&gt;WWWW[[#This Row],['# People received regular supply of hygiene items]],WWWW[[#This Row],['# people reached by regular dedicated hygiene promotion]],WWWW[[#This Row],['# People received regular supply of hygiene items]])</f>
        <v>0</v>
      </c>
      <c r="BJ480" s="555">
        <f>IF(WWWW[[#This Row],[HRP3]]/WWWW[[#This Row],[Total PoP ]]&gt;100%,100%,WWWW[[#This Row],[HRP3]]/WWWW[[#This Row],[Total PoP ]])</f>
        <v>0</v>
      </c>
      <c r="BK480" s="558">
        <f>1-WWWW[[#This Row],[Hygiene Coverage%]]</f>
        <v>1</v>
      </c>
      <c r="BL480" s="556">
        <f>WWWW[[#This Row],['# people reached by regular dedicated hygiene promotion]]/WWWW[[#This Row],[Total PoP ]]</f>
        <v>0</v>
      </c>
      <c r="BM480"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80" s="557">
        <f>WWWW[[#This Row],['#_of_affected_women_and_girls_receiving_a_sufficient_quantity_of_sanitary_pads]]</f>
        <v>0</v>
      </c>
      <c r="BO480" s="611">
        <f>IF(WWWW[[#This Row],['# People with access to soap]]&gt;WWWW[[#This Row],['# People with access to Sanity Pads]],WWWW[[#This Row],['# People with access to soap]],WWWW[[#This Row],['# People with access to Sanity Pads]])</f>
        <v>0</v>
      </c>
      <c r="BP480" s="565" t="str">
        <f>IF(OR(WWWW[[#This Row],['#of students in school]]="",WWWW[[#This Row],['#of students in school]]=0),"No","Yes")</f>
        <v>No</v>
      </c>
      <c r="BQ480" s="559" t="str">
        <f>VLOOKUP(WWWW[[#This Row],[Village  Name]],SiteDB6[[Site Name]:[Location Type 1]],9,FALSE)</f>
        <v>Village</v>
      </c>
      <c r="BR480" s="559" t="str">
        <f>VLOOKUP(WWWW[[#This Row],[Village  Name]],SiteDB6[[Site Name]:[Type of Accommodation]],10,FALSE)</f>
        <v>Village</v>
      </c>
      <c r="BS480" s="559">
        <f>VLOOKUP(WWWW[[#This Row],[Village  Name]],SiteDB6[[Site Name]:[Ethnic or GCA/NGCA]],11,FALSE)</f>
        <v>0</v>
      </c>
      <c r="BT480" s="559">
        <f>VLOOKUP(WWWW[[#This Row],[Village  Name]],SiteDB6[[Site Name]:[Lat]],12,FALSE)</f>
        <v>20.938350677490199</v>
      </c>
      <c r="BU480" s="559">
        <f>VLOOKUP(WWWW[[#This Row],[Village  Name]],SiteDB6[[Site Name]:[Long]],13,FALSE)</f>
        <v>92.490928649902301</v>
      </c>
      <c r="BV480" s="559">
        <f>VLOOKUP(WWWW[[#This Row],[Village  Name]],SiteDB6[[Site Name]:[Pcode]],3,FALSE)</f>
        <v>198173</v>
      </c>
      <c r="BW480" s="559" t="str">
        <f t="shared" si="17"/>
        <v>Covered</v>
      </c>
      <c r="BX480" s="587"/>
    </row>
    <row r="481" spans="1:76">
      <c r="A481" s="612" t="s">
        <v>2381</v>
      </c>
      <c r="B481" s="612" t="s">
        <v>2864</v>
      </c>
      <c r="C481" s="457" t="s">
        <v>371</v>
      </c>
      <c r="D481" s="457" t="s">
        <v>3050</v>
      </c>
      <c r="E481" s="457" t="s">
        <v>2686</v>
      </c>
      <c r="F481" s="457" t="s">
        <v>321</v>
      </c>
      <c r="G481" s="551" t="str">
        <f>VLOOKUP(WWWW[[#This Row],[Village  Name]],SiteDB6[[Site Name]:[Location Type]],8,FALSE)</f>
        <v>Village</v>
      </c>
      <c r="H481" s="457" t="s">
        <v>3073</v>
      </c>
      <c r="I481" s="611">
        <v>61</v>
      </c>
      <c r="J481" s="611">
        <v>237</v>
      </c>
      <c r="K481" s="461">
        <v>43678</v>
      </c>
      <c r="L481" s="55">
        <v>44196</v>
      </c>
      <c r="M481" s="611"/>
      <c r="N481" s="611"/>
      <c r="O481" s="611"/>
      <c r="P481" s="611"/>
      <c r="Q481" s="611"/>
      <c r="R481" s="611"/>
      <c r="S481" s="611"/>
      <c r="T481" s="643"/>
      <c r="U481" s="611"/>
      <c r="V481" s="611" t="s">
        <v>128</v>
      </c>
      <c r="W481" s="611"/>
      <c r="X481" s="611"/>
      <c r="Y481" s="611"/>
      <c r="Z481" s="611"/>
      <c r="AA481" s="611"/>
      <c r="AB481" s="643"/>
      <c r="AC481" s="611"/>
      <c r="AD481" s="611"/>
      <c r="AE481" s="611"/>
      <c r="AF481" s="611"/>
      <c r="AG481" s="611"/>
      <c r="AH481" s="611"/>
      <c r="AI481" s="611"/>
      <c r="AJ481" s="611"/>
      <c r="AK481" s="611"/>
      <c r="AL481" s="611"/>
      <c r="AM481" s="643"/>
      <c r="AN481" s="611"/>
      <c r="AO481" s="611"/>
      <c r="AP481"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1" s="565">
        <f>WWWW[[#This Row],[%Equitable and continuous access to sufficient quantity of safe drinking water]]*WWWW[[#This Row],[Total PoP ]]</f>
        <v>0</v>
      </c>
      <c r="AR481"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1" s="565">
        <f>WWWW[[#This Row],[% Access to unimproved water points]]*WWWW[[#This Row],[Total PoP ]]</f>
        <v>0</v>
      </c>
      <c r="AT481"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1"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1" s="565">
        <f>WWWW[[#This Row],[HRP1]]/250</f>
        <v>0</v>
      </c>
      <c r="AW481" s="555">
        <f>1-WWWW[[#This Row],[% Equitable and continuous access to sufficient quantity of domestic water]]</f>
        <v>1</v>
      </c>
      <c r="AX481" s="565">
        <f>WWWW[[#This Row],[%equitable and continuous access to sufficient quantity of safe drinking and domestic water''s GAP]]*WWWW[[#This Row],[Total PoP ]]</f>
        <v>237</v>
      </c>
      <c r="AY481" s="557">
        <f>IF(WWWW[[#This Row],[Total required water points]]-WWWW[[#This Row],['#Water points coverage]]&lt;0,0,WWWW[[#This Row],[Total required water points]]-WWWW[[#This Row],['#Water points coverage]])</f>
        <v>1</v>
      </c>
      <c r="AZ481" s="557">
        <f>ROUND(IF(WWWW[[#This Row],[Total PoP ]]&lt;250,1,WWWW[[#This Row],[Total PoP ]]/250),0)</f>
        <v>1</v>
      </c>
      <c r="BA481"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1" s="565">
        <f>WWWW[[#This Row],[% people access to functioning Latrine]]*WWWW[[#This Row],[Total PoP ]]</f>
        <v>0</v>
      </c>
      <c r="BC481" s="557">
        <f>WWWW[[#This Row],['#_of_Functioning_latrines_in_school]]*50</f>
        <v>0</v>
      </c>
      <c r="BD481" s="557">
        <f>ROUND((WWWW[[#This Row],[Total PoP ]]/6),0)</f>
        <v>40</v>
      </c>
      <c r="BE481" s="557">
        <f>IF(WWWW[[#This Row],[Total required Latrines]]-(WWWW[[#This Row],['#_of_sanitary_fly-proof_HH_latrines]])&lt;0,0,WWWW[[#This Row],[Total required Latrines]]-(WWWW[[#This Row],['#_of_sanitary_fly-proof_HH_latrines]]))</f>
        <v>40</v>
      </c>
      <c r="BF481" s="558">
        <f>1-WWWW[[#This Row],[% people access to functioning Latrine]]</f>
        <v>1</v>
      </c>
      <c r="BG481"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1" s="565">
        <f>IF(WWWW[[#This Row],['#_of_functional_handwashing_facilities_at_HH_level]]*6&gt;WWWW[[#This Row],[Total PoP ]],WWWW[[#This Row],[Total PoP ]],WWWW[[#This Row],['#_of_functional_handwashing_facilities_at_HH_level]]*6)</f>
        <v>0</v>
      </c>
      <c r="BI481" s="557">
        <f>IF(WWWW[[#This Row],['# people reached by regular dedicated hygiene promotion]]&gt;WWWW[[#This Row],['# People received regular supply of hygiene items]],WWWW[[#This Row],['# people reached by regular dedicated hygiene promotion]],WWWW[[#This Row],['# People received regular supply of hygiene items]])</f>
        <v>0</v>
      </c>
      <c r="BJ481" s="555">
        <f>IF(WWWW[[#This Row],[HRP3]]/WWWW[[#This Row],[Total PoP ]]&gt;100%,100%,WWWW[[#This Row],[HRP3]]/WWWW[[#This Row],[Total PoP ]])</f>
        <v>0</v>
      </c>
      <c r="BK481" s="558">
        <f>1-WWWW[[#This Row],[Hygiene Coverage%]]</f>
        <v>1</v>
      </c>
      <c r="BL481" s="556">
        <f>WWWW[[#This Row],['# people reached by regular dedicated hygiene promotion]]/WWWW[[#This Row],[Total PoP ]]</f>
        <v>0</v>
      </c>
      <c r="BM481"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N481" s="557">
        <f>WWWW[[#This Row],['#_of_affected_women_and_girls_receiving_a_sufficient_quantity_of_sanitary_pads]]</f>
        <v>0</v>
      </c>
      <c r="BO481" s="611">
        <f>IF(WWWW[[#This Row],['# People with access to soap]]&gt;WWWW[[#This Row],['# People with access to Sanity Pads]],WWWW[[#This Row],['# People with access to soap]],WWWW[[#This Row],['# People with access to Sanity Pads]])</f>
        <v>0</v>
      </c>
      <c r="BP481" s="565" t="str">
        <f>IF(OR(WWWW[[#This Row],['#of students in school]]="",WWWW[[#This Row],['#of students in school]]=0),"No","Yes")</f>
        <v>No</v>
      </c>
      <c r="BQ481" s="559" t="str">
        <f>VLOOKUP(WWWW[[#This Row],[Village  Name]],SiteDB6[[Site Name]:[Location Type 1]],9,FALSE)</f>
        <v>Village</v>
      </c>
      <c r="BR481" s="559" t="str">
        <f>VLOOKUP(WWWW[[#This Row],[Village  Name]],SiteDB6[[Site Name]:[Type of Accommodation]],10,FALSE)</f>
        <v>Village</v>
      </c>
      <c r="BS481" s="559" t="str">
        <f>VLOOKUP(WWWW[[#This Row],[Village  Name]],SiteDB6[[Site Name]:[Ethnic or GCA/NGCA]],11,FALSE)</f>
        <v>Rakhine</v>
      </c>
      <c r="BT481" s="559">
        <f>VLOOKUP(WWWW[[#This Row],[Village  Name]],SiteDB6[[Site Name]:[Lat]],12,FALSE)</f>
        <v>20.7940998077393</v>
      </c>
      <c r="BU481" s="559">
        <f>VLOOKUP(WWWW[[#This Row],[Village  Name]],SiteDB6[[Site Name]:[Long]],13,FALSE)</f>
        <v>92.5543212890625</v>
      </c>
      <c r="BV481" s="559">
        <f>VLOOKUP(WWWW[[#This Row],[Village  Name]],SiteDB6[[Site Name]:[Pcode]],3,FALSE)</f>
        <v>198377</v>
      </c>
      <c r="BW481" s="559" t="str">
        <f t="shared" si="17"/>
        <v>Covered</v>
      </c>
      <c r="BX481" s="587"/>
    </row>
    <row r="482" spans="1:76">
      <c r="A482" s="612" t="s">
        <v>2381</v>
      </c>
      <c r="B482" s="612" t="s">
        <v>233</v>
      </c>
      <c r="C482" s="457" t="s">
        <v>2727</v>
      </c>
      <c r="D482" s="457"/>
      <c r="E482" s="551" t="s">
        <v>2686</v>
      </c>
      <c r="F482" s="457" t="s">
        <v>321</v>
      </c>
      <c r="G482" s="559" t="str">
        <f>VLOOKUP(WWWW[[#This Row],[Village  Name]],SiteDB6[[Site Name]:[Location Type]],8,FALSE)</f>
        <v>Village</v>
      </c>
      <c r="H482" s="457" t="s">
        <v>3079</v>
      </c>
      <c r="I482" s="611">
        <f>WWWW[[#This Row],[Total PoP ]]/5</f>
        <v>229.8</v>
      </c>
      <c r="J482" s="611">
        <v>1149</v>
      </c>
      <c r="K482" s="461"/>
      <c r="L482" s="55"/>
      <c r="M482" s="611"/>
      <c r="N482" s="611"/>
      <c r="O482" s="611"/>
      <c r="P482" s="611"/>
      <c r="Q482" s="611"/>
      <c r="R482" s="611"/>
      <c r="S482" s="611"/>
      <c r="T482" s="643"/>
      <c r="U482" s="611"/>
      <c r="V482" s="611"/>
      <c r="W482" s="611"/>
      <c r="X482" s="611"/>
      <c r="Y482" s="611"/>
      <c r="Z482" s="611"/>
      <c r="AA482" s="611"/>
      <c r="AB482" s="643"/>
      <c r="AC482" s="611"/>
      <c r="AD482" s="611"/>
      <c r="AE482" s="611"/>
      <c r="AF482" s="611"/>
      <c r="AG482" s="611"/>
      <c r="AH482" s="611"/>
      <c r="AI482" s="611"/>
      <c r="AJ482" s="611"/>
      <c r="AK482" s="611">
        <v>229.8</v>
      </c>
      <c r="AL482" s="611"/>
      <c r="AM482" s="643"/>
      <c r="AN482" s="611"/>
      <c r="AO482" s="611"/>
      <c r="AP482"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2" s="565">
        <f>WWWW[[#This Row],[%Equitable and continuous access to sufficient quantity of safe drinking water]]*WWWW[[#This Row],[Total PoP ]]</f>
        <v>0</v>
      </c>
      <c r="AR482"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2" s="565">
        <f>WWWW[[#This Row],[% Access to unimproved water points]]*WWWW[[#This Row],[Total PoP ]]</f>
        <v>0</v>
      </c>
      <c r="AT482"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2"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2" s="565">
        <f>WWWW[[#This Row],[HRP1]]/250</f>
        <v>0</v>
      </c>
      <c r="AW482" s="555">
        <f>1-WWWW[[#This Row],[% Equitable and continuous access to sufficient quantity of domestic water]]</f>
        <v>1</v>
      </c>
      <c r="AX482" s="565">
        <f>WWWW[[#This Row],[%equitable and continuous access to sufficient quantity of safe drinking and domestic water''s GAP]]*WWWW[[#This Row],[Total PoP ]]</f>
        <v>1149</v>
      </c>
      <c r="AY482" s="557">
        <f>IF(WWWW[[#This Row],[Total required water points]]-WWWW[[#This Row],['#Water points coverage]]&lt;0,0,WWWW[[#This Row],[Total required water points]]-WWWW[[#This Row],['#Water points coverage]])</f>
        <v>5</v>
      </c>
      <c r="AZ482" s="557">
        <f>ROUND(IF(WWWW[[#This Row],[Total PoP ]]&lt;250,1,WWWW[[#This Row],[Total PoP ]]/250),0)</f>
        <v>5</v>
      </c>
      <c r="BA482"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2" s="565">
        <f>WWWW[[#This Row],[% people access to functioning Latrine]]*WWWW[[#This Row],[Total PoP ]]</f>
        <v>0</v>
      </c>
      <c r="BC482" s="557">
        <f>WWWW[[#This Row],['#_of_Functioning_latrines_in_school]]*50</f>
        <v>0</v>
      </c>
      <c r="BD482" s="557">
        <f>ROUND((WWWW[[#This Row],[Total PoP ]]/6),0)</f>
        <v>192</v>
      </c>
      <c r="BE482" s="557">
        <f>IF(WWWW[[#This Row],[Total required Latrines]]-(WWWW[[#This Row],['#_of_sanitary_fly-proof_HH_latrines]])&lt;0,0,WWWW[[#This Row],[Total required Latrines]]-(WWWW[[#This Row],['#_of_sanitary_fly-proof_HH_latrines]]))</f>
        <v>192</v>
      </c>
      <c r="BF482" s="558">
        <f>1-WWWW[[#This Row],[% people access to functioning Latrine]]</f>
        <v>1</v>
      </c>
      <c r="BG482"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2" s="565">
        <f>IF(WWWW[[#This Row],['#_of_functional_handwashing_facilities_at_HH_level]]*6&gt;WWWW[[#This Row],[Total PoP ]],WWWW[[#This Row],[Total PoP ]],WWWW[[#This Row],['#_of_functional_handwashing_facilities_at_HH_level]]*6)</f>
        <v>0</v>
      </c>
      <c r="BI482" s="557">
        <f>IF(WWWW[[#This Row],['# people reached by regular dedicated hygiene promotion]]&gt;WWWW[[#This Row],['# People received regular supply of hygiene items]],WWWW[[#This Row],['# people reached by regular dedicated hygiene promotion]],WWWW[[#This Row],['# People received regular supply of hygiene items]])</f>
        <v>1149</v>
      </c>
      <c r="BJ482" s="555">
        <f>IF(WWWW[[#This Row],[HRP3]]/WWWW[[#This Row],[Total PoP ]]&gt;100%,100%,WWWW[[#This Row],[HRP3]]/WWWW[[#This Row],[Total PoP ]])</f>
        <v>1</v>
      </c>
      <c r="BK482" s="558">
        <f>1-WWWW[[#This Row],[Hygiene Coverage%]]</f>
        <v>0</v>
      </c>
      <c r="BL482" s="556">
        <f>WWWW[[#This Row],['# people reached by regular dedicated hygiene promotion]]/WWWW[[#This Row],[Total PoP ]]</f>
        <v>0</v>
      </c>
      <c r="BM482"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1149</v>
      </c>
      <c r="BN482" s="557">
        <f>WWWW[[#This Row],['#_of_affected_women_and_girls_receiving_a_sufficient_quantity_of_sanitary_pads]]</f>
        <v>0</v>
      </c>
      <c r="BO482" s="611">
        <f>IF(WWWW[[#This Row],['# People with access to soap]]&gt;WWWW[[#This Row],['# People with access to Sanity Pads]],WWWW[[#This Row],['# People with access to soap]],WWWW[[#This Row],['# People with access to Sanity Pads]])</f>
        <v>1149</v>
      </c>
      <c r="BP482" s="565" t="str">
        <f>IF(OR(WWWW[[#This Row],['#of students in school]]="",WWWW[[#This Row],['#of students in school]]=0),"No","Yes")</f>
        <v>No</v>
      </c>
      <c r="BQ482" s="559" t="str">
        <f>VLOOKUP(WWWW[[#This Row],[Village  Name]],SiteDB6[[Site Name]:[Location Type 1]],9,FALSE)</f>
        <v>Village</v>
      </c>
      <c r="BR482" s="559" t="str">
        <f>VLOOKUP(WWWW[[#This Row],[Village  Name]],SiteDB6[[Site Name]:[Type of Accommodation]],10,FALSE)</f>
        <v>Village</v>
      </c>
      <c r="BS482" s="559">
        <f>VLOOKUP(WWWW[[#This Row],[Village  Name]],SiteDB6[[Site Name]:[Ethnic or GCA/NGCA]],11,FALSE)</f>
        <v>0</v>
      </c>
      <c r="BT482" s="559">
        <f>VLOOKUP(WWWW[[#This Row],[Village  Name]],SiteDB6[[Site Name]:[Lat]],12,FALSE)</f>
        <v>21.004440307617202</v>
      </c>
      <c r="BU482" s="559">
        <f>VLOOKUP(WWWW[[#This Row],[Village  Name]],SiteDB6[[Site Name]:[Long]],13,FALSE)</f>
        <v>92.500228881835895</v>
      </c>
      <c r="BV482" s="559">
        <f>VLOOKUP(WWWW[[#This Row],[Village  Name]],SiteDB6[[Site Name]:[Pcode]],3,FALSE)</f>
        <v>198188</v>
      </c>
      <c r="BW482" s="559" t="str">
        <f t="shared" ref="BW482:BW489" si="18">IF(C482="none","Notcovered","Covered")</f>
        <v>Covered</v>
      </c>
      <c r="BX482" s="587"/>
    </row>
    <row r="483" spans="1:76">
      <c r="A483" s="612" t="s">
        <v>2381</v>
      </c>
      <c r="B483" s="612" t="s">
        <v>233</v>
      </c>
      <c r="C483" s="457" t="s">
        <v>2727</v>
      </c>
      <c r="D483" s="457"/>
      <c r="E483" s="551" t="s">
        <v>2686</v>
      </c>
      <c r="F483" s="457" t="s">
        <v>321</v>
      </c>
      <c r="G483" s="559" t="str">
        <f>VLOOKUP(WWWW[[#This Row],[Village  Name]],SiteDB6[[Site Name]:[Location Type]],8,FALSE)</f>
        <v>Village</v>
      </c>
      <c r="H483" s="457" t="s">
        <v>2078</v>
      </c>
      <c r="I483" s="611">
        <f>WWWW[[#This Row],[Total PoP ]]/5</f>
        <v>1123.4000000000001</v>
      </c>
      <c r="J483" s="611">
        <v>5617</v>
      </c>
      <c r="K483" s="461"/>
      <c r="L483" s="55"/>
      <c r="M483" s="611"/>
      <c r="N483" s="611"/>
      <c r="O483" s="611"/>
      <c r="P483" s="611"/>
      <c r="Q483" s="611"/>
      <c r="R483" s="611"/>
      <c r="S483" s="611"/>
      <c r="T483" s="643"/>
      <c r="U483" s="611"/>
      <c r="V483" s="611"/>
      <c r="W483" s="611"/>
      <c r="X483" s="611"/>
      <c r="Y483" s="611"/>
      <c r="Z483" s="611"/>
      <c r="AA483" s="611"/>
      <c r="AB483" s="643"/>
      <c r="AC483" s="611"/>
      <c r="AD483" s="611"/>
      <c r="AE483" s="611"/>
      <c r="AF483" s="611"/>
      <c r="AG483" s="611"/>
      <c r="AH483" s="611"/>
      <c r="AI483" s="611"/>
      <c r="AJ483" s="611"/>
      <c r="AK483" s="611">
        <v>1123.4000000000001</v>
      </c>
      <c r="AL483" s="611"/>
      <c r="AM483" s="643"/>
      <c r="AN483" s="611"/>
      <c r="AO483" s="611"/>
      <c r="AP483"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3" s="565">
        <f>WWWW[[#This Row],[%Equitable and continuous access to sufficient quantity of safe drinking water]]*WWWW[[#This Row],[Total PoP ]]</f>
        <v>0</v>
      </c>
      <c r="AR483"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3" s="565">
        <f>WWWW[[#This Row],[% Access to unimproved water points]]*WWWW[[#This Row],[Total PoP ]]</f>
        <v>0</v>
      </c>
      <c r="AT483"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3"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3" s="565">
        <f>WWWW[[#This Row],[HRP1]]/250</f>
        <v>0</v>
      </c>
      <c r="AW483" s="555">
        <f>1-WWWW[[#This Row],[% Equitable and continuous access to sufficient quantity of domestic water]]</f>
        <v>1</v>
      </c>
      <c r="AX483" s="565">
        <f>WWWW[[#This Row],[%equitable and continuous access to sufficient quantity of safe drinking and domestic water''s GAP]]*WWWW[[#This Row],[Total PoP ]]</f>
        <v>5617</v>
      </c>
      <c r="AY483" s="557">
        <f>IF(WWWW[[#This Row],[Total required water points]]-WWWW[[#This Row],['#Water points coverage]]&lt;0,0,WWWW[[#This Row],[Total required water points]]-WWWW[[#This Row],['#Water points coverage]])</f>
        <v>22</v>
      </c>
      <c r="AZ483" s="557">
        <f>ROUND(IF(WWWW[[#This Row],[Total PoP ]]&lt;250,1,WWWW[[#This Row],[Total PoP ]]/250),0)</f>
        <v>22</v>
      </c>
      <c r="BA483"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3" s="565">
        <f>WWWW[[#This Row],[% people access to functioning Latrine]]*WWWW[[#This Row],[Total PoP ]]</f>
        <v>0</v>
      </c>
      <c r="BC483" s="557">
        <f>WWWW[[#This Row],['#_of_Functioning_latrines_in_school]]*50</f>
        <v>0</v>
      </c>
      <c r="BD483" s="557">
        <f>ROUND((WWWW[[#This Row],[Total PoP ]]/6),0)</f>
        <v>936</v>
      </c>
      <c r="BE483" s="557">
        <f>IF(WWWW[[#This Row],[Total required Latrines]]-(WWWW[[#This Row],['#_of_sanitary_fly-proof_HH_latrines]])&lt;0,0,WWWW[[#This Row],[Total required Latrines]]-(WWWW[[#This Row],['#_of_sanitary_fly-proof_HH_latrines]]))</f>
        <v>936</v>
      </c>
      <c r="BF483" s="558">
        <f>1-WWWW[[#This Row],[% people access to functioning Latrine]]</f>
        <v>1</v>
      </c>
      <c r="BG483"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3" s="565">
        <f>IF(WWWW[[#This Row],['#_of_functional_handwashing_facilities_at_HH_level]]*6&gt;WWWW[[#This Row],[Total PoP ]],WWWW[[#This Row],[Total PoP ]],WWWW[[#This Row],['#_of_functional_handwashing_facilities_at_HH_level]]*6)</f>
        <v>0</v>
      </c>
      <c r="BI483" s="557">
        <f>IF(WWWW[[#This Row],['# people reached by regular dedicated hygiene promotion]]&gt;WWWW[[#This Row],['# People received regular supply of hygiene items]],WWWW[[#This Row],['# people reached by regular dedicated hygiene promotion]],WWWW[[#This Row],['# People received regular supply of hygiene items]])</f>
        <v>5617</v>
      </c>
      <c r="BJ483" s="555">
        <f>IF(WWWW[[#This Row],[HRP3]]/WWWW[[#This Row],[Total PoP ]]&gt;100%,100%,WWWW[[#This Row],[HRP3]]/WWWW[[#This Row],[Total PoP ]])</f>
        <v>1</v>
      </c>
      <c r="BK483" s="558">
        <f>1-WWWW[[#This Row],[Hygiene Coverage%]]</f>
        <v>0</v>
      </c>
      <c r="BL483" s="556">
        <f>WWWW[[#This Row],['# people reached by regular dedicated hygiene promotion]]/WWWW[[#This Row],[Total PoP ]]</f>
        <v>0</v>
      </c>
      <c r="BM483"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5617</v>
      </c>
      <c r="BN483" s="557">
        <f>WWWW[[#This Row],['#_of_affected_women_and_girls_receiving_a_sufficient_quantity_of_sanitary_pads]]</f>
        <v>0</v>
      </c>
      <c r="BO483" s="611">
        <f>IF(WWWW[[#This Row],['# People with access to soap]]&gt;WWWW[[#This Row],['# People with access to Sanity Pads]],WWWW[[#This Row],['# People with access to soap]],WWWW[[#This Row],['# People with access to Sanity Pads]])</f>
        <v>5617</v>
      </c>
      <c r="BP483" s="565" t="str">
        <f>IF(OR(WWWW[[#This Row],['#of students in school]]="",WWWW[[#This Row],['#of students in school]]=0),"No","Yes")</f>
        <v>No</v>
      </c>
      <c r="BQ483" s="559" t="str">
        <f>VLOOKUP(WWWW[[#This Row],[Village  Name]],SiteDB6[[Site Name]:[Location Type 1]],9,FALSE)</f>
        <v>Village</v>
      </c>
      <c r="BR483" s="559" t="str">
        <f>VLOOKUP(WWWW[[#This Row],[Village  Name]],SiteDB6[[Site Name]:[Type of Accommodation]],10,FALSE)</f>
        <v>Village</v>
      </c>
      <c r="BS483" s="559">
        <f>VLOOKUP(WWWW[[#This Row],[Village  Name]],SiteDB6[[Site Name]:[Ethnic or GCA/NGCA]],11,FALSE)</f>
        <v>0</v>
      </c>
      <c r="BT483" s="559">
        <f>VLOOKUP(WWWW[[#This Row],[Village  Name]],SiteDB6[[Site Name]:[Lat]],12,FALSE)</f>
        <v>20.847490310668899</v>
      </c>
      <c r="BU483" s="559">
        <f>VLOOKUP(WWWW[[#This Row],[Village  Name]],SiteDB6[[Site Name]:[Long]],13,FALSE)</f>
        <v>92.556472778320298</v>
      </c>
      <c r="BV483" s="559">
        <f>VLOOKUP(WWWW[[#This Row],[Village  Name]],SiteDB6[[Site Name]:[Pcode]],3,FALSE)</f>
        <v>198348</v>
      </c>
      <c r="BW483" s="559" t="str">
        <f t="shared" si="18"/>
        <v>Covered</v>
      </c>
      <c r="BX483" s="587"/>
    </row>
    <row r="484" spans="1:76">
      <c r="A484" s="612" t="s">
        <v>2381</v>
      </c>
      <c r="B484" s="612" t="s">
        <v>233</v>
      </c>
      <c r="C484" s="457" t="s">
        <v>2727</v>
      </c>
      <c r="D484" s="457"/>
      <c r="E484" s="551" t="s">
        <v>2686</v>
      </c>
      <c r="F484" s="457" t="s">
        <v>321</v>
      </c>
      <c r="G484" s="559" t="str">
        <f>VLOOKUP(WWWW[[#This Row],[Village  Name]],SiteDB6[[Site Name]:[Location Type]],8,FALSE)</f>
        <v>Village</v>
      </c>
      <c r="H484" s="457" t="s">
        <v>2543</v>
      </c>
      <c r="I484" s="611">
        <f>WWWW[[#This Row],[Total PoP ]]/5</f>
        <v>2622</v>
      </c>
      <c r="J484" s="611">
        <v>13110</v>
      </c>
      <c r="K484" s="461"/>
      <c r="L484" s="55"/>
      <c r="M484" s="611"/>
      <c r="N484" s="611"/>
      <c r="O484" s="611"/>
      <c r="P484" s="611"/>
      <c r="Q484" s="611"/>
      <c r="R484" s="611"/>
      <c r="S484" s="611"/>
      <c r="T484" s="643"/>
      <c r="U484" s="611"/>
      <c r="V484" s="611"/>
      <c r="W484" s="611"/>
      <c r="X484" s="611"/>
      <c r="Y484" s="611"/>
      <c r="Z484" s="611"/>
      <c r="AA484" s="611"/>
      <c r="AB484" s="643"/>
      <c r="AC484" s="611"/>
      <c r="AD484" s="611"/>
      <c r="AE484" s="611"/>
      <c r="AF484" s="611"/>
      <c r="AG484" s="611"/>
      <c r="AH484" s="611"/>
      <c r="AI484" s="611"/>
      <c r="AJ484" s="611"/>
      <c r="AK484" s="611">
        <v>2622</v>
      </c>
      <c r="AL484" s="611"/>
      <c r="AM484" s="643"/>
      <c r="AN484" s="611"/>
      <c r="AO484" s="611"/>
      <c r="AP484"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4" s="565">
        <f>WWWW[[#This Row],[%Equitable and continuous access to sufficient quantity of safe drinking water]]*WWWW[[#This Row],[Total PoP ]]</f>
        <v>0</v>
      </c>
      <c r="AR484"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4" s="565">
        <f>WWWW[[#This Row],[% Access to unimproved water points]]*WWWW[[#This Row],[Total PoP ]]</f>
        <v>0</v>
      </c>
      <c r="AT484"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4"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4" s="565">
        <f>WWWW[[#This Row],[HRP1]]/250</f>
        <v>0</v>
      </c>
      <c r="AW484" s="555">
        <f>1-WWWW[[#This Row],[% Equitable and continuous access to sufficient quantity of domestic water]]</f>
        <v>1</v>
      </c>
      <c r="AX484" s="565">
        <f>WWWW[[#This Row],[%equitable and continuous access to sufficient quantity of safe drinking and domestic water''s GAP]]*WWWW[[#This Row],[Total PoP ]]</f>
        <v>13110</v>
      </c>
      <c r="AY484" s="557">
        <f>IF(WWWW[[#This Row],[Total required water points]]-WWWW[[#This Row],['#Water points coverage]]&lt;0,0,WWWW[[#This Row],[Total required water points]]-WWWW[[#This Row],['#Water points coverage]])</f>
        <v>52</v>
      </c>
      <c r="AZ484" s="557">
        <f>ROUND(IF(WWWW[[#This Row],[Total PoP ]]&lt;250,1,WWWW[[#This Row],[Total PoP ]]/250),0)</f>
        <v>52</v>
      </c>
      <c r="BA484"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4" s="565">
        <f>WWWW[[#This Row],[% people access to functioning Latrine]]*WWWW[[#This Row],[Total PoP ]]</f>
        <v>0</v>
      </c>
      <c r="BC484" s="557">
        <f>WWWW[[#This Row],['#_of_Functioning_latrines_in_school]]*50</f>
        <v>0</v>
      </c>
      <c r="BD484" s="557">
        <f>ROUND((WWWW[[#This Row],[Total PoP ]]/6),0)</f>
        <v>2185</v>
      </c>
      <c r="BE484" s="557">
        <f>IF(WWWW[[#This Row],[Total required Latrines]]-(WWWW[[#This Row],['#_of_sanitary_fly-proof_HH_latrines]])&lt;0,0,WWWW[[#This Row],[Total required Latrines]]-(WWWW[[#This Row],['#_of_sanitary_fly-proof_HH_latrines]]))</f>
        <v>2185</v>
      </c>
      <c r="BF484" s="558">
        <f>1-WWWW[[#This Row],[% people access to functioning Latrine]]</f>
        <v>1</v>
      </c>
      <c r="BG484"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4" s="565">
        <f>IF(WWWW[[#This Row],['#_of_functional_handwashing_facilities_at_HH_level]]*6&gt;WWWW[[#This Row],[Total PoP ]],WWWW[[#This Row],[Total PoP ]],WWWW[[#This Row],['#_of_functional_handwashing_facilities_at_HH_level]]*6)</f>
        <v>0</v>
      </c>
      <c r="BI484" s="557">
        <f>IF(WWWW[[#This Row],['# people reached by regular dedicated hygiene promotion]]&gt;WWWW[[#This Row],['# People received regular supply of hygiene items]],WWWW[[#This Row],['# people reached by regular dedicated hygiene promotion]],WWWW[[#This Row],['# People received regular supply of hygiene items]])</f>
        <v>13110</v>
      </c>
      <c r="BJ484" s="555">
        <f>IF(WWWW[[#This Row],[HRP3]]/WWWW[[#This Row],[Total PoP ]]&gt;100%,100%,WWWW[[#This Row],[HRP3]]/WWWW[[#This Row],[Total PoP ]])</f>
        <v>1</v>
      </c>
      <c r="BK484" s="558">
        <f>1-WWWW[[#This Row],[Hygiene Coverage%]]</f>
        <v>0</v>
      </c>
      <c r="BL484" s="556">
        <f>WWWW[[#This Row],['# people reached by regular dedicated hygiene promotion]]/WWWW[[#This Row],[Total PoP ]]</f>
        <v>0</v>
      </c>
      <c r="BM484"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13110</v>
      </c>
      <c r="BN484" s="557">
        <f>WWWW[[#This Row],['#_of_affected_women_and_girls_receiving_a_sufficient_quantity_of_sanitary_pads]]</f>
        <v>0</v>
      </c>
      <c r="BO484" s="611">
        <f>IF(WWWW[[#This Row],['# People with access to soap]]&gt;WWWW[[#This Row],['# People with access to Sanity Pads]],WWWW[[#This Row],['# People with access to soap]],WWWW[[#This Row],['# People with access to Sanity Pads]])</f>
        <v>13110</v>
      </c>
      <c r="BP484" s="565" t="str">
        <f>IF(OR(WWWW[[#This Row],['#of students in school]]="",WWWW[[#This Row],['#of students in school]]=0),"No","Yes")</f>
        <v>No</v>
      </c>
      <c r="BQ484" s="559" t="str">
        <f>VLOOKUP(WWWW[[#This Row],[Village  Name]],SiteDB6[[Site Name]:[Location Type 1]],9,FALSE)</f>
        <v>Village</v>
      </c>
      <c r="BR484" s="559" t="str">
        <f>VLOOKUP(WWWW[[#This Row],[Village  Name]],SiteDB6[[Site Name]:[Type of Accommodation]],10,FALSE)</f>
        <v>Village</v>
      </c>
      <c r="BS484" s="559" t="str">
        <f>VLOOKUP(WWWW[[#This Row],[Village  Name]],SiteDB6[[Site Name]:[Ethnic or GCA/NGCA]],11,FALSE)</f>
        <v>Muslim</v>
      </c>
      <c r="BT484" s="559">
        <f>VLOOKUP(WWWW[[#This Row],[Village  Name]],SiteDB6[[Site Name]:[Lat]],12,FALSE)</f>
        <v>20.819919586181602</v>
      </c>
      <c r="BU484" s="559">
        <f>VLOOKUP(WWWW[[#This Row],[Village  Name]],SiteDB6[[Site Name]:[Long]],13,FALSE)</f>
        <v>92.589729309082003</v>
      </c>
      <c r="BV484" s="559">
        <f>VLOOKUP(WWWW[[#This Row],[Village  Name]],SiteDB6[[Site Name]:[Pcode]],3,FALSE)</f>
        <v>198349</v>
      </c>
      <c r="BW484" s="559" t="str">
        <f t="shared" si="18"/>
        <v>Covered</v>
      </c>
      <c r="BX484" s="587"/>
    </row>
    <row r="485" spans="1:76">
      <c r="A485" s="612" t="s">
        <v>2381</v>
      </c>
      <c r="B485" s="612" t="s">
        <v>233</v>
      </c>
      <c r="C485" s="457" t="s">
        <v>2727</v>
      </c>
      <c r="D485" s="457"/>
      <c r="E485" s="551" t="s">
        <v>2686</v>
      </c>
      <c r="F485" s="457" t="s">
        <v>321</v>
      </c>
      <c r="G485" s="559" t="str">
        <f>VLOOKUP(WWWW[[#This Row],[Village  Name]],SiteDB6[[Site Name]:[Location Type]],8,FALSE)</f>
        <v>Village</v>
      </c>
      <c r="H485" s="457" t="s">
        <v>3080</v>
      </c>
      <c r="I485" s="611">
        <f>WWWW[[#This Row],[Total PoP ]]/5</f>
        <v>349.4</v>
      </c>
      <c r="J485" s="611">
        <v>1747</v>
      </c>
      <c r="K485" s="461"/>
      <c r="L485" s="55"/>
      <c r="M485" s="611"/>
      <c r="N485" s="611"/>
      <c r="O485" s="611"/>
      <c r="P485" s="611"/>
      <c r="Q485" s="611"/>
      <c r="R485" s="611"/>
      <c r="S485" s="611"/>
      <c r="T485" s="643"/>
      <c r="U485" s="611"/>
      <c r="V485" s="611"/>
      <c r="W485" s="611"/>
      <c r="X485" s="611"/>
      <c r="Y485" s="611"/>
      <c r="Z485" s="611"/>
      <c r="AA485" s="611"/>
      <c r="AB485" s="643"/>
      <c r="AC485" s="611"/>
      <c r="AD485" s="611"/>
      <c r="AE485" s="611"/>
      <c r="AF485" s="611"/>
      <c r="AG485" s="611"/>
      <c r="AH485" s="611"/>
      <c r="AI485" s="611"/>
      <c r="AJ485" s="611"/>
      <c r="AK485" s="611">
        <v>349.4</v>
      </c>
      <c r="AL485" s="611"/>
      <c r="AM485" s="643"/>
      <c r="AN485" s="611"/>
      <c r="AO485" s="611"/>
      <c r="AP485"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5" s="565">
        <f>WWWW[[#This Row],[%Equitable and continuous access to sufficient quantity of safe drinking water]]*WWWW[[#This Row],[Total PoP ]]</f>
        <v>0</v>
      </c>
      <c r="AR485"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5" s="565">
        <f>WWWW[[#This Row],[% Access to unimproved water points]]*WWWW[[#This Row],[Total PoP ]]</f>
        <v>0</v>
      </c>
      <c r="AT485"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5"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5" s="565">
        <f>WWWW[[#This Row],[HRP1]]/250</f>
        <v>0</v>
      </c>
      <c r="AW485" s="555">
        <f>1-WWWW[[#This Row],[% Equitable and continuous access to sufficient quantity of domestic water]]</f>
        <v>1</v>
      </c>
      <c r="AX485" s="565">
        <f>WWWW[[#This Row],[%equitable and continuous access to sufficient quantity of safe drinking and domestic water''s GAP]]*WWWW[[#This Row],[Total PoP ]]</f>
        <v>1747</v>
      </c>
      <c r="AY485" s="557">
        <f>IF(WWWW[[#This Row],[Total required water points]]-WWWW[[#This Row],['#Water points coverage]]&lt;0,0,WWWW[[#This Row],[Total required water points]]-WWWW[[#This Row],['#Water points coverage]])</f>
        <v>7</v>
      </c>
      <c r="AZ485" s="557">
        <f>ROUND(IF(WWWW[[#This Row],[Total PoP ]]&lt;250,1,WWWW[[#This Row],[Total PoP ]]/250),0)</f>
        <v>7</v>
      </c>
      <c r="BA485"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5" s="565">
        <f>WWWW[[#This Row],[% people access to functioning Latrine]]*WWWW[[#This Row],[Total PoP ]]</f>
        <v>0</v>
      </c>
      <c r="BC485" s="557">
        <f>WWWW[[#This Row],['#_of_Functioning_latrines_in_school]]*50</f>
        <v>0</v>
      </c>
      <c r="BD485" s="557">
        <f>ROUND((WWWW[[#This Row],[Total PoP ]]/6),0)</f>
        <v>291</v>
      </c>
      <c r="BE485" s="557">
        <f>IF(WWWW[[#This Row],[Total required Latrines]]-(WWWW[[#This Row],['#_of_sanitary_fly-proof_HH_latrines]])&lt;0,0,WWWW[[#This Row],[Total required Latrines]]-(WWWW[[#This Row],['#_of_sanitary_fly-proof_HH_latrines]]))</f>
        <v>291</v>
      </c>
      <c r="BF485" s="558">
        <f>1-WWWW[[#This Row],[% people access to functioning Latrine]]</f>
        <v>1</v>
      </c>
      <c r="BG485"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5" s="565">
        <f>IF(WWWW[[#This Row],['#_of_functional_handwashing_facilities_at_HH_level]]*6&gt;WWWW[[#This Row],[Total PoP ]],WWWW[[#This Row],[Total PoP ]],WWWW[[#This Row],['#_of_functional_handwashing_facilities_at_HH_level]]*6)</f>
        <v>0</v>
      </c>
      <c r="BI485" s="557">
        <f>IF(WWWW[[#This Row],['# people reached by regular dedicated hygiene promotion]]&gt;WWWW[[#This Row],['# People received regular supply of hygiene items]],WWWW[[#This Row],['# people reached by regular dedicated hygiene promotion]],WWWW[[#This Row],['# People received regular supply of hygiene items]])</f>
        <v>1747</v>
      </c>
      <c r="BJ485" s="555">
        <f>IF(WWWW[[#This Row],[HRP3]]/WWWW[[#This Row],[Total PoP ]]&gt;100%,100%,WWWW[[#This Row],[HRP3]]/WWWW[[#This Row],[Total PoP ]])</f>
        <v>1</v>
      </c>
      <c r="BK485" s="558">
        <f>1-WWWW[[#This Row],[Hygiene Coverage%]]</f>
        <v>0</v>
      </c>
      <c r="BL485" s="556">
        <f>WWWW[[#This Row],['# people reached by regular dedicated hygiene promotion]]/WWWW[[#This Row],[Total PoP ]]</f>
        <v>0</v>
      </c>
      <c r="BM485"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1747</v>
      </c>
      <c r="BN485" s="557">
        <f>WWWW[[#This Row],['#_of_affected_women_and_girls_receiving_a_sufficient_quantity_of_sanitary_pads]]</f>
        <v>0</v>
      </c>
      <c r="BO485" s="611">
        <f>IF(WWWW[[#This Row],['# People with access to soap]]&gt;WWWW[[#This Row],['# People with access to Sanity Pads]],WWWW[[#This Row],['# People with access to soap]],WWWW[[#This Row],['# People with access to Sanity Pads]])</f>
        <v>1747</v>
      </c>
      <c r="BP485" s="565" t="str">
        <f>IF(OR(WWWW[[#This Row],['#of students in school]]="",WWWW[[#This Row],['#of students in school]]=0),"No","Yes")</f>
        <v>No</v>
      </c>
      <c r="BQ485" s="559" t="str">
        <f>VLOOKUP(WWWW[[#This Row],[Village  Name]],SiteDB6[[Site Name]:[Location Type 1]],9,FALSE)</f>
        <v>Village</v>
      </c>
      <c r="BR485" s="559" t="str">
        <f>VLOOKUP(WWWW[[#This Row],[Village  Name]],SiteDB6[[Site Name]:[Type of Accommodation]],10,FALSE)</f>
        <v>Village</v>
      </c>
      <c r="BS485" s="559">
        <f>VLOOKUP(WWWW[[#This Row],[Village  Name]],SiteDB6[[Site Name]:[Ethnic or GCA/NGCA]],11,FALSE)</f>
        <v>0</v>
      </c>
      <c r="BT485" s="559">
        <f>VLOOKUP(WWWW[[#This Row],[Village  Name]],SiteDB6[[Site Name]:[Lat]],12,FALSE)</f>
        <v>20.9363498687744</v>
      </c>
      <c r="BU485" s="559">
        <f>VLOOKUP(WWWW[[#This Row],[Village  Name]],SiteDB6[[Site Name]:[Long]],13,FALSE)</f>
        <v>92.5257568359375</v>
      </c>
      <c r="BV485" s="559">
        <f>VLOOKUP(WWWW[[#This Row],[Village  Name]],SiteDB6[[Site Name]:[Pcode]],3,FALSE)</f>
        <v>198223</v>
      </c>
      <c r="BW485" s="559" t="str">
        <f t="shared" si="18"/>
        <v>Covered</v>
      </c>
      <c r="BX485" s="587"/>
    </row>
    <row r="486" spans="1:76">
      <c r="A486" s="612" t="s">
        <v>2381</v>
      </c>
      <c r="B486" s="612" t="s">
        <v>233</v>
      </c>
      <c r="C486" s="457" t="s">
        <v>2727</v>
      </c>
      <c r="D486" s="457"/>
      <c r="E486" s="551" t="s">
        <v>2686</v>
      </c>
      <c r="F486" s="457" t="s">
        <v>321</v>
      </c>
      <c r="G486" s="559" t="str">
        <f>VLOOKUP(WWWW[[#This Row],[Village  Name]],SiteDB6[[Site Name]:[Location Type]],8,FALSE)</f>
        <v>Village</v>
      </c>
      <c r="H486" s="457" t="s">
        <v>3081</v>
      </c>
      <c r="I486" s="611">
        <f>WWWW[[#This Row],[Total PoP ]]/5</f>
        <v>339</v>
      </c>
      <c r="J486" s="611">
        <v>1695</v>
      </c>
      <c r="K486" s="461"/>
      <c r="L486" s="55"/>
      <c r="M486" s="611"/>
      <c r="N486" s="611"/>
      <c r="O486" s="611"/>
      <c r="P486" s="611"/>
      <c r="Q486" s="611"/>
      <c r="R486" s="611"/>
      <c r="S486" s="611"/>
      <c r="T486" s="643"/>
      <c r="U486" s="611"/>
      <c r="V486" s="611"/>
      <c r="W486" s="611"/>
      <c r="X486" s="611"/>
      <c r="Y486" s="611"/>
      <c r="Z486" s="611"/>
      <c r="AA486" s="611"/>
      <c r="AB486" s="643"/>
      <c r="AC486" s="611"/>
      <c r="AD486" s="611"/>
      <c r="AE486" s="611"/>
      <c r="AF486" s="611"/>
      <c r="AG486" s="611"/>
      <c r="AH486" s="611"/>
      <c r="AI486" s="611"/>
      <c r="AJ486" s="611"/>
      <c r="AK486" s="611">
        <v>339</v>
      </c>
      <c r="AL486" s="611"/>
      <c r="AM486" s="643"/>
      <c r="AN486" s="611"/>
      <c r="AO486" s="611"/>
      <c r="AP486"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6" s="565">
        <f>WWWW[[#This Row],[%Equitable and continuous access to sufficient quantity of safe drinking water]]*WWWW[[#This Row],[Total PoP ]]</f>
        <v>0</v>
      </c>
      <c r="AR486"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6" s="565">
        <f>WWWW[[#This Row],[% Access to unimproved water points]]*WWWW[[#This Row],[Total PoP ]]</f>
        <v>0</v>
      </c>
      <c r="AT486"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6"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6" s="565">
        <f>WWWW[[#This Row],[HRP1]]/250</f>
        <v>0</v>
      </c>
      <c r="AW486" s="555">
        <f>1-WWWW[[#This Row],[% Equitable and continuous access to sufficient quantity of domestic water]]</f>
        <v>1</v>
      </c>
      <c r="AX486" s="565">
        <f>WWWW[[#This Row],[%equitable and continuous access to sufficient quantity of safe drinking and domestic water''s GAP]]*WWWW[[#This Row],[Total PoP ]]</f>
        <v>1695</v>
      </c>
      <c r="AY486" s="557">
        <f>IF(WWWW[[#This Row],[Total required water points]]-WWWW[[#This Row],['#Water points coverage]]&lt;0,0,WWWW[[#This Row],[Total required water points]]-WWWW[[#This Row],['#Water points coverage]])</f>
        <v>7</v>
      </c>
      <c r="AZ486" s="557">
        <f>ROUND(IF(WWWW[[#This Row],[Total PoP ]]&lt;250,1,WWWW[[#This Row],[Total PoP ]]/250),0)</f>
        <v>7</v>
      </c>
      <c r="BA486"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6" s="565">
        <f>WWWW[[#This Row],[% people access to functioning Latrine]]*WWWW[[#This Row],[Total PoP ]]</f>
        <v>0</v>
      </c>
      <c r="BC486" s="557">
        <f>WWWW[[#This Row],['#_of_Functioning_latrines_in_school]]*50</f>
        <v>0</v>
      </c>
      <c r="BD486" s="557">
        <f>ROUND((WWWW[[#This Row],[Total PoP ]]/6),0)</f>
        <v>283</v>
      </c>
      <c r="BE486" s="557">
        <f>IF(WWWW[[#This Row],[Total required Latrines]]-(WWWW[[#This Row],['#_of_sanitary_fly-proof_HH_latrines]])&lt;0,0,WWWW[[#This Row],[Total required Latrines]]-(WWWW[[#This Row],['#_of_sanitary_fly-proof_HH_latrines]]))</f>
        <v>283</v>
      </c>
      <c r="BF486" s="558">
        <f>1-WWWW[[#This Row],[% people access to functioning Latrine]]</f>
        <v>1</v>
      </c>
      <c r="BG486"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6" s="565">
        <f>IF(WWWW[[#This Row],['#_of_functional_handwashing_facilities_at_HH_level]]*6&gt;WWWW[[#This Row],[Total PoP ]],WWWW[[#This Row],[Total PoP ]],WWWW[[#This Row],['#_of_functional_handwashing_facilities_at_HH_level]]*6)</f>
        <v>0</v>
      </c>
      <c r="BI486" s="557">
        <f>IF(WWWW[[#This Row],['# people reached by regular dedicated hygiene promotion]]&gt;WWWW[[#This Row],['# People received regular supply of hygiene items]],WWWW[[#This Row],['# people reached by regular dedicated hygiene promotion]],WWWW[[#This Row],['# People received regular supply of hygiene items]])</f>
        <v>1695</v>
      </c>
      <c r="BJ486" s="555">
        <f>IF(WWWW[[#This Row],[HRP3]]/WWWW[[#This Row],[Total PoP ]]&gt;100%,100%,WWWW[[#This Row],[HRP3]]/WWWW[[#This Row],[Total PoP ]])</f>
        <v>1</v>
      </c>
      <c r="BK486" s="558">
        <f>1-WWWW[[#This Row],[Hygiene Coverage%]]</f>
        <v>0</v>
      </c>
      <c r="BL486" s="556">
        <f>WWWW[[#This Row],['# people reached by regular dedicated hygiene promotion]]/WWWW[[#This Row],[Total PoP ]]</f>
        <v>0</v>
      </c>
      <c r="BM486"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1695</v>
      </c>
      <c r="BN486" s="557">
        <f>WWWW[[#This Row],['#_of_affected_women_and_girls_receiving_a_sufficient_quantity_of_sanitary_pads]]</f>
        <v>0</v>
      </c>
      <c r="BO486" s="611">
        <f>IF(WWWW[[#This Row],['# People with access to soap]]&gt;WWWW[[#This Row],['# People with access to Sanity Pads]],WWWW[[#This Row],['# People with access to soap]],WWWW[[#This Row],['# People with access to Sanity Pads]])</f>
        <v>1695</v>
      </c>
      <c r="BP486" s="565" t="str">
        <f>IF(OR(WWWW[[#This Row],['#of students in school]]="",WWWW[[#This Row],['#of students in school]]=0),"No","Yes")</f>
        <v>No</v>
      </c>
      <c r="BQ486" s="559" t="str">
        <f>VLOOKUP(WWWW[[#This Row],[Village  Name]],SiteDB6[[Site Name]:[Location Type 1]],9,FALSE)</f>
        <v>Village</v>
      </c>
      <c r="BR486" s="559" t="str">
        <f>VLOOKUP(WWWW[[#This Row],[Village  Name]],SiteDB6[[Site Name]:[Type of Accommodation]],10,FALSE)</f>
        <v>Village</v>
      </c>
      <c r="BS486" s="559">
        <f>VLOOKUP(WWWW[[#This Row],[Village  Name]],SiteDB6[[Site Name]:[Ethnic or GCA/NGCA]],11,FALSE)</f>
        <v>0</v>
      </c>
      <c r="BT486" s="559">
        <f>VLOOKUP(WWWW[[#This Row],[Village  Name]],SiteDB6[[Site Name]:[Lat]],12,FALSE)</f>
        <v>20.945339202880898</v>
      </c>
      <c r="BU486" s="559">
        <f>VLOOKUP(WWWW[[#This Row],[Village  Name]],SiteDB6[[Site Name]:[Long]],13,FALSE)</f>
        <v>92.496063232421903</v>
      </c>
      <c r="BV486" s="559">
        <f>VLOOKUP(WWWW[[#This Row],[Village  Name]],SiteDB6[[Site Name]:[Pcode]],3,FALSE)</f>
        <v>198179</v>
      </c>
      <c r="BW486" s="559" t="str">
        <f t="shared" si="18"/>
        <v>Covered</v>
      </c>
      <c r="BX486" s="587"/>
    </row>
    <row r="487" spans="1:76">
      <c r="A487" s="612" t="s">
        <v>2381</v>
      </c>
      <c r="B487" s="612" t="s">
        <v>233</v>
      </c>
      <c r="C487" s="457" t="s">
        <v>2727</v>
      </c>
      <c r="D487" s="457"/>
      <c r="E487" s="551" t="s">
        <v>2686</v>
      </c>
      <c r="F487" s="457" t="s">
        <v>307</v>
      </c>
      <c r="G487" s="559" t="str">
        <f>VLOOKUP(WWWW[[#This Row],[Village  Name]],SiteDB6[[Site Name]:[Location Type]],8,FALSE)</f>
        <v>Village</v>
      </c>
      <c r="H487" s="457" t="s">
        <v>2723</v>
      </c>
      <c r="I487" s="611">
        <f>WWWW[[#This Row],[Total PoP ]]/5</f>
        <v>131.80000000000001</v>
      </c>
      <c r="J487" s="611">
        <v>659</v>
      </c>
      <c r="K487" s="461"/>
      <c r="L487" s="55"/>
      <c r="M487" s="611"/>
      <c r="N487" s="611"/>
      <c r="O487" s="611"/>
      <c r="P487" s="611"/>
      <c r="Q487" s="611"/>
      <c r="R487" s="611"/>
      <c r="S487" s="611"/>
      <c r="T487" s="643"/>
      <c r="U487" s="611"/>
      <c r="V487" s="611"/>
      <c r="W487" s="611"/>
      <c r="X487" s="611"/>
      <c r="Y487" s="611"/>
      <c r="Z487" s="611"/>
      <c r="AA487" s="611"/>
      <c r="AB487" s="643"/>
      <c r="AC487" s="611"/>
      <c r="AD487" s="611"/>
      <c r="AE487" s="611"/>
      <c r="AF487" s="611"/>
      <c r="AG487" s="611"/>
      <c r="AH487" s="611"/>
      <c r="AI487" s="611"/>
      <c r="AJ487" s="611"/>
      <c r="AK487" s="611">
        <v>131.80000000000001</v>
      </c>
      <c r="AL487" s="611"/>
      <c r="AM487" s="643"/>
      <c r="AN487" s="611"/>
      <c r="AO487" s="611"/>
      <c r="AP487"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7" s="565">
        <f>WWWW[[#This Row],[%Equitable and continuous access to sufficient quantity of safe drinking water]]*WWWW[[#This Row],[Total PoP ]]</f>
        <v>0</v>
      </c>
      <c r="AR487"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7" s="565">
        <f>WWWW[[#This Row],[% Access to unimproved water points]]*WWWW[[#This Row],[Total PoP ]]</f>
        <v>0</v>
      </c>
      <c r="AT487"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7"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7" s="565">
        <f>WWWW[[#This Row],[HRP1]]/250</f>
        <v>0</v>
      </c>
      <c r="AW487" s="555">
        <f>1-WWWW[[#This Row],[% Equitable and continuous access to sufficient quantity of domestic water]]</f>
        <v>1</v>
      </c>
      <c r="AX487" s="565">
        <f>WWWW[[#This Row],[%equitable and continuous access to sufficient quantity of safe drinking and domestic water''s GAP]]*WWWW[[#This Row],[Total PoP ]]</f>
        <v>659</v>
      </c>
      <c r="AY487" s="557">
        <f>IF(WWWW[[#This Row],[Total required water points]]-WWWW[[#This Row],['#Water points coverage]]&lt;0,0,WWWW[[#This Row],[Total required water points]]-WWWW[[#This Row],['#Water points coverage]])</f>
        <v>3</v>
      </c>
      <c r="AZ487" s="557">
        <f>ROUND(IF(WWWW[[#This Row],[Total PoP ]]&lt;250,1,WWWW[[#This Row],[Total PoP ]]/250),0)</f>
        <v>3</v>
      </c>
      <c r="BA487"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7" s="565">
        <f>WWWW[[#This Row],[% people access to functioning Latrine]]*WWWW[[#This Row],[Total PoP ]]</f>
        <v>0</v>
      </c>
      <c r="BC487" s="557">
        <f>WWWW[[#This Row],['#_of_Functioning_latrines_in_school]]*50</f>
        <v>0</v>
      </c>
      <c r="BD487" s="557">
        <f>ROUND((WWWW[[#This Row],[Total PoP ]]/6),0)</f>
        <v>110</v>
      </c>
      <c r="BE487" s="557">
        <f>IF(WWWW[[#This Row],[Total required Latrines]]-(WWWW[[#This Row],['#_of_sanitary_fly-proof_HH_latrines]])&lt;0,0,WWWW[[#This Row],[Total required Latrines]]-(WWWW[[#This Row],['#_of_sanitary_fly-proof_HH_latrines]]))</f>
        <v>110</v>
      </c>
      <c r="BF487" s="558">
        <f>1-WWWW[[#This Row],[% people access to functioning Latrine]]</f>
        <v>1</v>
      </c>
      <c r="BG487"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7" s="565">
        <f>IF(WWWW[[#This Row],['#_of_functional_handwashing_facilities_at_HH_level]]*6&gt;WWWW[[#This Row],[Total PoP ]],WWWW[[#This Row],[Total PoP ]],WWWW[[#This Row],['#_of_functional_handwashing_facilities_at_HH_level]]*6)</f>
        <v>0</v>
      </c>
      <c r="BI487" s="557">
        <f>IF(WWWW[[#This Row],['# people reached by regular dedicated hygiene promotion]]&gt;WWWW[[#This Row],['# People received regular supply of hygiene items]],WWWW[[#This Row],['# people reached by regular dedicated hygiene promotion]],WWWW[[#This Row],['# People received regular supply of hygiene items]])</f>
        <v>659</v>
      </c>
      <c r="BJ487" s="555">
        <f>IF(WWWW[[#This Row],[HRP3]]/WWWW[[#This Row],[Total PoP ]]&gt;100%,100%,WWWW[[#This Row],[HRP3]]/WWWW[[#This Row],[Total PoP ]])</f>
        <v>1</v>
      </c>
      <c r="BK487" s="558">
        <f>1-WWWW[[#This Row],[Hygiene Coverage%]]</f>
        <v>0</v>
      </c>
      <c r="BL487" s="556">
        <f>WWWW[[#This Row],['# people reached by regular dedicated hygiene promotion]]/WWWW[[#This Row],[Total PoP ]]</f>
        <v>0</v>
      </c>
      <c r="BM487"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659</v>
      </c>
      <c r="BN487" s="557">
        <f>WWWW[[#This Row],['#_of_affected_women_and_girls_receiving_a_sufficient_quantity_of_sanitary_pads]]</f>
        <v>0</v>
      </c>
      <c r="BO487" s="611">
        <f>IF(WWWW[[#This Row],['# People with access to soap]]&gt;WWWW[[#This Row],['# People with access to Sanity Pads]],WWWW[[#This Row],['# People with access to soap]],WWWW[[#This Row],['# People with access to Sanity Pads]])</f>
        <v>659</v>
      </c>
      <c r="BP487" s="565" t="str">
        <f>IF(OR(WWWW[[#This Row],['#of students in school]]="",WWWW[[#This Row],['#of students in school]]=0),"No","Yes")</f>
        <v>No</v>
      </c>
      <c r="BQ487" s="559" t="str">
        <f>VLOOKUP(WWWW[[#This Row],[Village  Name]],SiteDB6[[Site Name]:[Location Type 1]],9,FALSE)</f>
        <v>Village</v>
      </c>
      <c r="BR487" s="559" t="str">
        <f>VLOOKUP(WWWW[[#This Row],[Village  Name]],SiteDB6[[Site Name]:[Type of Accommodation]],10,FALSE)</f>
        <v>Village</v>
      </c>
      <c r="BS487" s="559">
        <f>VLOOKUP(WWWW[[#This Row],[Village  Name]],SiteDB6[[Site Name]:[Ethnic or GCA/NGCA]],11,FALSE)</f>
        <v>0</v>
      </c>
      <c r="BT487" s="559">
        <f>VLOOKUP(WWWW[[#This Row],[Village  Name]],SiteDB6[[Site Name]:[Lat]],12,FALSE)</f>
        <v>21.270368576049801</v>
      </c>
      <c r="BU487" s="559">
        <f>VLOOKUP(WWWW[[#This Row],[Village  Name]],SiteDB6[[Site Name]:[Long]],13,FALSE)</f>
        <v>92.2763671875</v>
      </c>
      <c r="BV487" s="559">
        <f>VLOOKUP(WWWW[[#This Row],[Village  Name]],SiteDB6[[Site Name]:[Pcode]],3,FALSE)</f>
        <v>197817</v>
      </c>
      <c r="BW487" s="559" t="str">
        <f t="shared" si="18"/>
        <v>Covered</v>
      </c>
      <c r="BX487" s="587"/>
    </row>
    <row r="488" spans="1:76">
      <c r="A488" s="612" t="s">
        <v>2381</v>
      </c>
      <c r="B488" s="612" t="s">
        <v>233</v>
      </c>
      <c r="C488" s="457" t="s">
        <v>2727</v>
      </c>
      <c r="D488" s="457"/>
      <c r="E488" s="551" t="s">
        <v>2686</v>
      </c>
      <c r="F488" s="457" t="s">
        <v>307</v>
      </c>
      <c r="G488" s="559" t="str">
        <f>VLOOKUP(WWWW[[#This Row],[Village  Name]],SiteDB6[[Site Name]:[Location Type]],8,FALSE)</f>
        <v>Village</v>
      </c>
      <c r="H488" s="457" t="s">
        <v>2724</v>
      </c>
      <c r="I488" s="611">
        <f>WWWW[[#This Row],[Total PoP ]]/5</f>
        <v>323.2</v>
      </c>
      <c r="J488" s="611">
        <v>1616</v>
      </c>
      <c r="K488" s="461"/>
      <c r="L488" s="55"/>
      <c r="M488" s="611"/>
      <c r="N488" s="611"/>
      <c r="O488" s="611"/>
      <c r="P488" s="611"/>
      <c r="Q488" s="611"/>
      <c r="R488" s="611"/>
      <c r="S488" s="611"/>
      <c r="T488" s="643"/>
      <c r="U488" s="611"/>
      <c r="V488" s="611"/>
      <c r="W488" s="611"/>
      <c r="X488" s="611"/>
      <c r="Y488" s="611"/>
      <c r="Z488" s="611"/>
      <c r="AA488" s="611"/>
      <c r="AB488" s="643"/>
      <c r="AC488" s="611"/>
      <c r="AD488" s="611"/>
      <c r="AE488" s="611"/>
      <c r="AF488" s="611"/>
      <c r="AG488" s="611"/>
      <c r="AH488" s="611"/>
      <c r="AI488" s="611"/>
      <c r="AJ488" s="611"/>
      <c r="AK488" s="611">
        <v>323.2</v>
      </c>
      <c r="AL488" s="611"/>
      <c r="AM488" s="643"/>
      <c r="AN488" s="611"/>
      <c r="AO488" s="611"/>
      <c r="AP488"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8" s="565">
        <f>WWWW[[#This Row],[%Equitable and continuous access to sufficient quantity of safe drinking water]]*WWWW[[#This Row],[Total PoP ]]</f>
        <v>0</v>
      </c>
      <c r="AR488"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8" s="565">
        <f>WWWW[[#This Row],[% Access to unimproved water points]]*WWWW[[#This Row],[Total PoP ]]</f>
        <v>0</v>
      </c>
      <c r="AT488"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8"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8" s="565">
        <f>WWWW[[#This Row],[HRP1]]/250</f>
        <v>0</v>
      </c>
      <c r="AW488" s="555">
        <f>1-WWWW[[#This Row],[% Equitable and continuous access to sufficient quantity of domestic water]]</f>
        <v>1</v>
      </c>
      <c r="AX488" s="565">
        <f>WWWW[[#This Row],[%equitable and continuous access to sufficient quantity of safe drinking and domestic water''s GAP]]*WWWW[[#This Row],[Total PoP ]]</f>
        <v>1616</v>
      </c>
      <c r="AY488" s="557">
        <f>IF(WWWW[[#This Row],[Total required water points]]-WWWW[[#This Row],['#Water points coverage]]&lt;0,0,WWWW[[#This Row],[Total required water points]]-WWWW[[#This Row],['#Water points coverage]])</f>
        <v>6</v>
      </c>
      <c r="AZ488" s="557">
        <f>ROUND(IF(WWWW[[#This Row],[Total PoP ]]&lt;250,1,WWWW[[#This Row],[Total PoP ]]/250),0)</f>
        <v>6</v>
      </c>
      <c r="BA488"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8" s="565">
        <f>WWWW[[#This Row],[% people access to functioning Latrine]]*WWWW[[#This Row],[Total PoP ]]</f>
        <v>0</v>
      </c>
      <c r="BC488" s="557">
        <f>WWWW[[#This Row],['#_of_Functioning_latrines_in_school]]*50</f>
        <v>0</v>
      </c>
      <c r="BD488" s="557">
        <f>ROUND((WWWW[[#This Row],[Total PoP ]]/6),0)</f>
        <v>269</v>
      </c>
      <c r="BE488" s="557">
        <f>IF(WWWW[[#This Row],[Total required Latrines]]-(WWWW[[#This Row],['#_of_sanitary_fly-proof_HH_latrines]])&lt;0,0,WWWW[[#This Row],[Total required Latrines]]-(WWWW[[#This Row],['#_of_sanitary_fly-proof_HH_latrines]]))</f>
        <v>269</v>
      </c>
      <c r="BF488" s="558">
        <f>1-WWWW[[#This Row],[% people access to functioning Latrine]]</f>
        <v>1</v>
      </c>
      <c r="BG488"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8" s="565">
        <f>IF(WWWW[[#This Row],['#_of_functional_handwashing_facilities_at_HH_level]]*6&gt;WWWW[[#This Row],[Total PoP ]],WWWW[[#This Row],[Total PoP ]],WWWW[[#This Row],['#_of_functional_handwashing_facilities_at_HH_level]]*6)</f>
        <v>0</v>
      </c>
      <c r="BI488" s="557">
        <f>IF(WWWW[[#This Row],['# people reached by regular dedicated hygiene promotion]]&gt;WWWW[[#This Row],['# People received regular supply of hygiene items]],WWWW[[#This Row],['# people reached by regular dedicated hygiene promotion]],WWWW[[#This Row],['# People received regular supply of hygiene items]])</f>
        <v>1616</v>
      </c>
      <c r="BJ488" s="555">
        <f>IF(WWWW[[#This Row],[HRP3]]/WWWW[[#This Row],[Total PoP ]]&gt;100%,100%,WWWW[[#This Row],[HRP3]]/WWWW[[#This Row],[Total PoP ]])</f>
        <v>1</v>
      </c>
      <c r="BK488" s="558">
        <f>1-WWWW[[#This Row],[Hygiene Coverage%]]</f>
        <v>0</v>
      </c>
      <c r="BL488" s="556">
        <f>WWWW[[#This Row],['# people reached by regular dedicated hygiene promotion]]/WWWW[[#This Row],[Total PoP ]]</f>
        <v>0</v>
      </c>
      <c r="BM488"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1616</v>
      </c>
      <c r="BN488" s="557">
        <f>WWWW[[#This Row],['#_of_affected_women_and_girls_receiving_a_sufficient_quantity_of_sanitary_pads]]</f>
        <v>0</v>
      </c>
      <c r="BO488" s="611">
        <f>IF(WWWW[[#This Row],['# People with access to soap]]&gt;WWWW[[#This Row],['# People with access to Sanity Pads]],WWWW[[#This Row],['# People with access to soap]],WWWW[[#This Row],['# People with access to Sanity Pads]])</f>
        <v>1616</v>
      </c>
      <c r="BP488" s="565" t="str">
        <f>IF(OR(WWWW[[#This Row],['#of students in school]]="",WWWW[[#This Row],['#of students in school]]=0),"No","Yes")</f>
        <v>No</v>
      </c>
      <c r="BQ488" s="559" t="str">
        <f>VLOOKUP(WWWW[[#This Row],[Village  Name]],SiteDB6[[Site Name]:[Location Type 1]],9,FALSE)</f>
        <v>Village</v>
      </c>
      <c r="BR488" s="559" t="str">
        <f>VLOOKUP(WWWW[[#This Row],[Village  Name]],SiteDB6[[Site Name]:[Type of Accommodation]],10,FALSE)</f>
        <v>Village</v>
      </c>
      <c r="BS488" s="559">
        <f>VLOOKUP(WWWW[[#This Row],[Village  Name]],SiteDB6[[Site Name]:[Ethnic or GCA/NGCA]],11,FALSE)</f>
        <v>0</v>
      </c>
      <c r="BT488" s="559">
        <f>VLOOKUP(WWWW[[#This Row],[Village  Name]],SiteDB6[[Site Name]:[Lat]],12,FALSE)</f>
        <v>21.1420993804932</v>
      </c>
      <c r="BU488" s="559">
        <f>VLOOKUP(WWWW[[#This Row],[Village  Name]],SiteDB6[[Site Name]:[Long]],13,FALSE)</f>
        <v>92.338172912597699</v>
      </c>
      <c r="BV488" s="559">
        <f>VLOOKUP(WWWW[[#This Row],[Village  Name]],SiteDB6[[Site Name]:[Pcode]],3,FALSE)</f>
        <v>197860</v>
      </c>
      <c r="BW488" s="559" t="str">
        <f t="shared" si="18"/>
        <v>Covered</v>
      </c>
      <c r="BX488" s="587"/>
    </row>
    <row r="489" spans="1:76">
      <c r="A489" s="612" t="s">
        <v>2381</v>
      </c>
      <c r="B489" s="612" t="s">
        <v>233</v>
      </c>
      <c r="C489" s="457" t="s">
        <v>2727</v>
      </c>
      <c r="D489" s="457"/>
      <c r="E489" s="551" t="s">
        <v>2686</v>
      </c>
      <c r="F489" s="457" t="s">
        <v>307</v>
      </c>
      <c r="G489" s="559" t="str">
        <f>VLOOKUP(WWWW[[#This Row],[Village  Name]],SiteDB6[[Site Name]:[Location Type]],8,FALSE)</f>
        <v>Village</v>
      </c>
      <c r="H489" s="457" t="s">
        <v>2725</v>
      </c>
      <c r="I489" s="611">
        <f>WWWW[[#This Row],[Total PoP ]]/5</f>
        <v>263</v>
      </c>
      <c r="J489" s="611">
        <v>1315</v>
      </c>
      <c r="K489" s="461"/>
      <c r="L489" s="55"/>
      <c r="M489" s="611"/>
      <c r="N489" s="611"/>
      <c r="O489" s="611"/>
      <c r="P489" s="611"/>
      <c r="Q489" s="611"/>
      <c r="R489" s="611"/>
      <c r="S489" s="611"/>
      <c r="T489" s="643"/>
      <c r="U489" s="611"/>
      <c r="V489" s="611"/>
      <c r="W489" s="611"/>
      <c r="X489" s="611"/>
      <c r="Y489" s="611"/>
      <c r="Z489" s="611"/>
      <c r="AA489" s="611"/>
      <c r="AB489" s="643"/>
      <c r="AC489" s="611"/>
      <c r="AD489" s="611"/>
      <c r="AE489" s="611"/>
      <c r="AF489" s="611"/>
      <c r="AG489" s="611"/>
      <c r="AH489" s="611"/>
      <c r="AI489" s="611"/>
      <c r="AJ489" s="611"/>
      <c r="AK489" s="611">
        <v>263</v>
      </c>
      <c r="AL489" s="611"/>
      <c r="AM489" s="643"/>
      <c r="AN489" s="611"/>
      <c r="AO489" s="611"/>
      <c r="AP489" s="558">
        <f>IF(WWWW[[#This Row],[Total PoP ]]="","",IF((WWWW[[#This Row],['#_Functioning_protected_hand_dug_well/open_well]]*250)+(WWWW[[#This Row],['#_Functioning_Tube_wells/boreholes/hand_pumps_including_community''s_own_hand_pumps]]*250)+(WWWW[[#This Row],['#_Functioning_water_points_at_school]]*250)/WWWW[[#This Row],[Total PoP ]]&gt;1,1,(WWWW[[#This Row],['#_Functioning_protected_hand_dug_well/open_well]]*250)+(WWWW[[#This Row],['#_Functioning_Tube_wells/boreholes/hand_pumps_including_community''s_own_hand_pumps]]*250)+(WWWW[[#This Row],['#_Functioning_water_points_at_school]]*250)/WWWW[[#This Row],[Total PoP ]]))</f>
        <v>0</v>
      </c>
      <c r="AQ489" s="565">
        <f>WWWW[[#This Row],[%Equitable and continuous access to sufficient quantity of safe drinking water]]*WWWW[[#This Row],[Total PoP ]]</f>
        <v>0</v>
      </c>
      <c r="AR489" s="558">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S489" s="565">
        <f>WWWW[[#This Row],[% Access to unimproved water points]]*WWWW[[#This Row],[Total PoP ]]</f>
        <v>0</v>
      </c>
      <c r="AT489" s="55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U489" s="56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V489" s="565">
        <f>WWWW[[#This Row],[HRP1]]/250</f>
        <v>0</v>
      </c>
      <c r="AW489" s="555">
        <f>1-WWWW[[#This Row],[% Equitable and continuous access to sufficient quantity of domestic water]]</f>
        <v>1</v>
      </c>
      <c r="AX489" s="565">
        <f>WWWW[[#This Row],[%equitable and continuous access to sufficient quantity of safe drinking and domestic water''s GAP]]*WWWW[[#This Row],[Total PoP ]]</f>
        <v>1315</v>
      </c>
      <c r="AY489" s="557">
        <f>IF(WWWW[[#This Row],[Total required water points]]-WWWW[[#This Row],['#Water points coverage]]&lt;0,0,WWWW[[#This Row],[Total required water points]]-WWWW[[#This Row],['#Water points coverage]])</f>
        <v>5</v>
      </c>
      <c r="AZ489" s="557">
        <f>ROUND(IF(WWWW[[#This Row],[Total PoP ]]&lt;250,1,WWWW[[#This Row],[Total PoP ]]/250),0)</f>
        <v>5</v>
      </c>
      <c r="BA489" s="5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B489" s="565">
        <f>WWWW[[#This Row],[% people access to functioning Latrine]]*WWWW[[#This Row],[Total PoP ]]</f>
        <v>0</v>
      </c>
      <c r="BC489" s="557">
        <f>WWWW[[#This Row],['#_of_Functioning_latrines_in_school]]*50</f>
        <v>0</v>
      </c>
      <c r="BD489" s="557">
        <f>ROUND((WWWW[[#This Row],[Total PoP ]]/6),0)</f>
        <v>219</v>
      </c>
      <c r="BE489" s="557">
        <f>IF(WWWW[[#This Row],[Total required Latrines]]-(WWWW[[#This Row],['#_of_sanitary_fly-proof_HH_latrines]])&lt;0,0,WWWW[[#This Row],[Total required Latrines]]-(WWWW[[#This Row],['#_of_sanitary_fly-proof_HH_latrines]]))</f>
        <v>219</v>
      </c>
      <c r="BF489" s="558">
        <f>1-WWWW[[#This Row],[% people access to functioning Latrine]]</f>
        <v>1</v>
      </c>
      <c r="BG489" s="565">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H489" s="565">
        <f>IF(WWWW[[#This Row],['#_of_functional_handwashing_facilities_at_HH_level]]*6&gt;WWWW[[#This Row],[Total PoP ]],WWWW[[#This Row],[Total PoP ]],WWWW[[#This Row],['#_of_functional_handwashing_facilities_at_HH_level]]*6)</f>
        <v>0</v>
      </c>
      <c r="BI489" s="557">
        <f>IF(WWWW[[#This Row],['# people reached by regular dedicated hygiene promotion]]&gt;WWWW[[#This Row],['# People received regular supply of hygiene items]],WWWW[[#This Row],['# people reached by regular dedicated hygiene promotion]],WWWW[[#This Row],['# People received regular supply of hygiene items]])</f>
        <v>1315</v>
      </c>
      <c r="BJ489" s="555">
        <f>IF(WWWW[[#This Row],[HRP3]]/WWWW[[#This Row],[Total PoP ]]&gt;100%,100%,WWWW[[#This Row],[HRP3]]/WWWW[[#This Row],[Total PoP ]])</f>
        <v>1</v>
      </c>
      <c r="BK489" s="558">
        <f>1-WWWW[[#This Row],[Hygiene Coverage%]]</f>
        <v>0</v>
      </c>
      <c r="BL489" s="556">
        <f>WWWW[[#This Row],['# people reached by regular dedicated hygiene promotion]]/WWWW[[#This Row],[Total PoP ]]</f>
        <v>0</v>
      </c>
      <c r="BM489" s="557">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1315</v>
      </c>
      <c r="BN489" s="557">
        <f>WWWW[[#This Row],['#_of_affected_women_and_girls_receiving_a_sufficient_quantity_of_sanitary_pads]]</f>
        <v>0</v>
      </c>
      <c r="BO489" s="611">
        <f>IF(WWWW[[#This Row],['# People with access to soap]]&gt;WWWW[[#This Row],['# People with access to Sanity Pads]],WWWW[[#This Row],['# People with access to soap]],WWWW[[#This Row],['# People with access to Sanity Pads]])</f>
        <v>1315</v>
      </c>
      <c r="BP489" s="565" t="str">
        <f>IF(OR(WWWW[[#This Row],['#of students in school]]="",WWWW[[#This Row],['#of students in school]]=0),"No","Yes")</f>
        <v>No</v>
      </c>
      <c r="BQ489" s="559" t="str">
        <f>VLOOKUP(WWWW[[#This Row],[Village  Name]],SiteDB6[[Site Name]:[Location Type 1]],9,FALSE)</f>
        <v>Village</v>
      </c>
      <c r="BR489" s="559" t="str">
        <f>VLOOKUP(WWWW[[#This Row],[Village  Name]],SiteDB6[[Site Name]:[Type of Accommodation]],10,FALSE)</f>
        <v>Village</v>
      </c>
      <c r="BS489" s="559">
        <f>VLOOKUP(WWWW[[#This Row],[Village  Name]],SiteDB6[[Site Name]:[Ethnic or GCA/NGCA]],11,FALSE)</f>
        <v>0</v>
      </c>
      <c r="BT489" s="559">
        <f>VLOOKUP(WWWW[[#This Row],[Village  Name]],SiteDB6[[Site Name]:[Lat]],12,FALSE)</f>
        <v>0</v>
      </c>
      <c r="BU489" s="559">
        <f>VLOOKUP(WWWW[[#This Row],[Village  Name]],SiteDB6[[Site Name]:[Long]],13,FALSE)</f>
        <v>0</v>
      </c>
      <c r="BV489" s="559">
        <f>VLOOKUP(WWWW[[#This Row],[Village  Name]],SiteDB6[[Site Name]:[Pcode]],3,FALSE)</f>
        <v>0</v>
      </c>
      <c r="BW489" s="559" t="str">
        <f t="shared" si="18"/>
        <v>Covered</v>
      </c>
      <c r="BX489" s="587"/>
    </row>
  </sheetData>
  <mergeCells count="14">
    <mergeCell ref="AT2:AT3"/>
    <mergeCell ref="AU2:AU3"/>
    <mergeCell ref="AW5:AX5"/>
    <mergeCell ref="K1:L1"/>
    <mergeCell ref="AP2:AP3"/>
    <mergeCell ref="AQ2:AQ3"/>
    <mergeCell ref="AR2:AS3"/>
    <mergeCell ref="BD2:BD3"/>
    <mergeCell ref="BE2:BF3"/>
    <mergeCell ref="AY2:AZ3"/>
    <mergeCell ref="AV2:AV3"/>
    <mergeCell ref="BC2:BC3"/>
    <mergeCell ref="BB2:BB3"/>
    <mergeCell ref="AW2:AX3"/>
  </mergeCells>
  <conditionalFormatting sqref="BK2 BG2:BH2">
    <cfRule type="iconSet" priority="168">
      <iconSet reverse="1">
        <cfvo type="percent" val="0"/>
        <cfvo type="percent" val="0" gte="0"/>
        <cfvo type="percent" val="30"/>
      </iconSet>
    </cfRule>
  </conditionalFormatting>
  <conditionalFormatting sqref="CE223:CE1048576 CD7:CD222">
    <cfRule type="iconSet" priority="11615">
      <iconSet reverse="1">
        <cfvo type="percent" val="0"/>
        <cfvo type="percent" val="0" gte="0"/>
        <cfvo type="percent" val="30"/>
      </iconSet>
    </cfRule>
  </conditionalFormatting>
  <conditionalFormatting sqref="BG5:BH5">
    <cfRule type="iconSet" priority="16">
      <iconSet reverse="1">
        <cfvo type="percent" val="0"/>
        <cfvo type="percent" val="0" gte="0"/>
        <cfvo type="percent" val="30"/>
      </iconSet>
    </cfRule>
  </conditionalFormatting>
  <conditionalFormatting sqref="BK4">
    <cfRule type="iconSet" priority="13">
      <iconSet reverse="1">
        <cfvo type="percent" val="0"/>
        <cfvo type="percent" val="0" gte="0"/>
        <cfvo type="percent" val="30"/>
      </iconSet>
    </cfRule>
  </conditionalFormatting>
  <conditionalFormatting sqref="AW4">
    <cfRule type="iconSet" priority="15">
      <iconSet reverse="1">
        <cfvo type="percent" val="0"/>
        <cfvo type="percent" val="0" gte="0"/>
        <cfvo type="percent" val="30"/>
      </iconSet>
    </cfRule>
  </conditionalFormatting>
  <conditionalFormatting sqref="BK3">
    <cfRule type="iconSet" priority="10">
      <iconSet reverse="1">
        <cfvo type="percent" val="0"/>
        <cfvo type="percent" val="0" gte="0"/>
        <cfvo type="percent" val="30"/>
      </iconSet>
    </cfRule>
  </conditionalFormatting>
  <conditionalFormatting sqref="BF4">
    <cfRule type="iconSet" priority="11704">
      <iconSet reverse="1">
        <cfvo type="percent" val="0"/>
        <cfvo type="percent" val="0" gte="0"/>
        <cfvo type="percent" val="30"/>
      </iconSet>
    </cfRule>
  </conditionalFormatting>
  <conditionalFormatting sqref="AX4">
    <cfRule type="iconSet" priority="6">
      <iconSet reverse="1">
        <cfvo type="percent" val="0"/>
        <cfvo type="percent" val="0" gte="0"/>
        <cfvo type="percent" val="30"/>
      </iconSet>
    </cfRule>
  </conditionalFormatting>
  <conditionalFormatting sqref="BC5">
    <cfRule type="iconSet" priority="12165">
      <iconSet reverse="1">
        <cfvo type="percent" val="0"/>
        <cfvo type="percent" val="0" gte="0"/>
        <cfvo type="percent" val="10"/>
      </iconSet>
    </cfRule>
  </conditionalFormatting>
  <conditionalFormatting sqref="H7:H50 H52:H85 H87:H222">
    <cfRule type="duplicateValues" dxfId="668" priority="12168"/>
  </conditionalFormatting>
  <conditionalFormatting sqref="H223:H401">
    <cfRule type="duplicateValues" dxfId="667" priority="12310"/>
  </conditionalFormatting>
  <conditionalFormatting sqref="BF7:BF489">
    <cfRule type="iconSet" priority="12312">
      <iconSet reverse="1">
        <cfvo type="percent" val="0"/>
        <cfvo type="percent" val="0" gte="0"/>
        <cfvo type="percent" val="30"/>
      </iconSet>
    </cfRule>
  </conditionalFormatting>
  <conditionalFormatting sqref="AW7:AW489">
    <cfRule type="iconSet" priority="2">
      <iconSet reverse="1">
        <cfvo type="percent" val="0"/>
        <cfvo type="percent" val="0" gte="0"/>
        <cfvo type="percent" val="30"/>
      </iconSet>
    </cfRule>
  </conditionalFormatting>
  <conditionalFormatting sqref="BK7:BK489">
    <cfRule type="iconSet" priority="1">
      <iconSet reverse="1">
        <cfvo type="percent" val="0"/>
        <cfvo type="percent" val="0" gte="0"/>
        <cfvo type="percent" val="30"/>
      </iconSet>
    </cfRule>
  </conditionalFormatting>
  <dataValidations count="9">
    <dataValidation type="list" allowBlank="1" showInputMessage="1" showErrorMessage="1" sqref="C490:C1048576 E490:F1048576 H490:H1048576 K482:K1048576" xr:uid="{00000000-0002-0000-0200-000000000000}">
      <formula1>#REF!</formula1>
    </dataValidation>
    <dataValidation type="list" allowBlank="1" showInputMessage="1" showErrorMessage="1" sqref="V41:V43 V57:V64 V66:V69 V71:V76 V167:V171 V176:V222" xr:uid="{00000000-0002-0000-0200-000003000000}">
      <formula1>"Yes,No"</formula1>
    </dataValidation>
    <dataValidation type="list" allowBlank="1" showInputMessage="1" showErrorMessage="1" sqref="V77:V166 V7:V40 V44:V56 V65 V70 V172:V175" xr:uid="{EED640AA-28BB-4B14-B744-16BBD7DBE544}">
      <formula1>"Yes,No,NA"</formula1>
    </dataValidation>
    <dataValidation type="whole" operator="lessThan" allowBlank="1" showInputMessage="1" showErrorMessage="1" sqref="M7:N489" xr:uid="{00000000-0002-0000-0200-000005000000}">
      <formula1>999999</formula1>
    </dataValidation>
    <dataValidation type="list" allowBlank="1" showInputMessage="1" showErrorMessage="1" sqref="E7:E489" xr:uid="{00000000-0002-0000-0200-000001000000}">
      <formula1>"Kachin, Central Rakhine, Northern Rakhine, Shan (North)"</formula1>
    </dataValidation>
    <dataValidation type="list" allowBlank="1" showInputMessage="1" showErrorMessage="1" sqref="BW7:BW489" xr:uid="{00000000-0002-0000-0200-000002000000}">
      <formula1>"Covered, Not_covered"</formula1>
    </dataValidation>
    <dataValidation type="whole" allowBlank="1" showInputMessage="1" showErrorMessage="1" sqref="O7:U489 W7:AA489 AC7:AL489" xr:uid="{80C2E29D-2256-4657-88F5-332E690081BA}">
      <formula1>0</formula1>
      <formula2>100000</formula2>
    </dataValidation>
    <dataValidation type="list" allowBlank="1" showInputMessage="1" showErrorMessage="1" sqref="H7:H489" xr:uid="{00000000-0002-0000-0200-000004000000}">
      <formula1>OFFSET(Township_start,MATCH(F7,Township_list, 0),1, COUNTIF(Township_list,F7),1)</formula1>
    </dataValidation>
    <dataValidation type="list" allowBlank="1" showInputMessage="1" showErrorMessage="1" sqref="F7:F489" xr:uid="{00000000-0002-0000-0200-00000B000000}">
      <formula1>OFFSET(Statestart_1,MATCH(E7, State_list, 0), 1,COUNTIF(State_list,E7),1)</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B7:B222 C381:C489 C7:C379</xm:sqref>
        </x14:dataValidation>
        <x14:dataValidation type="list" allowBlank="1" showInputMessage="1" showErrorMessage="1" xr:uid="{00000000-0002-0000-0200-00000E000000}">
          <x14:formula1>
            <xm:f>Lookup!$A$4:$A$28</xm:f>
          </x14:formula1>
          <xm:sqref>A7:A489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52"/>
  <sheetViews>
    <sheetView zoomScale="110" zoomScaleNormal="110" workbookViewId="0">
      <pane xSplit="1" ySplit="2" topLeftCell="N1038" activePane="bottomRight" state="frozen"/>
      <selection activeCell="E391" sqref="E391"/>
      <selection pane="topRight" activeCell="E391" sqref="E391"/>
      <selection pane="bottomLeft" activeCell="E391" sqref="E391"/>
      <selection pane="bottomRight" activeCell="S1062" sqref="S1062"/>
    </sheetView>
  </sheetViews>
  <sheetFormatPr defaultColWidth="9" defaultRowHeight="14.25" customHeight="1"/>
  <cols>
    <col min="1" max="1" width="13.125" bestFit="1" customWidth="1"/>
    <col min="2" max="2" width="17" style="17" customWidth="1"/>
    <col min="3" max="3" width="24.375" style="106" customWidth="1"/>
    <col min="4" max="4" width="16.5" style="43" customWidth="1"/>
    <col min="5" max="5" width="13.625" style="17" customWidth="1"/>
    <col min="6" max="6" width="19.5" style="17" customWidth="1"/>
    <col min="7" max="7" width="19.5" style="17" hidden="1" customWidth="1"/>
    <col min="8" max="8" width="13.25" style="17" hidden="1" customWidth="1"/>
    <col min="9" max="9" width="16.375" style="17" hidden="1" customWidth="1"/>
    <col min="10" max="10" width="11.25" style="17" customWidth="1"/>
    <col min="11" max="11" width="7.75" style="17" customWidth="1"/>
    <col min="12" max="12" width="12.75" style="17" customWidth="1"/>
    <col min="13" max="13" width="14.875" style="17" customWidth="1"/>
    <col min="14" max="14" width="15" style="17" customWidth="1"/>
    <col min="15" max="15" width="8.5" style="17" customWidth="1"/>
    <col min="16" max="17" width="7.75" style="17" customWidth="1"/>
    <col min="18" max="18" width="18.25" style="17" customWidth="1"/>
    <col min="19" max="20" width="10.5" style="17" customWidth="1"/>
    <col min="21" max="21" width="10.125" style="42" customWidth="1"/>
    <col min="22" max="22" width="8.625"/>
    <col min="23" max="23" width="12.125" style="108" customWidth="1"/>
    <col min="24" max="24" width="55" style="44" customWidth="1"/>
    <col min="25" max="25" width="16.625" style="17" customWidth="1"/>
    <col min="26" max="26" width="9" style="107"/>
    <col min="27" max="16384" width="9" style="17"/>
  </cols>
  <sheetData>
    <row r="1" spans="1:26" ht="14.25" customHeight="1">
      <c r="A1" s="548"/>
      <c r="C1" s="575"/>
      <c r="V1" s="548"/>
    </row>
    <row r="2" spans="1:26" ht="14.25" customHeight="1">
      <c r="A2" s="17" t="s">
        <v>20</v>
      </c>
      <c r="B2" s="17" t="s">
        <v>21</v>
      </c>
      <c r="C2" s="71" t="s">
        <v>22</v>
      </c>
      <c r="D2" s="17" t="s">
        <v>1661</v>
      </c>
      <c r="E2" s="17" t="s">
        <v>32</v>
      </c>
      <c r="F2" s="17" t="s">
        <v>1662</v>
      </c>
      <c r="G2" s="17" t="s">
        <v>1663</v>
      </c>
      <c r="H2" s="17" t="s">
        <v>26</v>
      </c>
      <c r="I2" s="17" t="s">
        <v>27</v>
      </c>
      <c r="J2" s="17" t="s">
        <v>126</v>
      </c>
      <c r="K2" s="17" t="s">
        <v>127</v>
      </c>
      <c r="L2" s="17" t="s">
        <v>752</v>
      </c>
      <c r="M2" s="17" t="s">
        <v>29</v>
      </c>
      <c r="N2" s="17" t="s">
        <v>30</v>
      </c>
      <c r="O2" s="17" t="s">
        <v>31</v>
      </c>
      <c r="P2" s="17" t="s">
        <v>753</v>
      </c>
      <c r="Q2" s="17" t="s">
        <v>754</v>
      </c>
      <c r="R2" s="69" t="s">
        <v>2761</v>
      </c>
      <c r="S2" s="69" t="s">
        <v>2762</v>
      </c>
      <c r="T2" s="108" t="s">
        <v>755</v>
      </c>
      <c r="U2" s="44" t="s">
        <v>34</v>
      </c>
      <c r="V2" s="17" t="s">
        <v>756</v>
      </c>
      <c r="W2" s="17" t="s">
        <v>2232</v>
      </c>
      <c r="X2" s="17"/>
      <c r="Z2" s="17"/>
    </row>
    <row r="3" spans="1:26" s="71" customFormat="1" ht="14.25" customHeight="1">
      <c r="A3" s="439" t="s">
        <v>2687</v>
      </c>
      <c r="B3" s="190" t="s">
        <v>359</v>
      </c>
      <c r="C3" s="191" t="s">
        <v>2745</v>
      </c>
      <c r="D3" s="437" t="s">
        <v>1664</v>
      </c>
      <c r="E3" s="456">
        <v>198645</v>
      </c>
      <c r="F3" s="186"/>
      <c r="G3" s="186"/>
      <c r="H3" s="186"/>
      <c r="I3" s="186"/>
      <c r="J3" s="186" t="s">
        <v>796</v>
      </c>
      <c r="K3" s="186" t="s">
        <v>796</v>
      </c>
      <c r="L3" s="186" t="s">
        <v>796</v>
      </c>
      <c r="M3" s="186" t="s">
        <v>296</v>
      </c>
      <c r="N3" s="186">
        <v>19.18421936</v>
      </c>
      <c r="O3" s="186">
        <v>93.699806210000006</v>
      </c>
      <c r="P3" s="186" t="s">
        <v>797</v>
      </c>
      <c r="Q3" s="186" t="s">
        <v>778</v>
      </c>
      <c r="R3" s="187"/>
      <c r="S3" s="185"/>
      <c r="T3" s="188"/>
      <c r="U3" s="189"/>
      <c r="V3" s="186" t="s">
        <v>362</v>
      </c>
      <c r="W3" s="438"/>
    </row>
    <row r="4" spans="1:26" s="71" customFormat="1" ht="14.25" customHeight="1">
      <c r="A4" s="439" t="s">
        <v>2687</v>
      </c>
      <c r="B4" s="198" t="s">
        <v>359</v>
      </c>
      <c r="C4" s="199" t="s">
        <v>364</v>
      </c>
      <c r="D4" s="437" t="s">
        <v>1664</v>
      </c>
      <c r="E4" s="194">
        <v>198647</v>
      </c>
      <c r="F4" s="194"/>
      <c r="G4" s="194"/>
      <c r="H4" s="194"/>
      <c r="I4" s="194"/>
      <c r="J4" s="194" t="s">
        <v>796</v>
      </c>
      <c r="K4" s="194" t="s">
        <v>796</v>
      </c>
      <c r="L4" s="194" t="s">
        <v>796</v>
      </c>
      <c r="M4" s="194" t="s">
        <v>296</v>
      </c>
      <c r="N4" s="194">
        <v>19.18943977</v>
      </c>
      <c r="O4" s="194">
        <v>93.733673100000004</v>
      </c>
      <c r="P4" s="194" t="s">
        <v>797</v>
      </c>
      <c r="Q4" s="194" t="s">
        <v>778</v>
      </c>
      <c r="R4" s="195"/>
      <c r="S4" s="193"/>
      <c r="T4" s="196"/>
      <c r="U4" s="197"/>
      <c r="V4" s="194" t="s">
        <v>364</v>
      </c>
      <c r="W4" s="438"/>
    </row>
    <row r="5" spans="1:26" s="71" customFormat="1" ht="14.25" customHeight="1">
      <c r="A5" s="439" t="s">
        <v>2687</v>
      </c>
      <c r="B5" s="190" t="s">
        <v>359</v>
      </c>
      <c r="C5" s="191" t="s">
        <v>2579</v>
      </c>
      <c r="D5" s="437"/>
      <c r="E5" s="186">
        <v>198667</v>
      </c>
      <c r="F5" s="186"/>
      <c r="G5" s="186"/>
      <c r="H5" s="186"/>
      <c r="I5" s="186"/>
      <c r="J5" s="186" t="s">
        <v>796</v>
      </c>
      <c r="K5" s="186" t="s">
        <v>796</v>
      </c>
      <c r="L5" s="186" t="s">
        <v>796</v>
      </c>
      <c r="M5" s="186" t="s">
        <v>296</v>
      </c>
      <c r="N5" s="186"/>
      <c r="O5" s="186"/>
      <c r="P5" s="561" t="s">
        <v>797</v>
      </c>
      <c r="Q5" s="186"/>
      <c r="R5" s="187"/>
      <c r="S5" s="185"/>
      <c r="T5" s="188"/>
      <c r="U5" s="189"/>
      <c r="V5" s="186"/>
      <c r="W5" s="438"/>
    </row>
    <row r="6" spans="1:26" s="71" customFormat="1" ht="14.25" customHeight="1">
      <c r="A6" s="439" t="s">
        <v>2687</v>
      </c>
      <c r="B6" s="435" t="s">
        <v>359</v>
      </c>
      <c r="C6" s="71" t="s">
        <v>369</v>
      </c>
      <c r="D6" s="477" t="s">
        <v>2313</v>
      </c>
      <c r="E6" s="71" t="s">
        <v>1350</v>
      </c>
      <c r="F6" s="71" t="s">
        <v>1743</v>
      </c>
      <c r="G6" s="71" t="s">
        <v>369</v>
      </c>
      <c r="H6" s="71" t="s">
        <v>41</v>
      </c>
      <c r="J6" s="71" t="s">
        <v>796</v>
      </c>
      <c r="K6" s="71" t="s">
        <v>796</v>
      </c>
      <c r="L6" s="71" t="s">
        <v>819</v>
      </c>
      <c r="M6" s="71" t="s">
        <v>296</v>
      </c>
      <c r="N6" s="71">
        <v>19.421102000000001</v>
      </c>
      <c r="O6" s="71">
        <v>93.552452000000002</v>
      </c>
      <c r="P6" s="71" t="s">
        <v>797</v>
      </c>
      <c r="Q6" s="71" t="s">
        <v>778</v>
      </c>
      <c r="R6" s="103">
        <v>65</v>
      </c>
      <c r="S6" s="104">
        <v>327</v>
      </c>
      <c r="T6" s="109"/>
      <c r="U6" s="105"/>
      <c r="V6" s="71" t="s">
        <v>369</v>
      </c>
      <c r="W6" s="435"/>
    </row>
    <row r="7" spans="1:26" s="71" customFormat="1" ht="14.25" customHeight="1">
      <c r="A7" s="439" t="s">
        <v>2687</v>
      </c>
      <c r="B7" s="435" t="s">
        <v>359</v>
      </c>
      <c r="C7" s="71" t="s">
        <v>2576</v>
      </c>
      <c r="D7" s="477"/>
      <c r="E7" s="71">
        <v>198475</v>
      </c>
      <c r="J7" s="71" t="s">
        <v>796</v>
      </c>
      <c r="K7" s="71" t="s">
        <v>796</v>
      </c>
      <c r="L7" s="186" t="s">
        <v>796</v>
      </c>
      <c r="M7" s="71" t="s">
        <v>296</v>
      </c>
      <c r="P7" s="561" t="s">
        <v>797</v>
      </c>
      <c r="R7" s="103"/>
      <c r="S7" s="439"/>
      <c r="T7" s="109"/>
      <c r="U7" s="105"/>
    </row>
    <row r="8" spans="1:26" s="71" customFormat="1" ht="14.25" customHeight="1">
      <c r="A8" s="439" t="s">
        <v>2687</v>
      </c>
      <c r="B8" s="435" t="s">
        <v>359</v>
      </c>
      <c r="C8" s="71" t="s">
        <v>361</v>
      </c>
      <c r="D8" s="477" t="s">
        <v>1664</v>
      </c>
      <c r="E8" s="71">
        <v>198611</v>
      </c>
      <c r="J8" s="71" t="s">
        <v>796</v>
      </c>
      <c r="K8" s="71" t="s">
        <v>796</v>
      </c>
      <c r="L8" s="71" t="s">
        <v>796</v>
      </c>
      <c r="M8" s="71" t="s">
        <v>296</v>
      </c>
      <c r="N8" s="71">
        <v>19.17564964</v>
      </c>
      <c r="O8" s="71">
        <v>93.596443179999994</v>
      </c>
      <c r="P8" s="71" t="s">
        <v>797</v>
      </c>
      <c r="Q8" s="71" t="s">
        <v>778</v>
      </c>
      <c r="R8" s="103"/>
      <c r="S8" s="104"/>
      <c r="T8" s="109"/>
      <c r="U8" s="105"/>
      <c r="V8" s="71" t="s">
        <v>361</v>
      </c>
    </row>
    <row r="9" spans="1:26" s="71" customFormat="1" ht="14.25" customHeight="1">
      <c r="A9" s="439" t="s">
        <v>2687</v>
      </c>
      <c r="B9" s="435" t="s">
        <v>359</v>
      </c>
      <c r="C9" s="71" t="s">
        <v>370</v>
      </c>
      <c r="D9" s="477" t="s">
        <v>2763</v>
      </c>
      <c r="E9" s="71" t="s">
        <v>1351</v>
      </c>
      <c r="F9" s="71" t="s">
        <v>1744</v>
      </c>
      <c r="G9" s="71" t="s">
        <v>1745</v>
      </c>
      <c r="H9" s="71" t="s">
        <v>41</v>
      </c>
      <c r="J9" s="71" t="s">
        <v>43</v>
      </c>
      <c r="K9" s="71" t="s">
        <v>43</v>
      </c>
      <c r="L9" s="71" t="s">
        <v>792</v>
      </c>
      <c r="M9" s="71" t="s">
        <v>793</v>
      </c>
      <c r="N9" s="71">
        <v>19.424576999999999</v>
      </c>
      <c r="O9" s="71">
        <v>93.512326000000002</v>
      </c>
      <c r="P9" s="71" t="s">
        <v>759</v>
      </c>
      <c r="Q9" s="71" t="s">
        <v>778</v>
      </c>
      <c r="R9" s="438">
        <v>415</v>
      </c>
      <c r="S9" s="439">
        <v>1050</v>
      </c>
      <c r="T9" s="109"/>
      <c r="U9" s="105"/>
      <c r="V9" s="71" t="s">
        <v>799</v>
      </c>
    </row>
    <row r="10" spans="1:26" s="71" customFormat="1" ht="14.25" customHeight="1">
      <c r="A10" s="439" t="s">
        <v>2687</v>
      </c>
      <c r="B10" s="436" t="s">
        <v>359</v>
      </c>
      <c r="C10" s="436" t="s">
        <v>2578</v>
      </c>
      <c r="D10" s="477"/>
      <c r="E10" s="71">
        <v>198508</v>
      </c>
      <c r="J10" s="71" t="s">
        <v>796</v>
      </c>
      <c r="K10" s="71" t="s">
        <v>796</v>
      </c>
      <c r="L10" s="186" t="s">
        <v>796</v>
      </c>
      <c r="M10" s="71" t="s">
        <v>296</v>
      </c>
      <c r="P10" s="561" t="s">
        <v>797</v>
      </c>
      <c r="R10" s="438"/>
      <c r="S10" s="104"/>
      <c r="T10" s="109"/>
      <c r="U10" s="105"/>
    </row>
    <row r="11" spans="1:26" s="71" customFormat="1" ht="14.25" customHeight="1">
      <c r="A11" s="439" t="s">
        <v>2687</v>
      </c>
      <c r="B11" s="435" t="s">
        <v>359</v>
      </c>
      <c r="C11" s="71" t="s">
        <v>798</v>
      </c>
      <c r="D11" s="477" t="s">
        <v>1664</v>
      </c>
      <c r="E11" s="71">
        <v>198612</v>
      </c>
      <c r="J11" s="71" t="s">
        <v>796</v>
      </c>
      <c r="K11" s="71" t="s">
        <v>796</v>
      </c>
      <c r="L11" s="71" t="s">
        <v>796</v>
      </c>
      <c r="M11" s="71" t="s">
        <v>296</v>
      </c>
      <c r="N11" s="71">
        <v>19.195390700000001</v>
      </c>
      <c r="O11" s="71">
        <v>93.585678099999996</v>
      </c>
      <c r="P11" s="71" t="s">
        <v>797</v>
      </c>
      <c r="R11" s="103"/>
      <c r="S11" s="439"/>
      <c r="T11" s="109"/>
      <c r="U11" s="105"/>
      <c r="V11" s="71" t="s">
        <v>798</v>
      </c>
      <c r="W11" s="435"/>
    </row>
    <row r="12" spans="1:26" s="71" customFormat="1" ht="14.25" customHeight="1">
      <c r="A12" s="439" t="s">
        <v>2687</v>
      </c>
      <c r="B12" s="435" t="s">
        <v>359</v>
      </c>
      <c r="C12" s="435" t="s">
        <v>2295</v>
      </c>
      <c r="D12" s="477"/>
      <c r="E12" s="71">
        <v>198464</v>
      </c>
      <c r="F12" s="71" t="s">
        <v>2295</v>
      </c>
      <c r="J12" s="71" t="s">
        <v>796</v>
      </c>
      <c r="K12" s="71" t="s">
        <v>796</v>
      </c>
      <c r="L12" s="71" t="s">
        <v>796</v>
      </c>
      <c r="M12" s="71" t="s">
        <v>296</v>
      </c>
      <c r="N12" s="71">
        <v>19.417640689999999</v>
      </c>
      <c r="O12" s="71">
        <v>93.565246579999993</v>
      </c>
      <c r="P12" s="561" t="s">
        <v>797</v>
      </c>
      <c r="Q12" s="71" t="s">
        <v>2260</v>
      </c>
      <c r="R12" s="438"/>
      <c r="S12" s="104"/>
      <c r="T12" s="109">
        <v>43462</v>
      </c>
      <c r="U12" s="105"/>
      <c r="W12" s="71" t="s">
        <v>2296</v>
      </c>
    </row>
    <row r="13" spans="1:26" s="71" customFormat="1" ht="14.25" customHeight="1">
      <c r="A13" s="439" t="s">
        <v>2687</v>
      </c>
      <c r="B13" s="435" t="s">
        <v>359</v>
      </c>
      <c r="C13" s="435" t="s">
        <v>366</v>
      </c>
      <c r="D13" s="477" t="s">
        <v>1664</v>
      </c>
      <c r="E13" s="71">
        <v>198516</v>
      </c>
      <c r="J13" s="71" t="s">
        <v>796</v>
      </c>
      <c r="K13" s="71" t="s">
        <v>796</v>
      </c>
      <c r="L13" s="71" t="s">
        <v>796</v>
      </c>
      <c r="M13" s="71" t="s">
        <v>296</v>
      </c>
      <c r="N13" s="71">
        <v>19.249820710000002</v>
      </c>
      <c r="O13" s="71">
        <v>93.551040650000004</v>
      </c>
      <c r="P13" s="71" t="s">
        <v>797</v>
      </c>
      <c r="Q13" s="71" t="s">
        <v>778</v>
      </c>
      <c r="R13" s="103"/>
      <c r="S13" s="439"/>
      <c r="T13" s="109"/>
      <c r="U13" s="105"/>
      <c r="V13" s="71" t="s">
        <v>366</v>
      </c>
    </row>
    <row r="14" spans="1:26" s="71" customFormat="1" ht="14.25" customHeight="1">
      <c r="A14" s="439" t="s">
        <v>2687</v>
      </c>
      <c r="B14" s="435" t="s">
        <v>359</v>
      </c>
      <c r="C14" s="435" t="s">
        <v>363</v>
      </c>
      <c r="D14" s="477" t="s">
        <v>1664</v>
      </c>
      <c r="E14" s="71">
        <v>198643</v>
      </c>
      <c r="J14" s="71" t="s">
        <v>796</v>
      </c>
      <c r="K14" s="71" t="s">
        <v>796</v>
      </c>
      <c r="L14" s="71" t="s">
        <v>796</v>
      </c>
      <c r="M14" s="71" t="s">
        <v>296</v>
      </c>
      <c r="N14" s="71">
        <v>19.18865967</v>
      </c>
      <c r="O14" s="71">
        <v>93.720703130000004</v>
      </c>
      <c r="P14" s="71" t="s">
        <v>797</v>
      </c>
      <c r="Q14" s="71" t="s">
        <v>778</v>
      </c>
      <c r="R14" s="103"/>
      <c r="S14" s="439"/>
      <c r="T14" s="109"/>
      <c r="U14" s="105"/>
      <c r="V14" s="71" t="s">
        <v>363</v>
      </c>
    </row>
    <row r="15" spans="1:26" s="71" customFormat="1" ht="14.25" customHeight="1">
      <c r="A15" s="439" t="s">
        <v>2687</v>
      </c>
      <c r="B15" s="436" t="s">
        <v>359</v>
      </c>
      <c r="C15" s="436" t="s">
        <v>2577</v>
      </c>
      <c r="D15" s="477"/>
      <c r="E15" s="71">
        <v>198476</v>
      </c>
      <c r="J15" s="71" t="s">
        <v>796</v>
      </c>
      <c r="K15" s="71" t="s">
        <v>796</v>
      </c>
      <c r="L15" s="186" t="s">
        <v>796</v>
      </c>
      <c r="M15" s="71" t="s">
        <v>296</v>
      </c>
      <c r="P15" s="561" t="s">
        <v>797</v>
      </c>
      <c r="R15" s="103"/>
      <c r="S15" s="439"/>
      <c r="T15" s="109"/>
      <c r="U15" s="105"/>
    </row>
    <row r="16" spans="1:26" s="71" customFormat="1" ht="14.25" customHeight="1">
      <c r="A16" s="439" t="s">
        <v>2687</v>
      </c>
      <c r="B16" s="436" t="s">
        <v>359</v>
      </c>
      <c r="C16" s="436" t="s">
        <v>365</v>
      </c>
      <c r="D16" s="477" t="s">
        <v>1664</v>
      </c>
      <c r="E16" s="71">
        <v>198514</v>
      </c>
      <c r="J16" s="71" t="s">
        <v>796</v>
      </c>
      <c r="K16" s="71" t="s">
        <v>796</v>
      </c>
      <c r="L16" s="71" t="s">
        <v>796</v>
      </c>
      <c r="M16" s="71" t="s">
        <v>296</v>
      </c>
      <c r="N16" s="71">
        <v>19.221920010000002</v>
      </c>
      <c r="O16" s="71">
        <v>93.571296689999997</v>
      </c>
      <c r="P16" s="71" t="s">
        <v>797</v>
      </c>
      <c r="Q16" s="71" t="s">
        <v>778</v>
      </c>
      <c r="R16" s="103"/>
      <c r="S16" s="439"/>
      <c r="T16" s="109"/>
      <c r="U16" s="105"/>
      <c r="V16" s="71" t="s">
        <v>365</v>
      </c>
      <c r="W16" s="435"/>
    </row>
    <row r="17" spans="1:23" s="71" customFormat="1" ht="14.25" customHeight="1">
      <c r="A17" s="439" t="s">
        <v>2687</v>
      </c>
      <c r="B17" s="436" t="s">
        <v>359</v>
      </c>
      <c r="C17" s="436" t="s">
        <v>367</v>
      </c>
      <c r="D17" s="477" t="s">
        <v>1664</v>
      </c>
      <c r="E17" s="435">
        <v>198512</v>
      </c>
      <c r="F17" s="435"/>
      <c r="G17" s="435"/>
      <c r="H17" s="435"/>
      <c r="I17" s="435"/>
      <c r="J17" s="435" t="s">
        <v>796</v>
      </c>
      <c r="K17" s="71" t="s">
        <v>796</v>
      </c>
      <c r="L17" s="71" t="s">
        <v>796</v>
      </c>
      <c r="M17" s="71" t="s">
        <v>296</v>
      </c>
      <c r="N17" s="435">
        <v>19.254320140000001</v>
      </c>
      <c r="O17" s="435">
        <v>93.548591610000003</v>
      </c>
      <c r="P17" s="71" t="s">
        <v>797</v>
      </c>
      <c r="Q17" s="435" t="s">
        <v>778</v>
      </c>
      <c r="R17" s="438"/>
      <c r="S17" s="439"/>
      <c r="T17" s="452"/>
      <c r="U17" s="440"/>
      <c r="V17" s="435" t="s">
        <v>367</v>
      </c>
    </row>
    <row r="18" spans="1:23" s="71" customFormat="1" ht="14.25" customHeight="1">
      <c r="A18" s="439" t="s">
        <v>2687</v>
      </c>
      <c r="B18" s="436" t="s">
        <v>359</v>
      </c>
      <c r="C18" s="436" t="s">
        <v>360</v>
      </c>
      <c r="D18" s="477" t="s">
        <v>1664</v>
      </c>
      <c r="E18" s="441">
        <v>198657</v>
      </c>
      <c r="J18" s="71" t="s">
        <v>796</v>
      </c>
      <c r="K18" s="71" t="s">
        <v>796</v>
      </c>
      <c r="L18" s="71" t="s">
        <v>796</v>
      </c>
      <c r="M18" s="71" t="s">
        <v>296</v>
      </c>
      <c r="N18" s="435">
        <v>19.170919420000001</v>
      </c>
      <c r="O18" s="435">
        <v>93.692680359999997</v>
      </c>
      <c r="P18" s="71" t="s">
        <v>797</v>
      </c>
      <c r="Q18" s="71" t="s">
        <v>778</v>
      </c>
      <c r="R18" s="103"/>
      <c r="S18" s="104"/>
      <c r="T18" s="109"/>
      <c r="U18" s="105"/>
      <c r="V18" s="71" t="s">
        <v>360</v>
      </c>
      <c r="W18" s="435"/>
    </row>
    <row r="19" spans="1:23" s="71" customFormat="1" ht="14.25" customHeight="1">
      <c r="A19" s="442" t="s">
        <v>2687</v>
      </c>
      <c r="B19" s="442" t="s">
        <v>304</v>
      </c>
      <c r="C19" s="443" t="s">
        <v>638</v>
      </c>
      <c r="D19" s="437"/>
      <c r="E19" s="435">
        <v>196824</v>
      </c>
      <c r="J19" s="71" t="s">
        <v>796</v>
      </c>
      <c r="K19" s="71" t="s">
        <v>796</v>
      </c>
      <c r="L19" s="71" t="s">
        <v>796</v>
      </c>
      <c r="M19" s="71" t="s">
        <v>2006</v>
      </c>
      <c r="N19" s="435">
        <v>20.855012890000001</v>
      </c>
      <c r="O19" s="435">
        <v>92.91</v>
      </c>
      <c r="P19" s="561" t="s">
        <v>797</v>
      </c>
      <c r="R19" s="445"/>
      <c r="S19" s="439"/>
      <c r="T19" s="109">
        <v>43591</v>
      </c>
      <c r="U19" s="445"/>
      <c r="W19" s="438"/>
    </row>
    <row r="20" spans="1:23" s="71" customFormat="1" ht="14.25" customHeight="1">
      <c r="A20" s="439" t="s">
        <v>2687</v>
      </c>
      <c r="B20" s="435" t="s">
        <v>304</v>
      </c>
      <c r="C20" s="71" t="s">
        <v>947</v>
      </c>
      <c r="D20" s="477" t="s">
        <v>2763</v>
      </c>
      <c r="E20" s="435" t="s">
        <v>1416</v>
      </c>
      <c r="F20" s="71" t="s">
        <v>1869</v>
      </c>
      <c r="G20" s="71" t="s">
        <v>947</v>
      </c>
      <c r="J20" s="71" t="s">
        <v>796</v>
      </c>
      <c r="K20" s="71" t="s">
        <v>796</v>
      </c>
      <c r="L20" s="71" t="s">
        <v>881</v>
      </c>
      <c r="M20" s="71" t="s">
        <v>793</v>
      </c>
      <c r="N20" s="446">
        <v>20.921424999999999</v>
      </c>
      <c r="O20" s="446">
        <v>93.003204999999994</v>
      </c>
      <c r="P20" s="71" t="s">
        <v>797</v>
      </c>
      <c r="R20" s="438">
        <v>24</v>
      </c>
      <c r="S20" s="439">
        <v>140</v>
      </c>
      <c r="T20" s="109"/>
      <c r="U20" s="105" t="s">
        <v>858</v>
      </c>
      <c r="V20" s="71" t="s">
        <v>947</v>
      </c>
    </row>
    <row r="21" spans="1:23" s="71" customFormat="1" ht="14.25" customHeight="1">
      <c r="A21" s="439" t="s">
        <v>2687</v>
      </c>
      <c r="B21" s="435" t="s">
        <v>304</v>
      </c>
      <c r="C21" s="435" t="s">
        <v>946</v>
      </c>
      <c r="D21" s="477" t="s">
        <v>2763</v>
      </c>
      <c r="E21" s="436" t="s">
        <v>1415</v>
      </c>
      <c r="F21" s="435" t="s">
        <v>946</v>
      </c>
      <c r="G21" s="71" t="s">
        <v>1868</v>
      </c>
      <c r="J21" s="71" t="s">
        <v>796</v>
      </c>
      <c r="K21" s="71" t="s">
        <v>796</v>
      </c>
      <c r="L21" s="71" t="s">
        <v>881</v>
      </c>
      <c r="M21" s="71" t="s">
        <v>793</v>
      </c>
      <c r="N21" s="446">
        <v>20.896740000000001</v>
      </c>
      <c r="O21" s="446">
        <v>93.014349999999993</v>
      </c>
      <c r="P21" s="71" t="s">
        <v>797</v>
      </c>
      <c r="R21" s="438">
        <v>14</v>
      </c>
      <c r="S21" s="439">
        <v>84</v>
      </c>
      <c r="T21" s="109"/>
      <c r="U21" s="105" t="s">
        <v>858</v>
      </c>
      <c r="V21" s="71" t="s">
        <v>946</v>
      </c>
      <c r="W21" s="435"/>
    </row>
    <row r="22" spans="1:23" s="71" customFormat="1" ht="14.25" customHeight="1">
      <c r="A22" s="439" t="s">
        <v>2687</v>
      </c>
      <c r="B22" s="435" t="s">
        <v>304</v>
      </c>
      <c r="C22" s="435" t="s">
        <v>305</v>
      </c>
      <c r="D22" s="477" t="s">
        <v>1664</v>
      </c>
      <c r="E22" s="435"/>
      <c r="F22" s="435"/>
      <c r="G22" s="435"/>
      <c r="H22" s="435"/>
      <c r="I22" s="435"/>
      <c r="J22" s="435" t="s">
        <v>796</v>
      </c>
      <c r="K22" s="435" t="s">
        <v>796</v>
      </c>
      <c r="L22" s="435" t="s">
        <v>796</v>
      </c>
      <c r="M22" s="435" t="s">
        <v>296</v>
      </c>
      <c r="N22" s="435"/>
      <c r="O22" s="435"/>
      <c r="P22" s="435" t="s">
        <v>797</v>
      </c>
      <c r="Q22" s="435" t="s">
        <v>778</v>
      </c>
      <c r="R22" s="438"/>
      <c r="S22" s="439"/>
      <c r="T22" s="452"/>
      <c r="U22" s="440"/>
      <c r="V22" s="435" t="s">
        <v>305</v>
      </c>
      <c r="W22" s="435"/>
    </row>
    <row r="23" spans="1:23" s="71" customFormat="1" ht="14.25" customHeight="1">
      <c r="A23" s="439" t="s">
        <v>2687</v>
      </c>
      <c r="B23" s="435" t="s">
        <v>304</v>
      </c>
      <c r="C23" s="435" t="s">
        <v>568</v>
      </c>
      <c r="D23" s="477" t="s">
        <v>2763</v>
      </c>
      <c r="E23" s="435" t="s">
        <v>1403</v>
      </c>
      <c r="F23" s="435"/>
      <c r="G23" s="435"/>
      <c r="H23" s="435"/>
      <c r="I23" s="435"/>
      <c r="J23" s="435" t="s">
        <v>796</v>
      </c>
      <c r="K23" s="435" t="s">
        <v>796</v>
      </c>
      <c r="L23" s="435" t="s">
        <v>881</v>
      </c>
      <c r="M23" s="435" t="s">
        <v>296</v>
      </c>
      <c r="N23" s="435">
        <v>20.720213000000001</v>
      </c>
      <c r="O23" s="435">
        <v>92.961841000000007</v>
      </c>
      <c r="P23" s="435" t="s">
        <v>797</v>
      </c>
      <c r="Q23" s="435" t="s">
        <v>778</v>
      </c>
      <c r="R23" s="438">
        <v>100</v>
      </c>
      <c r="S23" s="439">
        <v>559</v>
      </c>
      <c r="T23" s="452"/>
      <c r="U23" s="440"/>
      <c r="V23" s="435" t="s">
        <v>568</v>
      </c>
      <c r="W23" s="435"/>
    </row>
    <row r="24" spans="1:23" s="71" customFormat="1" ht="14.25" customHeight="1">
      <c r="A24" s="439" t="s">
        <v>2687</v>
      </c>
      <c r="B24" s="435" t="s">
        <v>304</v>
      </c>
      <c r="C24" s="71" t="s">
        <v>929</v>
      </c>
      <c r="D24" s="477" t="s">
        <v>1664</v>
      </c>
      <c r="E24" s="71">
        <v>196946</v>
      </c>
      <c r="J24" s="71" t="s">
        <v>796</v>
      </c>
      <c r="K24" s="71" t="s">
        <v>796</v>
      </c>
      <c r="L24" s="71" t="s">
        <v>796</v>
      </c>
      <c r="M24" s="71" t="s">
        <v>296</v>
      </c>
      <c r="N24" s="71">
        <v>20.720213000000001</v>
      </c>
      <c r="O24" s="71">
        <v>92.961841000000007</v>
      </c>
      <c r="P24" s="71" t="s">
        <v>797</v>
      </c>
      <c r="R24" s="103"/>
      <c r="S24" s="104"/>
      <c r="T24" s="109"/>
      <c r="U24" s="105"/>
      <c r="V24" s="71" t="s">
        <v>568</v>
      </c>
    </row>
    <row r="25" spans="1:23" s="71" customFormat="1" ht="14.25" customHeight="1">
      <c r="A25" s="439" t="s">
        <v>2687</v>
      </c>
      <c r="B25" s="435" t="s">
        <v>304</v>
      </c>
      <c r="C25" s="435" t="s">
        <v>698</v>
      </c>
      <c r="D25" s="477" t="s">
        <v>1664</v>
      </c>
      <c r="E25" s="435">
        <v>196878</v>
      </c>
      <c r="F25" s="435"/>
      <c r="G25" s="435"/>
      <c r="H25" s="435"/>
      <c r="I25" s="435"/>
      <c r="J25" s="435" t="s">
        <v>796</v>
      </c>
      <c r="K25" s="435" t="s">
        <v>796</v>
      </c>
      <c r="L25" s="435" t="s">
        <v>796</v>
      </c>
      <c r="M25" s="435" t="s">
        <v>296</v>
      </c>
      <c r="N25" s="435">
        <v>20.627639769999998</v>
      </c>
      <c r="O25" s="435">
        <v>93.022773740000005</v>
      </c>
      <c r="P25" s="435" t="s">
        <v>797</v>
      </c>
      <c r="Q25" s="435" t="s">
        <v>778</v>
      </c>
      <c r="R25" s="438"/>
      <c r="S25" s="439"/>
      <c r="T25" s="452"/>
      <c r="U25" s="440"/>
      <c r="V25" s="435"/>
      <c r="W25" s="435"/>
    </row>
    <row r="26" spans="1:23" s="71" customFormat="1" ht="14.25" customHeight="1">
      <c r="A26" s="442" t="s">
        <v>2687</v>
      </c>
      <c r="B26" s="442" t="s">
        <v>304</v>
      </c>
      <c r="C26" s="443" t="s">
        <v>2811</v>
      </c>
      <c r="D26" s="437"/>
      <c r="E26" s="186">
        <v>196937</v>
      </c>
      <c r="J26" s="71" t="s">
        <v>2692</v>
      </c>
      <c r="K26" s="71" t="s">
        <v>2658</v>
      </c>
      <c r="L26" s="71" t="s">
        <v>2658</v>
      </c>
      <c r="N26" s="186">
        <v>20.64656067</v>
      </c>
      <c r="O26" s="186">
        <v>92.976043700000005</v>
      </c>
      <c r="P26" s="561" t="s">
        <v>1989</v>
      </c>
      <c r="R26" s="445"/>
      <c r="S26" s="439"/>
      <c r="T26" s="109">
        <v>43591</v>
      </c>
      <c r="U26" s="445"/>
      <c r="W26" s="438"/>
    </row>
    <row r="27" spans="1:23" s="71" customFormat="1" ht="14.25" customHeight="1">
      <c r="A27" s="439" t="s">
        <v>2687</v>
      </c>
      <c r="B27" s="198" t="s">
        <v>304</v>
      </c>
      <c r="C27" s="199" t="s">
        <v>2297</v>
      </c>
      <c r="D27" s="437"/>
      <c r="E27" s="194">
        <v>196933</v>
      </c>
      <c r="F27" s="194" t="s">
        <v>869</v>
      </c>
      <c r="G27" s="194"/>
      <c r="H27" s="194"/>
      <c r="I27" s="194"/>
      <c r="J27" s="194" t="s">
        <v>796</v>
      </c>
      <c r="K27" s="194" t="s">
        <v>796</v>
      </c>
      <c r="L27" s="194" t="s">
        <v>796</v>
      </c>
      <c r="M27" s="194"/>
      <c r="N27" s="194">
        <v>20.66370964</v>
      </c>
      <c r="O27" s="194">
        <v>92.973167419999996</v>
      </c>
      <c r="P27" s="194" t="s">
        <v>797</v>
      </c>
      <c r="Q27" s="194" t="s">
        <v>2260</v>
      </c>
      <c r="R27" s="195"/>
      <c r="S27" s="193"/>
      <c r="T27" s="196">
        <v>43465</v>
      </c>
      <c r="U27" s="197" t="s">
        <v>2303</v>
      </c>
      <c r="V27" s="194" t="s">
        <v>2297</v>
      </c>
      <c r="W27" s="438"/>
    </row>
    <row r="28" spans="1:23" s="71" customFormat="1" ht="14.25" customHeight="1">
      <c r="A28" s="442" t="s">
        <v>2687</v>
      </c>
      <c r="B28" s="442" t="s">
        <v>304</v>
      </c>
      <c r="C28" s="443" t="s">
        <v>2812</v>
      </c>
      <c r="D28" s="437"/>
      <c r="E28" s="435">
        <v>196940</v>
      </c>
      <c r="F28" s="435"/>
      <c r="G28" s="435"/>
      <c r="H28" s="435"/>
      <c r="I28" s="435"/>
      <c r="J28" s="435" t="s">
        <v>2692</v>
      </c>
      <c r="K28" s="435" t="s">
        <v>2658</v>
      </c>
      <c r="L28" s="435" t="s">
        <v>2658</v>
      </c>
      <c r="M28" s="435"/>
      <c r="N28" s="435">
        <v>20.6563606262207</v>
      </c>
      <c r="O28" s="435">
        <v>92.998542785644503</v>
      </c>
      <c r="P28" s="561" t="s">
        <v>1989</v>
      </c>
      <c r="Q28" s="435"/>
      <c r="R28" s="445"/>
      <c r="S28" s="439"/>
      <c r="T28" s="452">
        <v>43591</v>
      </c>
      <c r="U28" s="445"/>
      <c r="V28" s="435"/>
      <c r="W28" s="438"/>
    </row>
    <row r="29" spans="1:23" s="71" customFormat="1" ht="14.25" customHeight="1">
      <c r="A29" s="442" t="s">
        <v>2687</v>
      </c>
      <c r="B29" s="442" t="s">
        <v>304</v>
      </c>
      <c r="C29" s="443" t="s">
        <v>2810</v>
      </c>
      <c r="D29" s="437"/>
      <c r="E29" s="435">
        <v>196942</v>
      </c>
      <c r="F29" s="435"/>
      <c r="G29" s="435"/>
      <c r="H29" s="435"/>
      <c r="I29" s="435"/>
      <c r="J29" s="71" t="s">
        <v>2692</v>
      </c>
      <c r="K29" s="71" t="s">
        <v>2658</v>
      </c>
      <c r="L29" s="71" t="s">
        <v>2658</v>
      </c>
      <c r="M29" s="435"/>
      <c r="N29" s="435">
        <v>20.6715202331543</v>
      </c>
      <c r="O29" s="435">
        <v>92.998092651367202</v>
      </c>
      <c r="P29" s="561" t="s">
        <v>1989</v>
      </c>
      <c r="Q29" s="435"/>
      <c r="R29" s="445"/>
      <c r="S29" s="439"/>
      <c r="T29" s="452">
        <v>43591</v>
      </c>
      <c r="U29" s="445"/>
      <c r="V29" s="435"/>
      <c r="W29" s="438"/>
    </row>
    <row r="30" spans="1:23" s="71" customFormat="1" ht="14.25" customHeight="1">
      <c r="A30" s="439" t="s">
        <v>2687</v>
      </c>
      <c r="B30" s="572" t="s">
        <v>304</v>
      </c>
      <c r="C30" s="573" t="s">
        <v>3013</v>
      </c>
      <c r="D30" s="567"/>
      <c r="E30" s="435"/>
      <c r="F30" s="435"/>
      <c r="G30" s="435"/>
      <c r="H30" s="435"/>
      <c r="I30" s="435"/>
      <c r="J30" s="561" t="s">
        <v>796</v>
      </c>
      <c r="K30" s="561" t="s">
        <v>796</v>
      </c>
      <c r="L30" s="561" t="s">
        <v>796</v>
      </c>
      <c r="M30" s="435"/>
      <c r="N30" s="435"/>
      <c r="O30" s="435"/>
      <c r="P30" s="435" t="s">
        <v>797</v>
      </c>
      <c r="Q30" s="435" t="s">
        <v>3026</v>
      </c>
      <c r="R30" s="576"/>
      <c r="S30" s="439"/>
      <c r="T30" s="452">
        <v>43768</v>
      </c>
      <c r="U30" s="576"/>
      <c r="V30" s="435"/>
      <c r="W30" s="568"/>
    </row>
    <row r="31" spans="1:23" s="71" customFormat="1" ht="14.25" customHeight="1">
      <c r="A31" s="569" t="s">
        <v>2687</v>
      </c>
      <c r="B31" s="572" t="s">
        <v>304</v>
      </c>
      <c r="C31" s="573" t="s">
        <v>3033</v>
      </c>
      <c r="D31" s="437"/>
      <c r="E31" s="435">
        <v>196947</v>
      </c>
      <c r="F31" s="435" t="s">
        <v>568</v>
      </c>
      <c r="G31" s="435"/>
      <c r="H31" s="435"/>
      <c r="I31" s="435"/>
      <c r="J31" s="435" t="s">
        <v>796</v>
      </c>
      <c r="K31" s="435" t="s">
        <v>796</v>
      </c>
      <c r="L31" s="435" t="s">
        <v>796</v>
      </c>
      <c r="M31" s="435"/>
      <c r="N31" s="435">
        <v>20.7181205749512</v>
      </c>
      <c r="O31" s="435">
        <v>92.965950012207003</v>
      </c>
      <c r="P31" s="561" t="s">
        <v>797</v>
      </c>
      <c r="Q31" s="435" t="s">
        <v>3026</v>
      </c>
      <c r="R31" s="445"/>
      <c r="S31" s="439"/>
      <c r="T31" s="452">
        <v>43768</v>
      </c>
      <c r="U31" s="445"/>
      <c r="V31" s="435"/>
      <c r="W31" s="438"/>
    </row>
    <row r="32" spans="1:23" s="71" customFormat="1" ht="14.25" customHeight="1">
      <c r="A32" s="439" t="s">
        <v>2687</v>
      </c>
      <c r="B32" s="561" t="s">
        <v>304</v>
      </c>
      <c r="C32" s="561" t="s">
        <v>554</v>
      </c>
      <c r="D32" s="477" t="s">
        <v>1664</v>
      </c>
      <c r="E32" s="561">
        <v>196943</v>
      </c>
      <c r="F32" s="561"/>
      <c r="G32" s="561"/>
      <c r="H32" s="561"/>
      <c r="I32" s="561"/>
      <c r="J32" s="561" t="s">
        <v>796</v>
      </c>
      <c r="K32" s="561" t="s">
        <v>796</v>
      </c>
      <c r="L32" s="561" t="s">
        <v>796</v>
      </c>
      <c r="M32" s="561" t="s">
        <v>296</v>
      </c>
      <c r="N32" s="561">
        <v>20.705930710000001</v>
      </c>
      <c r="O32" s="561">
        <v>93.001953130000004</v>
      </c>
      <c r="P32" s="561" t="s">
        <v>797</v>
      </c>
      <c r="Q32" s="561" t="s">
        <v>778</v>
      </c>
      <c r="R32" s="568"/>
      <c r="S32" s="569"/>
      <c r="T32" s="588"/>
      <c r="U32" s="570"/>
      <c r="V32" s="561" t="s">
        <v>554</v>
      </c>
      <c r="W32" s="561"/>
    </row>
    <row r="33" spans="1:23" s="71" customFormat="1" ht="14.25" customHeight="1">
      <c r="A33" s="572" t="s">
        <v>2687</v>
      </c>
      <c r="B33" s="572" t="s">
        <v>304</v>
      </c>
      <c r="C33" s="573" t="s">
        <v>2807</v>
      </c>
      <c r="D33" s="567"/>
      <c r="E33" s="435">
        <v>196943</v>
      </c>
      <c r="J33" s="71" t="s">
        <v>2692</v>
      </c>
      <c r="K33" s="71" t="s">
        <v>2658</v>
      </c>
      <c r="L33" s="71" t="s">
        <v>2658</v>
      </c>
      <c r="N33" s="71">
        <v>20.705930710000001</v>
      </c>
      <c r="O33" s="71">
        <v>93.001953130000004</v>
      </c>
      <c r="P33" s="71" t="s">
        <v>1989</v>
      </c>
      <c r="R33" s="576"/>
      <c r="S33" s="439"/>
      <c r="T33" s="109">
        <v>43591</v>
      </c>
      <c r="U33" s="576"/>
      <c r="W33" s="568"/>
    </row>
    <row r="34" spans="1:23" s="71" customFormat="1" ht="14.25" customHeight="1">
      <c r="A34" s="439" t="s">
        <v>2687</v>
      </c>
      <c r="B34" s="190" t="s">
        <v>304</v>
      </c>
      <c r="C34" s="191" t="s">
        <v>637</v>
      </c>
      <c r="D34" s="567" t="s">
        <v>1664</v>
      </c>
      <c r="E34" s="186">
        <v>196825</v>
      </c>
      <c r="F34" s="186"/>
      <c r="G34" s="186"/>
      <c r="H34" s="186"/>
      <c r="I34" s="186"/>
      <c r="J34" s="71" t="s">
        <v>796</v>
      </c>
      <c r="K34" s="71" t="s">
        <v>796</v>
      </c>
      <c r="L34" s="71" t="s">
        <v>796</v>
      </c>
      <c r="M34" s="186" t="s">
        <v>2006</v>
      </c>
      <c r="N34" s="186">
        <v>20.851089479999999</v>
      </c>
      <c r="O34" s="186">
        <v>92.916893009999995</v>
      </c>
      <c r="P34" s="71" t="s">
        <v>797</v>
      </c>
      <c r="Q34" s="186" t="s">
        <v>924</v>
      </c>
      <c r="R34" s="187"/>
      <c r="S34" s="185"/>
      <c r="T34" s="188">
        <v>43011</v>
      </c>
      <c r="U34" s="189" t="s">
        <v>925</v>
      </c>
      <c r="V34" s="186"/>
      <c r="W34" s="568"/>
    </row>
    <row r="35" spans="1:23" s="71" customFormat="1" ht="14.25" customHeight="1">
      <c r="A35" s="439" t="s">
        <v>2687</v>
      </c>
      <c r="B35" s="561" t="s">
        <v>304</v>
      </c>
      <c r="C35" s="561" t="s">
        <v>516</v>
      </c>
      <c r="D35" s="477" t="s">
        <v>1664</v>
      </c>
      <c r="E35" s="561">
        <v>196983</v>
      </c>
      <c r="F35" s="561"/>
      <c r="G35" s="561"/>
      <c r="H35" s="561"/>
      <c r="I35" s="561"/>
      <c r="J35" s="561" t="s">
        <v>796</v>
      </c>
      <c r="K35" s="561" t="s">
        <v>796</v>
      </c>
      <c r="L35" s="561" t="s">
        <v>796</v>
      </c>
      <c r="M35" s="561" t="s">
        <v>296</v>
      </c>
      <c r="N35" s="561">
        <v>20.644098280000001</v>
      </c>
      <c r="O35" s="561">
        <v>93.036460880000007</v>
      </c>
      <c r="P35" s="561" t="s">
        <v>797</v>
      </c>
      <c r="Q35" s="561" t="s">
        <v>778</v>
      </c>
      <c r="R35" s="568"/>
      <c r="S35" s="569"/>
      <c r="T35" s="588"/>
      <c r="U35" s="570"/>
      <c r="V35" s="561"/>
      <c r="W35" s="561"/>
    </row>
    <row r="36" spans="1:23" s="71" customFormat="1" ht="14.25" customHeight="1">
      <c r="A36" s="439" t="s">
        <v>2687</v>
      </c>
      <c r="B36" s="561" t="s">
        <v>304</v>
      </c>
      <c r="C36" s="561" t="s">
        <v>558</v>
      </c>
      <c r="D36" s="477" t="s">
        <v>2763</v>
      </c>
      <c r="E36" s="561" t="s">
        <v>1400</v>
      </c>
      <c r="F36" s="561" t="s">
        <v>558</v>
      </c>
      <c r="G36" s="561" t="s">
        <v>1757</v>
      </c>
      <c r="H36" s="561"/>
      <c r="I36" s="561"/>
      <c r="J36" s="561" t="s">
        <v>796</v>
      </c>
      <c r="K36" s="561" t="s">
        <v>796</v>
      </c>
      <c r="L36" s="561" t="s">
        <v>881</v>
      </c>
      <c r="M36" s="561" t="s">
        <v>793</v>
      </c>
      <c r="N36" s="561">
        <v>20.713259999999998</v>
      </c>
      <c r="O36" s="561">
        <v>93.014089999999996</v>
      </c>
      <c r="P36" s="561" t="s">
        <v>797</v>
      </c>
      <c r="Q36" s="561" t="s">
        <v>778</v>
      </c>
      <c r="R36" s="568">
        <v>116</v>
      </c>
      <c r="S36" s="569">
        <v>802</v>
      </c>
      <c r="T36" s="588"/>
      <c r="U36" s="570"/>
      <c r="V36" s="561" t="s">
        <v>558</v>
      </c>
      <c r="W36" s="561"/>
    </row>
    <row r="37" spans="1:23" s="71" customFormat="1" ht="14.25" customHeight="1">
      <c r="A37" s="569" t="s">
        <v>2687</v>
      </c>
      <c r="B37" s="198" t="s">
        <v>304</v>
      </c>
      <c r="C37" s="199" t="s">
        <v>556</v>
      </c>
      <c r="D37" s="437" t="s">
        <v>1664</v>
      </c>
      <c r="E37" s="194">
        <v>196973</v>
      </c>
      <c r="F37" s="194"/>
      <c r="G37" s="194"/>
      <c r="H37" s="194"/>
      <c r="I37" s="194"/>
      <c r="J37" s="194" t="s">
        <v>796</v>
      </c>
      <c r="K37" s="194" t="s">
        <v>796</v>
      </c>
      <c r="L37" s="194" t="s">
        <v>796</v>
      </c>
      <c r="M37" s="194" t="s">
        <v>296</v>
      </c>
      <c r="N37" s="194">
        <v>20.709970469999998</v>
      </c>
      <c r="O37" s="194">
        <v>93.015357969999997</v>
      </c>
      <c r="P37" s="194" t="s">
        <v>797</v>
      </c>
      <c r="Q37" s="194" t="s">
        <v>778</v>
      </c>
      <c r="R37" s="195"/>
      <c r="S37" s="193"/>
      <c r="T37" s="196"/>
      <c r="U37" s="197"/>
      <c r="V37" s="194"/>
      <c r="W37" s="438"/>
    </row>
    <row r="38" spans="1:23" s="71" customFormat="1" ht="14.25" customHeight="1">
      <c r="A38" s="439" t="s">
        <v>2687</v>
      </c>
      <c r="B38" s="190" t="s">
        <v>304</v>
      </c>
      <c r="C38" s="191" t="s">
        <v>609</v>
      </c>
      <c r="D38" s="567" t="s">
        <v>1664</v>
      </c>
      <c r="E38" s="186">
        <v>196883</v>
      </c>
      <c r="F38" s="186"/>
      <c r="G38" s="186"/>
      <c r="H38" s="186"/>
      <c r="I38" s="186"/>
      <c r="J38" s="71" t="s">
        <v>796</v>
      </c>
      <c r="K38" s="71" t="s">
        <v>796</v>
      </c>
      <c r="L38" s="71" t="s">
        <v>796</v>
      </c>
      <c r="M38" s="186" t="s">
        <v>2006</v>
      </c>
      <c r="N38" s="186">
        <v>20.803529739999998</v>
      </c>
      <c r="O38" s="186">
        <v>92.929466250000004</v>
      </c>
      <c r="P38" s="71" t="s">
        <v>797</v>
      </c>
      <c r="Q38" s="186"/>
      <c r="R38" s="187"/>
      <c r="S38" s="185"/>
      <c r="T38" s="188"/>
      <c r="U38" s="189"/>
      <c r="V38" s="186" t="s">
        <v>609</v>
      </c>
      <c r="W38" s="438"/>
    </row>
    <row r="39" spans="1:23" s="71" customFormat="1" ht="14.25" customHeight="1">
      <c r="A39" s="572" t="s">
        <v>2687</v>
      </c>
      <c r="B39" s="442" t="s">
        <v>304</v>
      </c>
      <c r="C39" s="443" t="s">
        <v>2806</v>
      </c>
      <c r="D39" s="437"/>
      <c r="J39" s="71" t="s">
        <v>2692</v>
      </c>
      <c r="K39" s="561" t="s">
        <v>2658</v>
      </c>
      <c r="L39" s="561" t="s">
        <v>2658</v>
      </c>
      <c r="P39" s="71" t="s">
        <v>1989</v>
      </c>
      <c r="R39" s="445"/>
      <c r="S39" s="439"/>
      <c r="T39" s="109">
        <v>43591</v>
      </c>
      <c r="U39" s="445"/>
      <c r="W39" s="438"/>
    </row>
    <row r="40" spans="1:23" s="71" customFormat="1" ht="14.25" customHeight="1">
      <c r="A40" s="439" t="s">
        <v>2687</v>
      </c>
      <c r="B40" s="190" t="s">
        <v>304</v>
      </c>
      <c r="C40" s="191" t="s">
        <v>549</v>
      </c>
      <c r="D40" s="477" t="s">
        <v>2763</v>
      </c>
      <c r="E40" s="186" t="s">
        <v>1399</v>
      </c>
      <c r="F40" s="186" t="s">
        <v>554</v>
      </c>
      <c r="G40" s="186" t="s">
        <v>549</v>
      </c>
      <c r="H40" s="186"/>
      <c r="I40" s="186"/>
      <c r="J40" s="71" t="s">
        <v>796</v>
      </c>
      <c r="K40" s="71" t="s">
        <v>796</v>
      </c>
      <c r="L40" s="71" t="s">
        <v>881</v>
      </c>
      <c r="M40" s="71" t="s">
        <v>793</v>
      </c>
      <c r="N40" s="186">
        <v>93.009900000000002</v>
      </c>
      <c r="O40" s="186">
        <v>20.696819999999999</v>
      </c>
      <c r="P40" s="71" t="s">
        <v>797</v>
      </c>
      <c r="Q40" s="186" t="s">
        <v>778</v>
      </c>
      <c r="R40" s="438">
        <v>236</v>
      </c>
      <c r="S40" s="104">
        <v>1524</v>
      </c>
      <c r="T40" s="188"/>
      <c r="U40" s="189"/>
      <c r="V40" s="186" t="s">
        <v>926</v>
      </c>
      <c r="W40" s="568"/>
    </row>
    <row r="41" spans="1:23" s="71" customFormat="1" ht="14.25" customHeight="1">
      <c r="A41" s="439" t="s">
        <v>2687</v>
      </c>
      <c r="B41" s="572" t="s">
        <v>304</v>
      </c>
      <c r="C41" s="573" t="s">
        <v>2769</v>
      </c>
      <c r="D41" s="567"/>
      <c r="E41" s="435">
        <v>196906</v>
      </c>
      <c r="F41" s="435"/>
      <c r="G41" s="435"/>
      <c r="H41" s="435"/>
      <c r="J41" s="71" t="s">
        <v>796</v>
      </c>
      <c r="K41" s="71" t="s">
        <v>796</v>
      </c>
      <c r="L41" s="435" t="s">
        <v>796</v>
      </c>
      <c r="N41" s="435">
        <v>20.680830001831101</v>
      </c>
      <c r="O41" s="435">
        <v>92.917633056640597</v>
      </c>
      <c r="P41" s="435" t="s">
        <v>797</v>
      </c>
      <c r="R41" s="576"/>
      <c r="S41" s="439"/>
      <c r="T41" s="109">
        <v>43591</v>
      </c>
      <c r="U41" s="576"/>
      <c r="V41" s="435"/>
      <c r="W41" s="568"/>
    </row>
    <row r="42" spans="1:23" s="71" customFormat="1" ht="14.25" customHeight="1">
      <c r="A42" s="569" t="s">
        <v>2687</v>
      </c>
      <c r="B42" s="561" t="s">
        <v>304</v>
      </c>
      <c r="C42" s="561" t="s">
        <v>2245</v>
      </c>
      <c r="D42" s="477"/>
      <c r="E42" s="435">
        <v>196804</v>
      </c>
      <c r="F42" s="435"/>
      <c r="G42" s="435"/>
      <c r="H42" s="435"/>
      <c r="I42" s="435"/>
      <c r="J42" s="435" t="s">
        <v>796</v>
      </c>
      <c r="K42" s="435" t="s">
        <v>796</v>
      </c>
      <c r="L42" s="435" t="s">
        <v>796</v>
      </c>
      <c r="M42" s="435"/>
      <c r="N42" s="435">
        <v>20.896429059999999</v>
      </c>
      <c r="O42" s="435">
        <v>92.940193179999994</v>
      </c>
      <c r="P42" s="561" t="s">
        <v>797</v>
      </c>
      <c r="Q42" s="435"/>
      <c r="R42" s="568"/>
      <c r="S42" s="439"/>
      <c r="T42" s="452"/>
      <c r="U42" s="570"/>
      <c r="V42" s="435" t="s">
        <v>2237</v>
      </c>
      <c r="W42" s="561"/>
    </row>
    <row r="43" spans="1:23" s="71" customFormat="1" ht="14.25" customHeight="1">
      <c r="A43" s="439" t="s">
        <v>2687</v>
      </c>
      <c r="B43" s="435" t="s">
        <v>304</v>
      </c>
      <c r="C43" s="435" t="s">
        <v>2246</v>
      </c>
      <c r="D43" s="477"/>
      <c r="E43" s="435">
        <v>196816</v>
      </c>
      <c r="F43" s="435"/>
      <c r="G43" s="435"/>
      <c r="H43" s="435"/>
      <c r="I43" s="435"/>
      <c r="J43" s="435" t="s">
        <v>796</v>
      </c>
      <c r="K43" s="435" t="s">
        <v>796</v>
      </c>
      <c r="L43" s="435" t="s">
        <v>796</v>
      </c>
      <c r="M43" s="435"/>
      <c r="N43" s="435">
        <v>20.727590559999999</v>
      </c>
      <c r="O43" s="435">
        <v>92.969352720000003</v>
      </c>
      <c r="P43" s="435" t="s">
        <v>797</v>
      </c>
      <c r="Q43" s="435"/>
      <c r="R43" s="438"/>
      <c r="S43" s="439"/>
      <c r="T43" s="452"/>
      <c r="U43" s="440"/>
      <c r="V43" s="435" t="s">
        <v>2239</v>
      </c>
      <c r="W43" s="435"/>
    </row>
    <row r="44" spans="1:23" s="71" customFormat="1" ht="14.25" customHeight="1">
      <c r="A44" s="572" t="s">
        <v>2687</v>
      </c>
      <c r="B44" s="572" t="s">
        <v>304</v>
      </c>
      <c r="C44" s="573" t="s">
        <v>2857</v>
      </c>
      <c r="D44" s="567"/>
      <c r="J44" s="71" t="s">
        <v>2692</v>
      </c>
      <c r="K44" s="71" t="s">
        <v>2658</v>
      </c>
      <c r="L44" s="71" t="s">
        <v>2658</v>
      </c>
      <c r="P44" s="71" t="s">
        <v>1989</v>
      </c>
      <c r="R44" s="576"/>
      <c r="S44" s="104"/>
      <c r="T44" s="109">
        <v>43591</v>
      </c>
      <c r="U44" s="576"/>
      <c r="W44" s="568"/>
    </row>
    <row r="45" spans="1:23" s="71" customFormat="1" ht="14.25" customHeight="1">
      <c r="A45" s="569" t="s">
        <v>2687</v>
      </c>
      <c r="B45" s="561" t="s">
        <v>304</v>
      </c>
      <c r="C45" s="561" t="s">
        <v>2305</v>
      </c>
      <c r="D45" s="477"/>
      <c r="E45" s="435">
        <v>196938</v>
      </c>
      <c r="F45" s="435" t="s">
        <v>2301</v>
      </c>
      <c r="G45" s="435"/>
      <c r="H45" s="435"/>
      <c r="I45" s="435"/>
      <c r="J45" s="435" t="s">
        <v>796</v>
      </c>
      <c r="K45" s="435" t="s">
        <v>796</v>
      </c>
      <c r="L45" s="435" t="s">
        <v>796</v>
      </c>
      <c r="M45" s="435"/>
      <c r="N45" s="435">
        <v>20.640909189999999</v>
      </c>
      <c r="O45" s="435">
        <v>92.979751590000006</v>
      </c>
      <c r="P45" s="561" t="s">
        <v>797</v>
      </c>
      <c r="Q45" s="435" t="s">
        <v>2260</v>
      </c>
      <c r="R45" s="568"/>
      <c r="S45" s="439"/>
      <c r="T45" s="452">
        <v>43465</v>
      </c>
      <c r="U45" s="570" t="s">
        <v>2303</v>
      </c>
      <c r="V45" s="435" t="s">
        <v>2299</v>
      </c>
      <c r="W45" s="561"/>
    </row>
    <row r="46" spans="1:23" s="71" customFormat="1" ht="14.25" customHeight="1">
      <c r="A46" s="439" t="s">
        <v>2687</v>
      </c>
      <c r="B46" s="435" t="s">
        <v>304</v>
      </c>
      <c r="C46" s="435" t="s">
        <v>647</v>
      </c>
      <c r="D46" s="477" t="s">
        <v>2763</v>
      </c>
      <c r="E46" s="435" t="s">
        <v>1414</v>
      </c>
      <c r="F46" s="435" t="s">
        <v>1763</v>
      </c>
      <c r="G46" s="435" t="s">
        <v>1764</v>
      </c>
      <c r="H46" s="435"/>
      <c r="I46" s="435"/>
      <c r="J46" s="561" t="s">
        <v>796</v>
      </c>
      <c r="K46" s="561" t="s">
        <v>796</v>
      </c>
      <c r="L46" s="561" t="s">
        <v>819</v>
      </c>
      <c r="M46" s="435" t="s">
        <v>793</v>
      </c>
      <c r="N46" s="435">
        <v>20.886997999999998</v>
      </c>
      <c r="O46" s="435">
        <v>93.006497999999993</v>
      </c>
      <c r="P46" s="435" t="s">
        <v>797</v>
      </c>
      <c r="Q46" s="435" t="s">
        <v>778</v>
      </c>
      <c r="R46" s="438">
        <v>97</v>
      </c>
      <c r="S46" s="439">
        <v>557</v>
      </c>
      <c r="T46" s="452"/>
      <c r="U46" s="440"/>
      <c r="V46" s="435" t="s">
        <v>647</v>
      </c>
      <c r="W46" s="435"/>
    </row>
    <row r="47" spans="1:23" s="71" customFormat="1" ht="14.25" customHeight="1">
      <c r="A47" s="572" t="s">
        <v>2687</v>
      </c>
      <c r="B47" s="572" t="s">
        <v>304</v>
      </c>
      <c r="C47" s="573" t="s">
        <v>2813</v>
      </c>
      <c r="D47" s="567"/>
      <c r="E47" s="71">
        <v>196865</v>
      </c>
      <c r="J47" s="561" t="s">
        <v>2692</v>
      </c>
      <c r="K47" s="561" t="s">
        <v>2658</v>
      </c>
      <c r="L47" s="561" t="s">
        <v>2658</v>
      </c>
      <c r="N47" s="71">
        <v>20.8122158050537</v>
      </c>
      <c r="O47" s="71">
        <v>93.061012268066406</v>
      </c>
      <c r="P47" s="71" t="s">
        <v>1989</v>
      </c>
      <c r="R47" s="576"/>
      <c r="S47" s="439"/>
      <c r="T47" s="109">
        <v>43591</v>
      </c>
      <c r="U47" s="576"/>
      <c r="W47" s="568"/>
    </row>
    <row r="48" spans="1:23" s="71" customFormat="1" ht="14.25" customHeight="1">
      <c r="A48" s="439" t="s">
        <v>2687</v>
      </c>
      <c r="B48" s="435" t="s">
        <v>304</v>
      </c>
      <c r="C48" s="435" t="s">
        <v>656</v>
      </c>
      <c r="D48" s="477" t="s">
        <v>1664</v>
      </c>
      <c r="E48" s="435">
        <v>196807</v>
      </c>
      <c r="F48" s="435"/>
      <c r="G48" s="435"/>
      <c r="H48" s="435"/>
      <c r="I48" s="435"/>
      <c r="J48" s="435" t="s">
        <v>796</v>
      </c>
      <c r="K48" s="435" t="s">
        <v>796</v>
      </c>
      <c r="L48" s="435" t="s">
        <v>796</v>
      </c>
      <c r="M48" s="435" t="s">
        <v>2006</v>
      </c>
      <c r="N48" s="435">
        <v>20.895059589999999</v>
      </c>
      <c r="O48" s="435">
        <v>92.90735626</v>
      </c>
      <c r="P48" s="435" t="s">
        <v>797</v>
      </c>
      <c r="Q48" s="435" t="s">
        <v>924</v>
      </c>
      <c r="R48" s="438"/>
      <c r="S48" s="439"/>
      <c r="T48" s="452">
        <v>43011</v>
      </c>
      <c r="U48" s="440" t="s">
        <v>925</v>
      </c>
      <c r="V48" s="435"/>
      <c r="W48" s="435"/>
    </row>
    <row r="49" spans="1:23" s="71" customFormat="1" ht="14.25" customHeight="1">
      <c r="A49" s="439" t="s">
        <v>2687</v>
      </c>
      <c r="B49" s="435" t="s">
        <v>304</v>
      </c>
      <c r="C49" s="435" t="s">
        <v>617</v>
      </c>
      <c r="D49" s="477" t="s">
        <v>1664</v>
      </c>
      <c r="E49" s="435">
        <v>196882</v>
      </c>
      <c r="F49" s="435"/>
      <c r="G49" s="435"/>
      <c r="H49" s="435"/>
      <c r="I49" s="435"/>
      <c r="J49" s="71" t="s">
        <v>796</v>
      </c>
      <c r="K49" s="71" t="s">
        <v>796</v>
      </c>
      <c r="L49" s="71" t="s">
        <v>796</v>
      </c>
      <c r="M49" s="435" t="s">
        <v>2006</v>
      </c>
      <c r="N49" s="435">
        <v>20.807970050000002</v>
      </c>
      <c r="O49" s="435">
        <v>92.929046630000002</v>
      </c>
      <c r="P49" s="71" t="s">
        <v>797</v>
      </c>
      <c r="Q49" s="435" t="s">
        <v>924</v>
      </c>
      <c r="R49" s="438"/>
      <c r="S49" s="439"/>
      <c r="T49" s="452">
        <v>43011</v>
      </c>
      <c r="U49" s="440" t="s">
        <v>925</v>
      </c>
      <c r="V49" s="435"/>
    </row>
    <row r="50" spans="1:23" s="71" customFormat="1" ht="14.25" customHeight="1">
      <c r="A50" s="439" t="s">
        <v>2687</v>
      </c>
      <c r="B50" s="435" t="s">
        <v>304</v>
      </c>
      <c r="C50" s="435" t="s">
        <v>699</v>
      </c>
      <c r="D50" s="477" t="s">
        <v>1664</v>
      </c>
      <c r="E50" s="71">
        <v>196875</v>
      </c>
      <c r="J50" s="71" t="s">
        <v>796</v>
      </c>
      <c r="K50" s="71" t="s">
        <v>796</v>
      </c>
      <c r="L50" s="71" t="s">
        <v>796</v>
      </c>
      <c r="M50" s="71" t="s">
        <v>296</v>
      </c>
      <c r="N50" s="71">
        <v>20.60802078</v>
      </c>
      <c r="O50" s="71">
        <v>93.035400390000007</v>
      </c>
      <c r="P50" s="71" t="s">
        <v>797</v>
      </c>
      <c r="Q50" s="71" t="s">
        <v>778</v>
      </c>
      <c r="R50" s="438"/>
      <c r="S50" s="104"/>
      <c r="T50" s="109"/>
      <c r="U50" s="105"/>
    </row>
    <row r="51" spans="1:23" s="71" customFormat="1" ht="14.25" customHeight="1">
      <c r="A51" s="439" t="s">
        <v>2687</v>
      </c>
      <c r="B51" s="435" t="s">
        <v>304</v>
      </c>
      <c r="C51" s="435" t="s">
        <v>697</v>
      </c>
      <c r="D51" s="477" t="s">
        <v>1664</v>
      </c>
      <c r="E51" s="435">
        <v>196971</v>
      </c>
      <c r="F51" s="435"/>
      <c r="G51" s="435"/>
      <c r="H51" s="435"/>
      <c r="I51" s="435"/>
      <c r="J51" s="435" t="s">
        <v>796</v>
      </c>
      <c r="K51" s="435" t="s">
        <v>796</v>
      </c>
      <c r="L51" s="435" t="s">
        <v>796</v>
      </c>
      <c r="M51" s="435" t="s">
        <v>296</v>
      </c>
      <c r="N51" s="435">
        <v>20.716699599999998</v>
      </c>
      <c r="O51" s="435">
        <v>92.997863769999995</v>
      </c>
      <c r="P51" s="435" t="s">
        <v>797</v>
      </c>
      <c r="Q51" s="435" t="s">
        <v>778</v>
      </c>
      <c r="R51" s="438"/>
      <c r="S51" s="439"/>
      <c r="T51" s="452"/>
      <c r="U51" s="440"/>
      <c r="V51" s="435"/>
      <c r="W51" s="435"/>
    </row>
    <row r="52" spans="1:23" s="71" customFormat="1" ht="14.25" customHeight="1">
      <c r="A52" s="569" t="s">
        <v>2687</v>
      </c>
      <c r="B52" s="561" t="s">
        <v>304</v>
      </c>
      <c r="C52" s="561" t="s">
        <v>918</v>
      </c>
      <c r="D52" s="477" t="s">
        <v>1664</v>
      </c>
      <c r="E52" s="435">
        <v>196926</v>
      </c>
      <c r="J52" s="561" t="s">
        <v>796</v>
      </c>
      <c r="K52" s="561" t="s">
        <v>796</v>
      </c>
      <c r="L52" s="561" t="s">
        <v>796</v>
      </c>
      <c r="M52" s="71" t="s">
        <v>296</v>
      </c>
      <c r="N52" s="71">
        <v>20.644800190000002</v>
      </c>
      <c r="O52" s="71">
        <v>92.945426940000004</v>
      </c>
      <c r="P52" s="71" t="s">
        <v>797</v>
      </c>
      <c r="R52" s="568"/>
      <c r="S52" s="439"/>
      <c r="T52" s="109"/>
      <c r="U52" s="570"/>
      <c r="V52" s="71" t="s">
        <v>918</v>
      </c>
      <c r="W52" s="561"/>
    </row>
    <row r="53" spans="1:23" s="71" customFormat="1" ht="14.25" customHeight="1">
      <c r="A53" s="569" t="s">
        <v>2687</v>
      </c>
      <c r="B53" s="561" t="s">
        <v>304</v>
      </c>
      <c r="C53" s="561" t="s">
        <v>612</v>
      </c>
      <c r="D53" s="477" t="s">
        <v>2763</v>
      </c>
      <c r="E53" s="71" t="s">
        <v>1406</v>
      </c>
      <c r="F53" s="71" t="s">
        <v>1760</v>
      </c>
      <c r="G53" s="71" t="s">
        <v>616</v>
      </c>
      <c r="J53" s="71" t="s">
        <v>796</v>
      </c>
      <c r="K53" s="71" t="s">
        <v>796</v>
      </c>
      <c r="L53" s="71" t="s">
        <v>881</v>
      </c>
      <c r="M53" s="71" t="s">
        <v>793</v>
      </c>
      <c r="N53" s="71">
        <v>20.805734000000001</v>
      </c>
      <c r="O53" s="71">
        <v>92.982675999999998</v>
      </c>
      <c r="P53" s="561" t="s">
        <v>797</v>
      </c>
      <c r="Q53" s="71" t="s">
        <v>778</v>
      </c>
      <c r="R53" s="568">
        <v>18</v>
      </c>
      <c r="S53" s="439">
        <v>157</v>
      </c>
      <c r="T53" s="109"/>
      <c r="U53" s="570"/>
      <c r="V53" s="71" t="s">
        <v>612</v>
      </c>
      <c r="W53" s="561"/>
    </row>
    <row r="54" spans="1:23" s="71" customFormat="1" ht="14.25" customHeight="1">
      <c r="A54" s="569" t="s">
        <v>2687</v>
      </c>
      <c r="B54" s="561" t="s">
        <v>304</v>
      </c>
      <c r="C54" s="561" t="s">
        <v>598</v>
      </c>
      <c r="D54" s="477" t="s">
        <v>1664</v>
      </c>
      <c r="E54" s="71">
        <v>196887</v>
      </c>
      <c r="J54" s="561" t="s">
        <v>796</v>
      </c>
      <c r="K54" s="561" t="s">
        <v>796</v>
      </c>
      <c r="L54" s="561" t="s">
        <v>796</v>
      </c>
      <c r="M54" s="71" t="s">
        <v>2006</v>
      </c>
      <c r="N54" s="71">
        <v>20.785770419999999</v>
      </c>
      <c r="O54" s="71">
        <v>92.931426999999999</v>
      </c>
      <c r="P54" s="71" t="s">
        <v>797</v>
      </c>
      <c r="Q54" s="71" t="s">
        <v>924</v>
      </c>
      <c r="R54" s="568"/>
      <c r="S54" s="439"/>
      <c r="T54" s="109">
        <v>43011</v>
      </c>
      <c r="U54" s="570" t="s">
        <v>925</v>
      </c>
      <c r="W54" s="561"/>
    </row>
    <row r="55" spans="1:23" s="71" customFormat="1" ht="14.25" customHeight="1">
      <c r="A55" s="569" t="s">
        <v>2687</v>
      </c>
      <c r="B55" s="572" t="s">
        <v>304</v>
      </c>
      <c r="C55" s="573" t="s">
        <v>3004</v>
      </c>
      <c r="D55" s="437"/>
      <c r="E55" s="561"/>
      <c r="F55" s="561"/>
      <c r="G55" s="561"/>
      <c r="H55" s="561"/>
      <c r="I55" s="561"/>
      <c r="J55" s="561" t="s">
        <v>796</v>
      </c>
      <c r="K55" s="561" t="s">
        <v>796</v>
      </c>
      <c r="L55" s="561" t="s">
        <v>796</v>
      </c>
      <c r="M55" s="561"/>
      <c r="N55" s="561"/>
      <c r="O55" s="561"/>
      <c r="P55" s="561" t="s">
        <v>797</v>
      </c>
      <c r="Q55" s="561" t="s">
        <v>3026</v>
      </c>
      <c r="R55" s="576"/>
      <c r="S55" s="569"/>
      <c r="T55" s="588">
        <v>43768</v>
      </c>
      <c r="U55" s="576"/>
      <c r="V55" s="561"/>
      <c r="W55" s="438"/>
    </row>
    <row r="56" spans="1:23" s="71" customFormat="1" ht="14.25" customHeight="1">
      <c r="A56" s="572" t="s">
        <v>2687</v>
      </c>
      <c r="B56" s="572" t="s">
        <v>304</v>
      </c>
      <c r="C56" s="573" t="s">
        <v>2808</v>
      </c>
      <c r="D56" s="437"/>
      <c r="E56" s="561" t="s">
        <v>2837</v>
      </c>
      <c r="F56" s="561"/>
      <c r="G56" s="561"/>
      <c r="H56" s="561"/>
      <c r="I56" s="561"/>
      <c r="J56" s="561" t="s">
        <v>2692</v>
      </c>
      <c r="K56" s="561" t="s">
        <v>2658</v>
      </c>
      <c r="L56" s="561" t="s">
        <v>2658</v>
      </c>
      <c r="M56" s="561"/>
      <c r="N56" s="561"/>
      <c r="O56" s="561"/>
      <c r="P56" s="561" t="s">
        <v>1989</v>
      </c>
      <c r="Q56" s="561"/>
      <c r="R56" s="576"/>
      <c r="S56" s="569"/>
      <c r="T56" s="588">
        <v>43591</v>
      </c>
      <c r="U56" s="576"/>
      <c r="V56" s="561"/>
      <c r="W56" s="438"/>
    </row>
    <row r="57" spans="1:23" s="71" customFormat="1" ht="14.25" customHeight="1">
      <c r="A57" s="439" t="s">
        <v>2687</v>
      </c>
      <c r="B57" s="561" t="s">
        <v>304</v>
      </c>
      <c r="C57" s="561" t="s">
        <v>557</v>
      </c>
      <c r="D57" s="477" t="s">
        <v>1664</v>
      </c>
      <c r="E57" s="561">
        <v>196944</v>
      </c>
      <c r="F57" s="561" t="s">
        <v>554</v>
      </c>
      <c r="G57" s="561"/>
      <c r="H57" s="561"/>
      <c r="I57" s="561"/>
      <c r="J57" s="561" t="s">
        <v>796</v>
      </c>
      <c r="K57" s="561" t="s">
        <v>796</v>
      </c>
      <c r="L57" s="561" t="s">
        <v>796</v>
      </c>
      <c r="M57" s="561" t="s">
        <v>296</v>
      </c>
      <c r="N57" s="561">
        <v>20.71134949</v>
      </c>
      <c r="O57" s="561">
        <v>92.980506899999995</v>
      </c>
      <c r="P57" s="561" t="s">
        <v>797</v>
      </c>
      <c r="Q57" s="561" t="s">
        <v>924</v>
      </c>
      <c r="R57" s="568"/>
      <c r="S57" s="569"/>
      <c r="T57" s="588">
        <v>43011</v>
      </c>
      <c r="U57" s="570" t="s">
        <v>925</v>
      </c>
      <c r="V57" s="561"/>
      <c r="W57" s="561"/>
    </row>
    <row r="58" spans="1:23" s="71" customFormat="1" ht="14.25" customHeight="1">
      <c r="A58" s="572" t="s">
        <v>2687</v>
      </c>
      <c r="B58" s="572" t="s">
        <v>304</v>
      </c>
      <c r="C58" s="573" t="s">
        <v>2805</v>
      </c>
      <c r="D58" s="567"/>
      <c r="E58" s="71">
        <v>220632</v>
      </c>
      <c r="J58" s="561" t="s">
        <v>2692</v>
      </c>
      <c r="K58" s="561" t="s">
        <v>2658</v>
      </c>
      <c r="L58" s="561" t="s">
        <v>2658</v>
      </c>
      <c r="N58" s="71">
        <v>20.746028900146499</v>
      </c>
      <c r="O58" s="71">
        <v>92.839714050292997</v>
      </c>
      <c r="P58" s="71" t="s">
        <v>1989</v>
      </c>
      <c r="R58" s="576"/>
      <c r="S58" s="104"/>
      <c r="T58" s="109">
        <v>43591</v>
      </c>
      <c r="U58" s="576"/>
      <c r="W58" s="568"/>
    </row>
    <row r="59" spans="1:23" s="71" customFormat="1" ht="14.25" customHeight="1">
      <c r="A59" s="569" t="s">
        <v>2687</v>
      </c>
      <c r="B59" s="198" t="s">
        <v>304</v>
      </c>
      <c r="C59" s="199" t="s">
        <v>693</v>
      </c>
      <c r="D59" s="567" t="s">
        <v>1664</v>
      </c>
      <c r="E59" s="194">
        <v>196884</v>
      </c>
      <c r="F59" s="194"/>
      <c r="G59" s="194"/>
      <c r="H59" s="194"/>
      <c r="I59" s="194"/>
      <c r="J59" s="71" t="s">
        <v>796</v>
      </c>
      <c r="K59" s="71" t="s">
        <v>796</v>
      </c>
      <c r="L59" s="71" t="s">
        <v>796</v>
      </c>
      <c r="M59" s="194" t="s">
        <v>296</v>
      </c>
      <c r="N59" s="194">
        <v>20.786739350000001</v>
      </c>
      <c r="O59" s="194">
        <v>92.944313050000005</v>
      </c>
      <c r="P59" s="71" t="s">
        <v>797</v>
      </c>
      <c r="Q59" s="194" t="s">
        <v>778</v>
      </c>
      <c r="R59" s="195"/>
      <c r="S59" s="193"/>
      <c r="T59" s="196"/>
      <c r="U59" s="197"/>
      <c r="V59" s="194"/>
      <c r="W59" s="568"/>
    </row>
    <row r="60" spans="1:23" s="71" customFormat="1" ht="14.25" customHeight="1">
      <c r="A60" s="439" t="s">
        <v>2687</v>
      </c>
      <c r="B60" s="190" t="s">
        <v>304</v>
      </c>
      <c r="C60" s="191" t="s">
        <v>2247</v>
      </c>
      <c r="D60" s="437"/>
      <c r="E60" s="186">
        <v>196813</v>
      </c>
      <c r="F60" s="186" t="s">
        <v>2247</v>
      </c>
      <c r="G60" s="186"/>
      <c r="H60" s="186"/>
      <c r="I60" s="186"/>
      <c r="J60" s="186" t="s">
        <v>796</v>
      </c>
      <c r="K60" s="186" t="s">
        <v>796</v>
      </c>
      <c r="L60" s="186" t="s">
        <v>796</v>
      </c>
      <c r="M60" s="186"/>
      <c r="N60" s="186">
        <v>20.883239750000001</v>
      </c>
      <c r="O60" s="186">
        <v>92.936859130000002</v>
      </c>
      <c r="P60" s="186" t="s">
        <v>797</v>
      </c>
      <c r="Q60" s="186"/>
      <c r="R60" s="187"/>
      <c r="S60" s="185"/>
      <c r="T60" s="188"/>
      <c r="U60" s="189"/>
      <c r="V60" s="186" t="s">
        <v>2240</v>
      </c>
      <c r="W60" s="568"/>
    </row>
    <row r="61" spans="1:23" s="71" customFormat="1" ht="14.25" customHeight="1">
      <c r="A61" s="439" t="s">
        <v>2687</v>
      </c>
      <c r="B61" s="435" t="s">
        <v>304</v>
      </c>
      <c r="C61" s="435" t="s">
        <v>618</v>
      </c>
      <c r="D61" s="477" t="s">
        <v>1664</v>
      </c>
      <c r="E61" s="71">
        <v>196881</v>
      </c>
      <c r="J61" s="71" t="s">
        <v>796</v>
      </c>
      <c r="K61" s="71" t="s">
        <v>796</v>
      </c>
      <c r="L61" s="71" t="s">
        <v>796</v>
      </c>
      <c r="M61" s="71" t="s">
        <v>2006</v>
      </c>
      <c r="N61" s="71">
        <v>20.809240339999999</v>
      </c>
      <c r="O61" s="435">
        <v>92.923919679999997</v>
      </c>
      <c r="P61" s="71" t="s">
        <v>797</v>
      </c>
      <c r="Q61" s="71" t="s">
        <v>924</v>
      </c>
      <c r="R61" s="438"/>
      <c r="S61" s="439"/>
      <c r="T61" s="109">
        <v>43011</v>
      </c>
      <c r="U61" s="105" t="s">
        <v>925</v>
      </c>
    </row>
    <row r="62" spans="1:23" s="71" customFormat="1" ht="14.25" customHeight="1">
      <c r="A62" s="569" t="s">
        <v>2687</v>
      </c>
      <c r="B62" s="561" t="s">
        <v>304</v>
      </c>
      <c r="C62" s="561" t="s">
        <v>941</v>
      </c>
      <c r="D62" s="477" t="s">
        <v>2763</v>
      </c>
      <c r="E62" s="71" t="s">
        <v>1413</v>
      </c>
      <c r="F62" s="71" t="s">
        <v>1762</v>
      </c>
      <c r="G62" s="71" t="s">
        <v>942</v>
      </c>
      <c r="H62" s="71" t="s">
        <v>41</v>
      </c>
      <c r="J62" s="71" t="s">
        <v>43</v>
      </c>
      <c r="K62" s="71" t="s">
        <v>43</v>
      </c>
      <c r="L62" s="71" t="s">
        <v>795</v>
      </c>
      <c r="M62" s="71" t="s">
        <v>793</v>
      </c>
      <c r="N62" s="71">
        <v>20.865687000000001</v>
      </c>
      <c r="O62" s="71">
        <v>92.965980999999999</v>
      </c>
      <c r="P62" s="561" t="s">
        <v>759</v>
      </c>
      <c r="Q62" s="71" t="s">
        <v>778</v>
      </c>
      <c r="R62" s="568">
        <v>85</v>
      </c>
      <c r="S62" s="439">
        <v>546</v>
      </c>
      <c r="T62" s="109"/>
      <c r="U62" s="570"/>
      <c r="V62" s="71" t="s">
        <v>942</v>
      </c>
      <c r="W62" s="561"/>
    </row>
    <row r="63" spans="1:23" s="71" customFormat="1" ht="14.25" customHeight="1">
      <c r="A63" s="439" t="s">
        <v>2687</v>
      </c>
      <c r="B63" s="572" t="s">
        <v>304</v>
      </c>
      <c r="C63" s="573" t="s">
        <v>3012</v>
      </c>
      <c r="D63" s="437"/>
      <c r="E63" s="561"/>
      <c r="F63" s="561"/>
      <c r="G63" s="561"/>
      <c r="H63" s="561"/>
      <c r="I63" s="561"/>
      <c r="J63" s="561" t="s">
        <v>796</v>
      </c>
      <c r="K63" s="561" t="s">
        <v>796</v>
      </c>
      <c r="L63" s="561" t="s">
        <v>796</v>
      </c>
      <c r="M63" s="561"/>
      <c r="N63" s="561"/>
      <c r="O63" s="561"/>
      <c r="P63" s="561" t="s">
        <v>797</v>
      </c>
      <c r="Q63" s="561" t="s">
        <v>3026</v>
      </c>
      <c r="R63" s="576"/>
      <c r="S63" s="569"/>
      <c r="T63" s="588">
        <v>43768</v>
      </c>
      <c r="U63" s="576"/>
      <c r="V63" s="561"/>
      <c r="W63" s="438"/>
    </row>
    <row r="64" spans="1:23" s="71" customFormat="1" ht="14.25" customHeight="1">
      <c r="A64" s="439" t="s">
        <v>2687</v>
      </c>
      <c r="B64" s="177" t="s">
        <v>304</v>
      </c>
      <c r="C64" s="177" t="s">
        <v>538</v>
      </c>
      <c r="D64" s="567" t="s">
        <v>1664</v>
      </c>
      <c r="E64" s="173">
        <v>196930</v>
      </c>
      <c r="F64" s="173"/>
      <c r="G64" s="173"/>
      <c r="H64" s="173"/>
      <c r="I64" s="173"/>
      <c r="J64" s="71" t="s">
        <v>796</v>
      </c>
      <c r="K64" s="71" t="s">
        <v>796</v>
      </c>
      <c r="L64" s="71" t="s">
        <v>796</v>
      </c>
      <c r="M64" s="173" t="s">
        <v>2005</v>
      </c>
      <c r="N64" s="173">
        <v>20.681715010000001</v>
      </c>
      <c r="O64" s="173">
        <v>92.94140625</v>
      </c>
      <c r="P64" s="71" t="s">
        <v>797</v>
      </c>
      <c r="Q64" s="173" t="s">
        <v>924</v>
      </c>
      <c r="R64" s="174"/>
      <c r="S64" s="172"/>
      <c r="T64" s="175">
        <v>43011</v>
      </c>
      <c r="U64" s="176" t="s">
        <v>925</v>
      </c>
      <c r="V64" s="173"/>
      <c r="W64" s="435"/>
    </row>
    <row r="65" spans="1:23" s="71" customFormat="1" ht="14.25" customHeight="1">
      <c r="A65" s="439" t="s">
        <v>2687</v>
      </c>
      <c r="B65" s="561" t="s">
        <v>304</v>
      </c>
      <c r="C65" s="561" t="s">
        <v>658</v>
      </c>
      <c r="D65" s="477" t="s">
        <v>1664</v>
      </c>
      <c r="E65" s="571">
        <v>196787</v>
      </c>
      <c r="F65" s="571"/>
      <c r="J65" s="561" t="s">
        <v>796</v>
      </c>
      <c r="K65" s="71" t="s">
        <v>796</v>
      </c>
      <c r="L65" s="561" t="s">
        <v>796</v>
      </c>
      <c r="M65" s="71" t="s">
        <v>793</v>
      </c>
      <c r="N65" s="71">
        <v>20.90377045</v>
      </c>
      <c r="O65" s="71">
        <v>93.004432679999994</v>
      </c>
      <c r="P65" s="71" t="s">
        <v>797</v>
      </c>
      <c r="Q65" s="71" t="s">
        <v>778</v>
      </c>
      <c r="R65" s="568"/>
      <c r="S65" s="439"/>
      <c r="T65" s="109"/>
      <c r="U65" s="105"/>
      <c r="V65" s="71" t="s">
        <v>658</v>
      </c>
      <c r="W65" s="435"/>
    </row>
    <row r="66" spans="1:23" s="71" customFormat="1" ht="14.25" customHeight="1">
      <c r="A66" s="572" t="s">
        <v>2687</v>
      </c>
      <c r="B66" s="442" t="s">
        <v>304</v>
      </c>
      <c r="C66" s="443" t="s">
        <v>2809</v>
      </c>
      <c r="D66" s="437"/>
      <c r="E66" s="435" t="s">
        <v>2838</v>
      </c>
      <c r="F66" s="435"/>
      <c r="G66" s="435"/>
      <c r="H66" s="435"/>
      <c r="I66" s="435"/>
      <c r="J66" s="561" t="s">
        <v>2692</v>
      </c>
      <c r="K66" s="561" t="s">
        <v>2658</v>
      </c>
      <c r="L66" s="561" t="s">
        <v>2658</v>
      </c>
      <c r="N66" s="435"/>
      <c r="O66" s="435"/>
      <c r="P66" s="71" t="s">
        <v>1989</v>
      </c>
      <c r="R66" s="445"/>
      <c r="S66" s="104"/>
      <c r="T66" s="109">
        <v>43591</v>
      </c>
      <c r="U66" s="576"/>
      <c r="W66" s="568"/>
    </row>
    <row r="67" spans="1:23" s="71" customFormat="1" ht="14.25" customHeight="1">
      <c r="A67" s="439" t="s">
        <v>2687</v>
      </c>
      <c r="B67" s="190" t="s">
        <v>304</v>
      </c>
      <c r="C67" s="191" t="s">
        <v>335</v>
      </c>
      <c r="D67" s="437" t="s">
        <v>1664</v>
      </c>
      <c r="E67" s="186"/>
      <c r="F67" s="186"/>
      <c r="G67" s="186"/>
      <c r="H67" s="186"/>
      <c r="I67" s="186"/>
      <c r="J67" s="71" t="s">
        <v>796</v>
      </c>
      <c r="K67" s="186" t="s">
        <v>796</v>
      </c>
      <c r="L67" s="435" t="s">
        <v>796</v>
      </c>
      <c r="M67" s="186" t="s">
        <v>2006</v>
      </c>
      <c r="N67" s="186"/>
      <c r="O67" s="186"/>
      <c r="P67" s="71" t="s">
        <v>797</v>
      </c>
      <c r="Q67" s="186" t="s">
        <v>924</v>
      </c>
      <c r="R67" s="187"/>
      <c r="S67" s="185"/>
      <c r="T67" s="188">
        <v>43011</v>
      </c>
      <c r="U67" s="189" t="s">
        <v>925</v>
      </c>
      <c r="V67" s="186"/>
      <c r="W67" s="568"/>
    </row>
    <row r="68" spans="1:23" s="71" customFormat="1" ht="14.25" customHeight="1">
      <c r="A68" s="439" t="s">
        <v>2687</v>
      </c>
      <c r="B68" s="561" t="s">
        <v>304</v>
      </c>
      <c r="C68" s="561" t="s">
        <v>1132</v>
      </c>
      <c r="D68" s="477" t="s">
        <v>1664</v>
      </c>
      <c r="E68" s="71">
        <v>196759</v>
      </c>
      <c r="J68" s="71" t="s">
        <v>796</v>
      </c>
      <c r="K68" s="71" t="s">
        <v>796</v>
      </c>
      <c r="L68" s="71" t="s">
        <v>796</v>
      </c>
      <c r="M68" s="71" t="s">
        <v>2006</v>
      </c>
      <c r="P68" s="71" t="s">
        <v>797</v>
      </c>
      <c r="R68" s="568"/>
      <c r="S68" s="104"/>
      <c r="T68" s="109"/>
      <c r="U68" s="105"/>
      <c r="V68" s="71" t="s">
        <v>1132</v>
      </c>
    </row>
    <row r="69" spans="1:23" s="71" customFormat="1" ht="14.25" customHeight="1">
      <c r="A69" s="439" t="s">
        <v>2687</v>
      </c>
      <c r="B69" s="442" t="s">
        <v>304</v>
      </c>
      <c r="C69" s="443" t="s">
        <v>2004</v>
      </c>
      <c r="D69" s="437" t="s">
        <v>1664</v>
      </c>
      <c r="E69" s="609">
        <v>196821</v>
      </c>
      <c r="F69" s="594" t="s">
        <v>2968</v>
      </c>
      <c r="G69" s="435"/>
      <c r="H69" s="435"/>
      <c r="I69" s="435"/>
      <c r="J69" s="561" t="s">
        <v>796</v>
      </c>
      <c r="K69" s="561" t="s">
        <v>796</v>
      </c>
      <c r="L69" s="561" t="s">
        <v>796</v>
      </c>
      <c r="M69" s="435" t="s">
        <v>296</v>
      </c>
      <c r="N69" s="435">
        <v>20.879186630248999</v>
      </c>
      <c r="O69" s="435">
        <v>92.938163757324205</v>
      </c>
      <c r="P69" s="435" t="s">
        <v>797</v>
      </c>
      <c r="Q69" s="435" t="s">
        <v>924</v>
      </c>
      <c r="R69" s="445"/>
      <c r="S69" s="439"/>
      <c r="T69" s="452">
        <v>43011</v>
      </c>
      <c r="U69" s="440" t="s">
        <v>925</v>
      </c>
      <c r="V69" s="435"/>
      <c r="W69" s="435"/>
    </row>
    <row r="70" spans="1:23" s="71" customFormat="1" ht="14.25" customHeight="1">
      <c r="A70" s="439" t="s">
        <v>2687</v>
      </c>
      <c r="B70" s="572" t="s">
        <v>304</v>
      </c>
      <c r="C70" s="573" t="s">
        <v>338</v>
      </c>
      <c r="D70" s="567" t="s">
        <v>1664</v>
      </c>
      <c r="E70" s="435">
        <v>196815</v>
      </c>
      <c r="F70" s="435"/>
      <c r="G70" s="435"/>
      <c r="H70" s="435"/>
      <c r="I70" s="435"/>
      <c r="J70" s="435" t="s">
        <v>796</v>
      </c>
      <c r="K70" s="435" t="s">
        <v>796</v>
      </c>
      <c r="L70" s="435" t="s">
        <v>796</v>
      </c>
      <c r="M70" s="435" t="s">
        <v>2003</v>
      </c>
      <c r="N70" s="435"/>
      <c r="O70" s="435"/>
      <c r="P70" s="435" t="s">
        <v>797</v>
      </c>
      <c r="Q70" s="435" t="s">
        <v>924</v>
      </c>
      <c r="R70" s="576"/>
      <c r="S70" s="439"/>
      <c r="T70" s="452">
        <v>43011</v>
      </c>
      <c r="U70" s="440" t="s">
        <v>925</v>
      </c>
      <c r="V70" s="435"/>
      <c r="W70" s="435"/>
    </row>
    <row r="71" spans="1:23" s="71" customFormat="1" ht="14.25" customHeight="1">
      <c r="A71" s="439" t="s">
        <v>2687</v>
      </c>
      <c r="B71" s="572" t="s">
        <v>304</v>
      </c>
      <c r="C71" s="573" t="s">
        <v>2251</v>
      </c>
      <c r="D71" s="567"/>
      <c r="E71" s="71">
        <v>196889</v>
      </c>
      <c r="J71" s="561" t="s">
        <v>796</v>
      </c>
      <c r="K71" s="561" t="s">
        <v>796</v>
      </c>
      <c r="L71" s="561" t="s">
        <v>796</v>
      </c>
      <c r="N71" s="561">
        <v>20.785549159999999</v>
      </c>
      <c r="O71" s="561">
        <v>92.971076969999999</v>
      </c>
      <c r="P71" s="71" t="s">
        <v>797</v>
      </c>
      <c r="R71" s="576"/>
      <c r="S71" s="439"/>
      <c r="T71" s="109"/>
      <c r="U71" s="105"/>
      <c r="V71" s="71" t="s">
        <v>2244</v>
      </c>
    </row>
    <row r="72" spans="1:23" s="71" customFormat="1" ht="14.25" customHeight="1">
      <c r="A72" s="439" t="s">
        <v>2687</v>
      </c>
      <c r="B72" s="572" t="s">
        <v>304</v>
      </c>
      <c r="C72" s="573" t="s">
        <v>2306</v>
      </c>
      <c r="D72" s="567"/>
      <c r="E72" s="435">
        <v>196939</v>
      </c>
      <c r="F72" s="435" t="s">
        <v>2301</v>
      </c>
      <c r="G72" s="435"/>
      <c r="H72" s="435"/>
      <c r="I72" s="435"/>
      <c r="J72" s="71" t="s">
        <v>796</v>
      </c>
      <c r="K72" s="71" t="s">
        <v>796</v>
      </c>
      <c r="L72" s="435" t="s">
        <v>796</v>
      </c>
      <c r="M72" s="435"/>
      <c r="N72" s="435">
        <v>20.648920059999998</v>
      </c>
      <c r="O72" s="435">
        <v>92.967460630000005</v>
      </c>
      <c r="P72" s="435" t="s">
        <v>797</v>
      </c>
      <c r="Q72" s="435" t="s">
        <v>2260</v>
      </c>
      <c r="R72" s="576"/>
      <c r="S72" s="439"/>
      <c r="T72" s="452">
        <v>43465</v>
      </c>
      <c r="U72" s="440" t="s">
        <v>2303</v>
      </c>
      <c r="V72" s="435" t="s">
        <v>2300</v>
      </c>
      <c r="W72" s="435"/>
    </row>
    <row r="73" spans="1:23" s="71" customFormat="1" ht="14.25" customHeight="1">
      <c r="A73" s="439" t="s">
        <v>2687</v>
      </c>
      <c r="B73" s="572" t="s">
        <v>304</v>
      </c>
      <c r="C73" s="573" t="s">
        <v>655</v>
      </c>
      <c r="D73" s="567" t="s">
        <v>1664</v>
      </c>
      <c r="E73" s="71">
        <v>196814</v>
      </c>
      <c r="J73" s="71" t="s">
        <v>796</v>
      </c>
      <c r="K73" s="71" t="s">
        <v>796</v>
      </c>
      <c r="L73" s="71" t="s">
        <v>796</v>
      </c>
      <c r="M73" s="71" t="s">
        <v>296</v>
      </c>
      <c r="N73" s="71">
        <v>20.894269940000001</v>
      </c>
      <c r="O73" s="71">
        <v>92.920730590000005</v>
      </c>
      <c r="P73" s="71" t="s">
        <v>797</v>
      </c>
      <c r="Q73" s="71" t="s">
        <v>924</v>
      </c>
      <c r="R73" s="576"/>
      <c r="S73" s="569"/>
      <c r="T73" s="109">
        <v>43011</v>
      </c>
      <c r="U73" s="105" t="s">
        <v>925</v>
      </c>
      <c r="W73" s="435"/>
    </row>
    <row r="74" spans="1:23" s="71" customFormat="1" ht="14.25" customHeight="1">
      <c r="A74" s="439" t="s">
        <v>2687</v>
      </c>
      <c r="B74" s="561" t="s">
        <v>304</v>
      </c>
      <c r="C74" s="561" t="s">
        <v>2238</v>
      </c>
      <c r="D74" s="477"/>
      <c r="J74" s="71" t="s">
        <v>796</v>
      </c>
      <c r="K74" s="71" t="s">
        <v>796</v>
      </c>
      <c r="L74" s="71" t="s">
        <v>796</v>
      </c>
      <c r="N74" s="71">
        <v>20.889249800000002</v>
      </c>
      <c r="O74" s="71">
        <v>92.939201350000005</v>
      </c>
      <c r="P74" s="71" t="s">
        <v>797</v>
      </c>
      <c r="R74" s="438"/>
      <c r="S74" s="104"/>
      <c r="T74" s="109"/>
      <c r="U74" s="105"/>
      <c r="V74" s="71" t="s">
        <v>2238</v>
      </c>
      <c r="W74" s="435"/>
    </row>
    <row r="75" spans="1:23" s="71" customFormat="1" ht="14.25" customHeight="1">
      <c r="A75" s="439" t="s">
        <v>2687</v>
      </c>
      <c r="B75" s="561" t="s">
        <v>304</v>
      </c>
      <c r="C75" s="561" t="s">
        <v>696</v>
      </c>
      <c r="D75" s="477" t="s">
        <v>1664</v>
      </c>
      <c r="E75" s="71">
        <v>196929</v>
      </c>
      <c r="J75" s="71" t="s">
        <v>796</v>
      </c>
      <c r="K75" s="71" t="s">
        <v>796</v>
      </c>
      <c r="L75" s="71" t="s">
        <v>796</v>
      </c>
      <c r="M75" s="71" t="s">
        <v>296</v>
      </c>
      <c r="N75" s="580">
        <v>20.67705917</v>
      </c>
      <c r="O75" s="580">
        <v>92.953247070000003</v>
      </c>
      <c r="P75" s="71" t="s">
        <v>797</v>
      </c>
      <c r="Q75" s="71" t="s">
        <v>778</v>
      </c>
      <c r="R75" s="568"/>
      <c r="S75" s="439"/>
      <c r="T75" s="109"/>
      <c r="U75" s="105"/>
    </row>
    <row r="76" spans="1:23" s="71" customFormat="1" ht="14.25" customHeight="1">
      <c r="A76" s="439" t="s">
        <v>2687</v>
      </c>
      <c r="B76" s="561" t="s">
        <v>304</v>
      </c>
      <c r="C76" s="561" t="s">
        <v>695</v>
      </c>
      <c r="D76" s="477" t="s">
        <v>1664</v>
      </c>
      <c r="E76" s="435">
        <v>196927</v>
      </c>
      <c r="F76" s="435" t="s">
        <v>695</v>
      </c>
      <c r="G76" s="435"/>
      <c r="H76" s="435"/>
      <c r="I76" s="435"/>
      <c r="J76" s="561" t="s">
        <v>796</v>
      </c>
      <c r="K76" s="561" t="s">
        <v>796</v>
      </c>
      <c r="L76" s="561" t="s">
        <v>796</v>
      </c>
      <c r="M76" s="435" t="s">
        <v>296</v>
      </c>
      <c r="N76" s="435">
        <v>20.697889329999999</v>
      </c>
      <c r="O76" s="561">
        <v>92.951232910000002</v>
      </c>
      <c r="P76" s="435" t="s">
        <v>797</v>
      </c>
      <c r="Q76" s="435" t="s">
        <v>778</v>
      </c>
      <c r="R76" s="568"/>
      <c r="S76" s="439"/>
      <c r="T76" s="452">
        <v>43465</v>
      </c>
      <c r="U76" s="440" t="s">
        <v>2303</v>
      </c>
      <c r="V76" s="435" t="s">
        <v>2302</v>
      </c>
      <c r="W76" s="435"/>
    </row>
    <row r="77" spans="1:23" s="71" customFormat="1" ht="14.25" customHeight="1">
      <c r="A77" s="439" t="s">
        <v>2687</v>
      </c>
      <c r="B77" s="566" t="s">
        <v>304</v>
      </c>
      <c r="C77" s="566" t="s">
        <v>2248</v>
      </c>
      <c r="D77" s="477"/>
      <c r="E77" s="71">
        <v>220647</v>
      </c>
      <c r="J77" s="71" t="s">
        <v>796</v>
      </c>
      <c r="K77" s="435" t="s">
        <v>796</v>
      </c>
      <c r="L77" s="435" t="s">
        <v>796</v>
      </c>
      <c r="P77" s="71" t="s">
        <v>797</v>
      </c>
      <c r="R77" s="572"/>
      <c r="S77" s="573"/>
      <c r="T77" s="109"/>
      <c r="U77" s="105"/>
      <c r="V77" s="71" t="s">
        <v>2241</v>
      </c>
      <c r="W77" s="435"/>
    </row>
    <row r="78" spans="1:23" s="71" customFormat="1" ht="14.25" customHeight="1">
      <c r="A78" s="439" t="s">
        <v>2687</v>
      </c>
      <c r="B78" s="436" t="s">
        <v>304</v>
      </c>
      <c r="C78" s="436" t="s">
        <v>2249</v>
      </c>
      <c r="D78" s="477"/>
      <c r="E78" s="71">
        <v>196755</v>
      </c>
      <c r="J78" s="71" t="s">
        <v>796</v>
      </c>
      <c r="K78" s="435" t="s">
        <v>796</v>
      </c>
      <c r="L78" s="435" t="s">
        <v>796</v>
      </c>
      <c r="N78" s="561">
        <v>20.932960510000001</v>
      </c>
      <c r="O78" s="561">
        <v>92.930267330000007</v>
      </c>
      <c r="P78" s="71" t="s">
        <v>797</v>
      </c>
      <c r="R78" s="438"/>
      <c r="S78" s="439"/>
      <c r="T78" s="109"/>
      <c r="U78" s="105"/>
      <c r="V78" s="71" t="s">
        <v>2242</v>
      </c>
    </row>
    <row r="79" spans="1:23" s="71" customFormat="1" ht="14.25" customHeight="1">
      <c r="A79" s="439" t="s">
        <v>2687</v>
      </c>
      <c r="B79" s="442" t="s">
        <v>304</v>
      </c>
      <c r="C79" s="443" t="s">
        <v>345</v>
      </c>
      <c r="D79" s="567" t="s">
        <v>1664</v>
      </c>
      <c r="J79" s="71" t="s">
        <v>796</v>
      </c>
      <c r="K79" s="71" t="s">
        <v>796</v>
      </c>
      <c r="L79" s="71" t="s">
        <v>796</v>
      </c>
      <c r="M79" s="71" t="s">
        <v>296</v>
      </c>
      <c r="P79" s="71" t="s">
        <v>797</v>
      </c>
      <c r="Q79" s="71" t="s">
        <v>778</v>
      </c>
      <c r="R79" s="576"/>
      <c r="S79" s="104"/>
      <c r="T79" s="109"/>
      <c r="U79" s="105"/>
    </row>
    <row r="80" spans="1:23" s="71" customFormat="1" ht="14.25" customHeight="1">
      <c r="A80" s="439" t="s">
        <v>2687</v>
      </c>
      <c r="B80" s="572" t="s">
        <v>304</v>
      </c>
      <c r="C80" s="573" t="s">
        <v>632</v>
      </c>
      <c r="D80" s="567" t="s">
        <v>1664</v>
      </c>
      <c r="E80" s="71">
        <v>196880</v>
      </c>
      <c r="J80" s="561" t="s">
        <v>796</v>
      </c>
      <c r="K80" s="561" t="s">
        <v>796</v>
      </c>
      <c r="L80" s="561" t="s">
        <v>796</v>
      </c>
      <c r="M80" s="71" t="s">
        <v>2006</v>
      </c>
      <c r="N80" s="71">
        <v>20.831729889999998</v>
      </c>
      <c r="O80" s="566">
        <v>92.919639590000003</v>
      </c>
      <c r="P80" s="71" t="s">
        <v>797</v>
      </c>
      <c r="Q80" s="71" t="s">
        <v>924</v>
      </c>
      <c r="R80" s="576"/>
      <c r="S80" s="104"/>
      <c r="T80" s="109">
        <v>43011</v>
      </c>
      <c r="U80" s="105" t="s">
        <v>925</v>
      </c>
      <c r="W80" s="435"/>
    </row>
    <row r="81" spans="1:23" s="71" customFormat="1" ht="14.25" customHeight="1">
      <c r="A81" s="439" t="s">
        <v>2687</v>
      </c>
      <c r="B81" s="572" t="s">
        <v>304</v>
      </c>
      <c r="C81" s="573" t="s">
        <v>595</v>
      </c>
      <c r="D81" s="477" t="s">
        <v>2763</v>
      </c>
      <c r="E81" s="71" t="s">
        <v>1405</v>
      </c>
      <c r="F81" s="71" t="s">
        <v>1758</v>
      </c>
      <c r="G81" s="71" t="s">
        <v>1759</v>
      </c>
      <c r="J81" s="561" t="s">
        <v>796</v>
      </c>
      <c r="K81" s="71" t="s">
        <v>796</v>
      </c>
      <c r="L81" s="561" t="s">
        <v>881</v>
      </c>
      <c r="M81" s="71" t="s">
        <v>793</v>
      </c>
      <c r="N81" s="71">
        <v>20.78332</v>
      </c>
      <c r="O81" s="71">
        <v>92.987399999999994</v>
      </c>
      <c r="P81" s="71" t="s">
        <v>797</v>
      </c>
      <c r="Q81" s="71" t="s">
        <v>778</v>
      </c>
      <c r="R81" s="438">
        <v>144</v>
      </c>
      <c r="S81" s="104">
        <v>1006</v>
      </c>
      <c r="T81" s="109"/>
      <c r="U81" s="105"/>
      <c r="V81" s="71" t="s">
        <v>595</v>
      </c>
    </row>
    <row r="82" spans="1:23" s="71" customFormat="1" ht="14.25" customHeight="1">
      <c r="A82" s="439" t="s">
        <v>2687</v>
      </c>
      <c r="B82" s="566" t="s">
        <v>304</v>
      </c>
      <c r="C82" s="566" t="s">
        <v>597</v>
      </c>
      <c r="D82" s="477" t="s">
        <v>1664</v>
      </c>
      <c r="E82" s="71">
        <v>196869</v>
      </c>
      <c r="J82" s="561" t="s">
        <v>796</v>
      </c>
      <c r="K82" s="71" t="s">
        <v>796</v>
      </c>
      <c r="L82" s="561" t="s">
        <v>796</v>
      </c>
      <c r="M82" s="71" t="s">
        <v>296</v>
      </c>
      <c r="N82" s="580">
        <v>20.785699839999999</v>
      </c>
      <c r="O82" s="580">
        <v>92.986633299999994</v>
      </c>
      <c r="P82" s="71" t="s">
        <v>797</v>
      </c>
      <c r="Q82" s="71" t="s">
        <v>778</v>
      </c>
      <c r="R82" s="568"/>
      <c r="S82" s="439"/>
      <c r="T82" s="109"/>
      <c r="U82" s="105"/>
      <c r="V82" s="71" t="s">
        <v>597</v>
      </c>
    </row>
    <row r="83" spans="1:23" s="71" customFormat="1" ht="14.25" customHeight="1">
      <c r="A83" s="439" t="s">
        <v>2687</v>
      </c>
      <c r="B83" s="442" t="s">
        <v>304</v>
      </c>
      <c r="C83" s="443" t="s">
        <v>948</v>
      </c>
      <c r="D83" s="477" t="s">
        <v>2763</v>
      </c>
      <c r="E83" s="71" t="s">
        <v>1417</v>
      </c>
      <c r="F83" s="71" t="s">
        <v>1869</v>
      </c>
      <c r="G83" s="71" t="s">
        <v>1870</v>
      </c>
      <c r="J83" s="71" t="s">
        <v>796</v>
      </c>
      <c r="K83" s="71" t="s">
        <v>796</v>
      </c>
      <c r="L83" s="71" t="s">
        <v>881</v>
      </c>
      <c r="M83" s="71" t="s">
        <v>793</v>
      </c>
      <c r="N83" s="71">
        <v>20.929649000000001</v>
      </c>
      <c r="O83" s="71">
        <v>93.000815000000003</v>
      </c>
      <c r="P83" s="561" t="s">
        <v>797</v>
      </c>
      <c r="R83" s="568">
        <v>63</v>
      </c>
      <c r="S83" s="439">
        <v>414</v>
      </c>
      <c r="T83" s="109"/>
      <c r="U83" s="570" t="s">
        <v>858</v>
      </c>
      <c r="V83" s="71" t="s">
        <v>948</v>
      </c>
      <c r="W83" s="561"/>
    </row>
    <row r="84" spans="1:23" s="71" customFormat="1" ht="14.25" customHeight="1">
      <c r="A84" s="439" t="s">
        <v>2687</v>
      </c>
      <c r="B84" s="436" t="s">
        <v>304</v>
      </c>
      <c r="C84" s="436" t="s">
        <v>692</v>
      </c>
      <c r="D84" s="477" t="s">
        <v>1664</v>
      </c>
      <c r="E84" s="71">
        <v>196823</v>
      </c>
      <c r="F84" s="571"/>
      <c r="J84" s="71" t="s">
        <v>796</v>
      </c>
      <c r="K84" s="71" t="s">
        <v>796</v>
      </c>
      <c r="L84" s="71" t="s">
        <v>796</v>
      </c>
      <c r="M84" s="71" t="s">
        <v>793</v>
      </c>
      <c r="N84" s="71">
        <v>20.85956955</v>
      </c>
      <c r="O84" s="71">
        <v>92.941146849999996</v>
      </c>
      <c r="P84" s="71" t="s">
        <v>797</v>
      </c>
      <c r="Q84" s="71" t="s">
        <v>778</v>
      </c>
      <c r="R84" s="438"/>
      <c r="S84" s="439"/>
      <c r="T84" s="109"/>
      <c r="U84" s="105"/>
      <c r="W84" s="435"/>
    </row>
    <row r="85" spans="1:23" s="71" customFormat="1" ht="14.25" customHeight="1">
      <c r="A85" s="439" t="s">
        <v>2687</v>
      </c>
      <c r="B85" s="566" t="s">
        <v>304</v>
      </c>
      <c r="C85" s="566" t="s">
        <v>640</v>
      </c>
      <c r="D85" s="477" t="s">
        <v>1664</v>
      </c>
      <c r="E85" s="561">
        <v>196817</v>
      </c>
      <c r="F85" s="561"/>
      <c r="G85" s="561"/>
      <c r="H85" s="561"/>
      <c r="I85" s="561"/>
      <c r="J85" s="71" t="s">
        <v>796</v>
      </c>
      <c r="K85" s="71" t="s">
        <v>796</v>
      </c>
      <c r="L85" s="561" t="s">
        <v>796</v>
      </c>
      <c r="M85" s="561" t="s">
        <v>793</v>
      </c>
      <c r="N85" s="561">
        <v>20.864519120000001</v>
      </c>
      <c r="O85" s="561">
        <v>92.940399170000006</v>
      </c>
      <c r="P85" s="561" t="s">
        <v>797</v>
      </c>
      <c r="Q85" s="561" t="s">
        <v>924</v>
      </c>
      <c r="R85" s="568"/>
      <c r="S85" s="569"/>
      <c r="T85" s="588">
        <v>43011</v>
      </c>
      <c r="U85" s="570" t="s">
        <v>925</v>
      </c>
      <c r="V85" s="561"/>
      <c r="W85" s="561"/>
    </row>
    <row r="86" spans="1:23" s="71" customFormat="1" ht="14.25" customHeight="1">
      <c r="A86" s="439" t="s">
        <v>2687</v>
      </c>
      <c r="B86" s="442" t="s">
        <v>304</v>
      </c>
      <c r="C86" s="443" t="s">
        <v>2007</v>
      </c>
      <c r="D86" s="437" t="s">
        <v>1664</v>
      </c>
      <c r="E86" s="71">
        <v>196818</v>
      </c>
      <c r="J86" s="71" t="s">
        <v>796</v>
      </c>
      <c r="K86" s="71" t="s">
        <v>796</v>
      </c>
      <c r="L86" s="71" t="s">
        <v>796</v>
      </c>
      <c r="M86" s="71" t="s">
        <v>793</v>
      </c>
      <c r="P86" s="71" t="s">
        <v>797</v>
      </c>
      <c r="Q86" s="71" t="s">
        <v>924</v>
      </c>
      <c r="R86" s="445"/>
      <c r="S86" s="104"/>
      <c r="T86" s="109">
        <v>43011</v>
      </c>
      <c r="U86" s="105" t="s">
        <v>925</v>
      </c>
      <c r="W86" s="435"/>
    </row>
    <row r="87" spans="1:23" s="71" customFormat="1" ht="14.25" customHeight="1">
      <c r="A87" s="439" t="s">
        <v>2687</v>
      </c>
      <c r="B87" s="572" t="s">
        <v>304</v>
      </c>
      <c r="C87" s="573" t="s">
        <v>2770</v>
      </c>
      <c r="D87" s="567"/>
      <c r="E87" s="71">
        <v>196911</v>
      </c>
      <c r="J87" s="561" t="s">
        <v>2692</v>
      </c>
      <c r="K87" s="561" t="s">
        <v>2658</v>
      </c>
      <c r="L87" s="561" t="s">
        <v>2658</v>
      </c>
      <c r="N87" s="71">
        <v>20.674160003662099</v>
      </c>
      <c r="O87" s="71">
        <v>92.9078369140625</v>
      </c>
      <c r="P87" s="71" t="s">
        <v>1989</v>
      </c>
      <c r="R87" s="576"/>
      <c r="S87" s="439"/>
      <c r="T87" s="109">
        <v>43591</v>
      </c>
      <c r="U87" s="576"/>
      <c r="W87" s="568"/>
    </row>
    <row r="88" spans="1:23" s="71" customFormat="1" ht="14.25" customHeight="1">
      <c r="A88" s="439" t="s">
        <v>2687</v>
      </c>
      <c r="B88" s="566" t="s">
        <v>304</v>
      </c>
      <c r="C88" s="566" t="s">
        <v>616</v>
      </c>
      <c r="D88" s="477" t="s">
        <v>1664</v>
      </c>
      <c r="E88" s="71">
        <v>196873</v>
      </c>
      <c r="F88" s="566"/>
      <c r="J88" s="561" t="s">
        <v>796</v>
      </c>
      <c r="K88" s="561" t="s">
        <v>796</v>
      </c>
      <c r="L88" s="561" t="s">
        <v>796</v>
      </c>
      <c r="M88" s="71" t="s">
        <v>296</v>
      </c>
      <c r="N88" s="71">
        <v>20.8064003</v>
      </c>
      <c r="O88" s="71">
        <v>92.982147220000002</v>
      </c>
      <c r="P88" s="71" t="s">
        <v>797</v>
      </c>
      <c r="Q88" s="71" t="s">
        <v>778</v>
      </c>
      <c r="R88" s="568"/>
      <c r="S88" s="439"/>
      <c r="T88" s="109"/>
      <c r="U88" s="105"/>
      <c r="V88" s="71" t="s">
        <v>616</v>
      </c>
      <c r="W88" s="435"/>
    </row>
    <row r="89" spans="1:23" s="71" customFormat="1" ht="14.25" customHeight="1">
      <c r="A89" s="439" t="s">
        <v>2687</v>
      </c>
      <c r="B89" s="572" t="s">
        <v>304</v>
      </c>
      <c r="C89" s="573" t="s">
        <v>3006</v>
      </c>
      <c r="D89" s="437"/>
      <c r="E89" s="71">
        <v>196894</v>
      </c>
      <c r="F89" s="71" t="s">
        <v>2250</v>
      </c>
      <c r="J89" s="71" t="s">
        <v>796</v>
      </c>
      <c r="K89" s="71" t="s">
        <v>796</v>
      </c>
      <c r="L89" s="71" t="s">
        <v>796</v>
      </c>
      <c r="N89" s="71">
        <v>20.7489204406738</v>
      </c>
      <c r="O89" s="71">
        <v>92.958816528320298</v>
      </c>
      <c r="P89" s="71" t="s">
        <v>797</v>
      </c>
      <c r="Q89" s="71" t="s">
        <v>3026</v>
      </c>
      <c r="R89" s="445"/>
      <c r="S89" s="104"/>
      <c r="T89" s="109">
        <v>43768</v>
      </c>
      <c r="U89" s="576"/>
      <c r="W89" s="568"/>
    </row>
    <row r="90" spans="1:23" s="71" customFormat="1" ht="14.25" customHeight="1">
      <c r="A90" s="439" t="s">
        <v>2687</v>
      </c>
      <c r="B90" s="190" t="s">
        <v>304</v>
      </c>
      <c r="C90" s="191" t="s">
        <v>2572</v>
      </c>
      <c r="D90" s="567"/>
      <c r="E90" s="186">
        <v>196673</v>
      </c>
      <c r="F90" s="186"/>
      <c r="G90" s="186"/>
      <c r="H90" s="186"/>
      <c r="I90" s="186"/>
      <c r="J90" s="71" t="s">
        <v>2692</v>
      </c>
      <c r="K90" s="71" t="s">
        <v>2658</v>
      </c>
      <c r="L90" s="186" t="s">
        <v>2658</v>
      </c>
      <c r="M90" s="186"/>
      <c r="N90" s="186"/>
      <c r="O90" s="186"/>
      <c r="P90" s="71" t="s">
        <v>1989</v>
      </c>
      <c r="Q90" s="186"/>
      <c r="R90" s="187"/>
      <c r="S90" s="185"/>
      <c r="T90" s="188"/>
      <c r="U90" s="189"/>
      <c r="V90" s="186"/>
      <c r="W90" s="568"/>
    </row>
    <row r="91" spans="1:23" s="71" customFormat="1" ht="14.25" customHeight="1">
      <c r="A91" s="439" t="s">
        <v>2687</v>
      </c>
      <c r="B91" s="572" t="s">
        <v>304</v>
      </c>
      <c r="C91" s="573" t="s">
        <v>952</v>
      </c>
      <c r="D91" s="567" t="s">
        <v>1664</v>
      </c>
      <c r="E91" s="71">
        <v>196767</v>
      </c>
      <c r="J91" s="561" t="s">
        <v>796</v>
      </c>
      <c r="K91" s="71" t="s">
        <v>796</v>
      </c>
      <c r="L91" s="561" t="s">
        <v>796</v>
      </c>
      <c r="M91" s="71" t="s">
        <v>296</v>
      </c>
      <c r="N91" s="435">
        <v>21.006929400000001</v>
      </c>
      <c r="O91" s="435">
        <v>92.981040949999993</v>
      </c>
      <c r="P91" s="71" t="s">
        <v>797</v>
      </c>
      <c r="R91" s="576"/>
      <c r="S91" s="104"/>
      <c r="T91" s="109"/>
      <c r="U91" s="105"/>
      <c r="V91" s="71" t="s">
        <v>952</v>
      </c>
    </row>
    <row r="92" spans="1:23" s="71" customFormat="1" ht="14.25" customHeight="1">
      <c r="A92" s="439" t="s">
        <v>2687</v>
      </c>
      <c r="B92" s="436" t="s">
        <v>304</v>
      </c>
      <c r="C92" s="436" t="s">
        <v>694</v>
      </c>
      <c r="D92" s="477" t="s">
        <v>1664</v>
      </c>
      <c r="E92" s="71">
        <v>196886</v>
      </c>
      <c r="J92" s="71" t="s">
        <v>796</v>
      </c>
      <c r="K92" s="71" t="s">
        <v>796</v>
      </c>
      <c r="L92" s="71" t="s">
        <v>796</v>
      </c>
      <c r="M92" s="71" t="s">
        <v>296</v>
      </c>
      <c r="N92" s="71">
        <v>20.803710939999998</v>
      </c>
      <c r="O92" s="71">
        <v>92.946136469999999</v>
      </c>
      <c r="P92" s="71" t="s">
        <v>797</v>
      </c>
      <c r="Q92" s="71" t="s">
        <v>778</v>
      </c>
      <c r="R92" s="103"/>
      <c r="S92" s="104"/>
      <c r="T92" s="109"/>
      <c r="U92" s="105"/>
    </row>
    <row r="93" spans="1:23" s="71" customFormat="1" ht="14.25" customHeight="1">
      <c r="A93" s="439" t="s">
        <v>2687</v>
      </c>
      <c r="B93" s="572" t="s">
        <v>304</v>
      </c>
      <c r="C93" s="573" t="s">
        <v>937</v>
      </c>
      <c r="D93" s="567" t="s">
        <v>1664</v>
      </c>
      <c r="E93" s="71">
        <v>196885</v>
      </c>
      <c r="J93" s="71" t="s">
        <v>796</v>
      </c>
      <c r="K93" s="71" t="s">
        <v>796</v>
      </c>
      <c r="L93" s="71" t="s">
        <v>796</v>
      </c>
      <c r="N93" s="71">
        <v>20.80635071</v>
      </c>
      <c r="O93" s="71">
        <v>92.948310849999999</v>
      </c>
      <c r="P93" s="561" t="s">
        <v>797</v>
      </c>
      <c r="Q93" s="71" t="s">
        <v>924</v>
      </c>
      <c r="R93" s="576"/>
      <c r="S93" s="104"/>
      <c r="T93" s="109">
        <v>43011</v>
      </c>
      <c r="U93" s="440" t="s">
        <v>925</v>
      </c>
    </row>
    <row r="94" spans="1:23" s="71" customFormat="1" ht="14.25" customHeight="1">
      <c r="A94" s="439" t="s">
        <v>2687</v>
      </c>
      <c r="B94" s="572" t="s">
        <v>304</v>
      </c>
      <c r="C94" s="573" t="s">
        <v>3005</v>
      </c>
      <c r="D94" s="567"/>
      <c r="E94" s="435"/>
      <c r="F94" s="435"/>
      <c r="G94" s="435"/>
      <c r="H94" s="435"/>
      <c r="I94" s="435"/>
      <c r="J94" s="435" t="s">
        <v>796</v>
      </c>
      <c r="K94" s="435" t="s">
        <v>796</v>
      </c>
      <c r="L94" s="435" t="s">
        <v>796</v>
      </c>
      <c r="M94" s="435"/>
      <c r="N94" s="435"/>
      <c r="O94" s="435"/>
      <c r="P94" s="435" t="s">
        <v>797</v>
      </c>
      <c r="Q94" s="435" t="s">
        <v>3026</v>
      </c>
      <c r="R94" s="576"/>
      <c r="S94" s="439"/>
      <c r="T94" s="452">
        <v>43768</v>
      </c>
      <c r="U94" s="576"/>
      <c r="V94" s="435"/>
      <c r="W94" s="568"/>
    </row>
    <row r="95" spans="1:23" s="71" customFormat="1" ht="14.25" customHeight="1">
      <c r="A95" s="439" t="s">
        <v>2687</v>
      </c>
      <c r="B95" s="442" t="s">
        <v>304</v>
      </c>
      <c r="C95" s="443" t="s">
        <v>2304</v>
      </c>
      <c r="D95" s="567"/>
      <c r="E95" s="71">
        <v>196932</v>
      </c>
      <c r="F95" s="71" t="s">
        <v>869</v>
      </c>
      <c r="J95" s="71" t="s">
        <v>796</v>
      </c>
      <c r="K95" s="71" t="s">
        <v>796</v>
      </c>
      <c r="L95" s="71" t="s">
        <v>796</v>
      </c>
      <c r="N95" s="71">
        <v>20.655569</v>
      </c>
      <c r="O95" s="71">
        <v>92.959709000000004</v>
      </c>
      <c r="P95" s="435" t="s">
        <v>797</v>
      </c>
      <c r="Q95" s="71" t="s">
        <v>2260</v>
      </c>
      <c r="R95" s="576"/>
      <c r="S95" s="439"/>
      <c r="T95" s="109">
        <v>43465</v>
      </c>
      <c r="U95" s="105" t="s">
        <v>2303</v>
      </c>
      <c r="V95" s="71" t="s">
        <v>2298</v>
      </c>
      <c r="W95" s="435"/>
    </row>
    <row r="96" spans="1:23" s="71" customFormat="1" ht="14.25" customHeight="1">
      <c r="A96" s="439" t="s">
        <v>2687</v>
      </c>
      <c r="B96" s="566" t="s">
        <v>304</v>
      </c>
      <c r="C96" s="566" t="s">
        <v>2250</v>
      </c>
      <c r="D96" s="477"/>
      <c r="E96" s="71">
        <v>196893</v>
      </c>
      <c r="J96" s="71" t="s">
        <v>796</v>
      </c>
      <c r="K96" s="71" t="s">
        <v>796</v>
      </c>
      <c r="L96" s="71" t="s">
        <v>796</v>
      </c>
      <c r="N96" s="71">
        <v>20.760820389999999</v>
      </c>
      <c r="O96" s="71">
        <v>92.960083010000005</v>
      </c>
      <c r="P96" s="71" t="s">
        <v>797</v>
      </c>
      <c r="R96" s="568"/>
      <c r="S96" s="439"/>
      <c r="T96" s="109"/>
      <c r="U96" s="105"/>
      <c r="V96" s="71" t="s">
        <v>2243</v>
      </c>
    </row>
    <row r="97" spans="1:23" s="71" customFormat="1" ht="14.25" customHeight="1">
      <c r="A97" s="569" t="s">
        <v>2687</v>
      </c>
      <c r="B97" s="566" t="s">
        <v>304</v>
      </c>
      <c r="C97" s="566" t="s">
        <v>351</v>
      </c>
      <c r="D97" s="477" t="s">
        <v>1664</v>
      </c>
      <c r="J97" s="71" t="s">
        <v>796</v>
      </c>
      <c r="K97" s="435" t="s">
        <v>796</v>
      </c>
      <c r="L97" s="435" t="s">
        <v>796</v>
      </c>
      <c r="M97" s="71" t="s">
        <v>296</v>
      </c>
      <c r="P97" s="561" t="s">
        <v>797</v>
      </c>
      <c r="Q97" s="71" t="s">
        <v>924</v>
      </c>
      <c r="R97" s="568"/>
      <c r="S97" s="104"/>
      <c r="T97" s="109">
        <v>43011</v>
      </c>
      <c r="U97" s="570" t="s">
        <v>925</v>
      </c>
      <c r="W97" s="561"/>
    </row>
    <row r="98" spans="1:23" s="71" customFormat="1" ht="14.25" customHeight="1">
      <c r="A98" s="439" t="s">
        <v>2687</v>
      </c>
      <c r="B98" s="566" t="s">
        <v>304</v>
      </c>
      <c r="C98" s="566" t="s">
        <v>930</v>
      </c>
      <c r="D98" s="477" t="s">
        <v>1664</v>
      </c>
      <c r="E98" s="71">
        <v>196950</v>
      </c>
      <c r="F98" s="561"/>
      <c r="J98" s="71" t="s">
        <v>796</v>
      </c>
      <c r="K98" s="71" t="s">
        <v>796</v>
      </c>
      <c r="L98" s="435" t="s">
        <v>796</v>
      </c>
      <c r="M98" s="71" t="s">
        <v>2006</v>
      </c>
      <c r="N98" s="71">
        <v>20.720500950000002</v>
      </c>
      <c r="O98" s="71">
        <v>92.937339780000002</v>
      </c>
      <c r="P98" s="435" t="s">
        <v>797</v>
      </c>
      <c r="R98" s="103"/>
      <c r="S98" s="439"/>
      <c r="T98" s="109"/>
      <c r="U98" s="105"/>
      <c r="V98" s="71" t="s">
        <v>930</v>
      </c>
      <c r="W98" s="435"/>
    </row>
    <row r="99" spans="1:23" s="71" customFormat="1" ht="14.25" customHeight="1">
      <c r="A99" s="439" t="s">
        <v>2687</v>
      </c>
      <c r="B99" s="572" t="s">
        <v>304</v>
      </c>
      <c r="C99" s="573" t="s">
        <v>3024</v>
      </c>
      <c r="D99" s="567"/>
      <c r="E99" s="71">
        <v>196949</v>
      </c>
      <c r="F99" s="71" t="s">
        <v>568</v>
      </c>
      <c r="J99" s="71" t="s">
        <v>796</v>
      </c>
      <c r="K99" s="71" t="s">
        <v>796</v>
      </c>
      <c r="L99" s="71" t="s">
        <v>796</v>
      </c>
      <c r="N99" s="71">
        <v>20.728960037231399</v>
      </c>
      <c r="O99" s="71">
        <v>92.936019897460895</v>
      </c>
      <c r="P99" s="561" t="s">
        <v>797</v>
      </c>
      <c r="Q99" s="71" t="s">
        <v>3026</v>
      </c>
      <c r="R99" s="576"/>
      <c r="S99" s="104"/>
      <c r="T99" s="109">
        <v>43768</v>
      </c>
      <c r="U99" s="576"/>
      <c r="W99" s="568"/>
    </row>
    <row r="100" spans="1:23" s="71" customFormat="1" ht="14.25" customHeight="1">
      <c r="A100" s="439" t="s">
        <v>2687</v>
      </c>
      <c r="B100" s="566" t="s">
        <v>304</v>
      </c>
      <c r="C100" s="566" t="s">
        <v>2836</v>
      </c>
      <c r="D100" s="477"/>
      <c r="E100" s="71">
        <v>196923</v>
      </c>
      <c r="J100" s="71" t="s">
        <v>2692</v>
      </c>
      <c r="K100" s="71" t="s">
        <v>2658</v>
      </c>
      <c r="L100" s="71" t="s">
        <v>2658</v>
      </c>
      <c r="N100" s="71">
        <v>20.675489425659201</v>
      </c>
      <c r="O100" s="71">
        <v>92.916961669921903</v>
      </c>
      <c r="P100" s="561" t="s">
        <v>1989</v>
      </c>
      <c r="R100" s="438"/>
      <c r="S100" s="439"/>
      <c r="T100" s="109"/>
      <c r="U100" s="105"/>
    </row>
    <row r="101" spans="1:23" s="71" customFormat="1" ht="14.25" customHeight="1">
      <c r="A101" s="439" t="s">
        <v>2687</v>
      </c>
      <c r="B101" s="566" t="s">
        <v>304</v>
      </c>
      <c r="C101" s="566" t="s">
        <v>2025</v>
      </c>
      <c r="D101" s="477"/>
      <c r="E101" s="435">
        <v>196828</v>
      </c>
      <c r="F101" s="71" t="s">
        <v>1762</v>
      </c>
      <c r="J101" s="71" t="s">
        <v>796</v>
      </c>
      <c r="K101" s="71" t="s">
        <v>796</v>
      </c>
      <c r="L101" s="71" t="s">
        <v>796</v>
      </c>
      <c r="N101" s="435">
        <v>20.860509870000001</v>
      </c>
      <c r="O101" s="435">
        <v>92.966751099999996</v>
      </c>
      <c r="P101" s="561" t="s">
        <v>797</v>
      </c>
      <c r="R101" s="103"/>
      <c r="S101" s="439"/>
      <c r="T101" s="109">
        <v>43297</v>
      </c>
      <c r="U101" s="105"/>
    </row>
    <row r="102" spans="1:23" s="71" customFormat="1" ht="14.25" customHeight="1">
      <c r="A102" s="439" t="s">
        <v>2687</v>
      </c>
      <c r="B102" s="572" t="s">
        <v>304</v>
      </c>
      <c r="C102" s="573" t="s">
        <v>3025</v>
      </c>
      <c r="D102" s="567"/>
      <c r="E102" s="71">
        <v>196948</v>
      </c>
      <c r="F102" s="71" t="s">
        <v>568</v>
      </c>
      <c r="J102" s="71" t="s">
        <v>796</v>
      </c>
      <c r="K102" s="71" t="s">
        <v>796</v>
      </c>
      <c r="L102" s="71" t="s">
        <v>796</v>
      </c>
      <c r="P102" s="71" t="s">
        <v>797</v>
      </c>
      <c r="Q102" s="71" t="s">
        <v>3026</v>
      </c>
      <c r="R102" s="576"/>
      <c r="S102" s="104"/>
      <c r="T102" s="109">
        <v>43768</v>
      </c>
      <c r="U102" s="576"/>
      <c r="W102" s="568"/>
    </row>
    <row r="103" spans="1:23" s="71" customFormat="1" ht="14.25" customHeight="1">
      <c r="A103" s="439" t="s">
        <v>2687</v>
      </c>
      <c r="B103" s="572" t="s">
        <v>304</v>
      </c>
      <c r="C103" s="573" t="s">
        <v>575</v>
      </c>
      <c r="D103" s="477" t="s">
        <v>2763</v>
      </c>
      <c r="E103" s="71" t="s">
        <v>1404</v>
      </c>
      <c r="F103" s="71" t="s">
        <v>568</v>
      </c>
      <c r="G103" s="71" t="s">
        <v>575</v>
      </c>
      <c r="J103" s="71" t="s">
        <v>796</v>
      </c>
      <c r="K103" s="71" t="s">
        <v>796</v>
      </c>
      <c r="L103" s="435" t="s">
        <v>881</v>
      </c>
      <c r="M103" s="71" t="s">
        <v>793</v>
      </c>
      <c r="N103" s="71">
        <v>20.727589999999999</v>
      </c>
      <c r="O103" s="71">
        <v>92.969350000000006</v>
      </c>
      <c r="P103" s="561" t="s">
        <v>797</v>
      </c>
      <c r="Q103" s="71" t="s">
        <v>778</v>
      </c>
      <c r="R103" s="103">
        <v>112</v>
      </c>
      <c r="S103" s="439">
        <v>738</v>
      </c>
      <c r="T103" s="109"/>
      <c r="U103" s="440"/>
      <c r="V103" s="71" t="s">
        <v>575</v>
      </c>
      <c r="W103" s="435"/>
    </row>
    <row r="104" spans="1:23" s="71" customFormat="1" ht="14.25" customHeight="1">
      <c r="A104" s="104" t="s">
        <v>2687</v>
      </c>
      <c r="B104" s="572" t="s">
        <v>304</v>
      </c>
      <c r="C104" s="573" t="s">
        <v>571</v>
      </c>
      <c r="D104" s="567" t="s">
        <v>1664</v>
      </c>
      <c r="E104" s="435">
        <v>196951</v>
      </c>
      <c r="J104" s="71" t="s">
        <v>796</v>
      </c>
      <c r="K104" s="71" t="s">
        <v>796</v>
      </c>
      <c r="L104" s="71" t="s">
        <v>796</v>
      </c>
      <c r="M104" s="71" t="s">
        <v>296</v>
      </c>
      <c r="N104" s="435">
        <v>20.723630910000001</v>
      </c>
      <c r="O104" s="435">
        <v>92.974327090000003</v>
      </c>
      <c r="P104" s="435" t="s">
        <v>797</v>
      </c>
      <c r="Q104" s="71" t="s">
        <v>778</v>
      </c>
      <c r="R104" s="576"/>
      <c r="S104" s="439"/>
      <c r="T104" s="109"/>
      <c r="U104" s="105"/>
      <c r="V104" s="71" t="s">
        <v>571</v>
      </c>
      <c r="W104" s="435"/>
    </row>
    <row r="105" spans="1:23" s="71" customFormat="1" ht="14.25" customHeight="1">
      <c r="A105" s="572" t="s">
        <v>2687</v>
      </c>
      <c r="B105" s="572" t="s">
        <v>304</v>
      </c>
      <c r="C105" s="573" t="s">
        <v>2814</v>
      </c>
      <c r="D105" s="567"/>
      <c r="E105" s="71">
        <v>196981</v>
      </c>
      <c r="F105" s="435"/>
      <c r="J105" s="71" t="s">
        <v>2692</v>
      </c>
      <c r="K105" s="435" t="s">
        <v>2658</v>
      </c>
      <c r="L105" s="435" t="s">
        <v>2658</v>
      </c>
      <c r="N105" s="71">
        <v>20.656810760498001</v>
      </c>
      <c r="O105" s="71">
        <v>93.029953002929702</v>
      </c>
      <c r="P105" s="71" t="s">
        <v>1989</v>
      </c>
      <c r="R105" s="576"/>
      <c r="S105" s="439"/>
      <c r="T105" s="109">
        <v>43591</v>
      </c>
      <c r="U105" s="576"/>
      <c r="W105" s="568"/>
    </row>
    <row r="106" spans="1:23" s="71" customFormat="1" ht="14.25" customHeight="1">
      <c r="A106" s="439" t="s">
        <v>2687</v>
      </c>
      <c r="B106" s="435" t="s">
        <v>314</v>
      </c>
      <c r="C106" s="435" t="s">
        <v>874</v>
      </c>
      <c r="D106" s="477" t="s">
        <v>1664</v>
      </c>
      <c r="E106" s="71">
        <v>197171</v>
      </c>
      <c r="F106" s="594" t="s">
        <v>518</v>
      </c>
      <c r="J106" s="71" t="s">
        <v>796</v>
      </c>
      <c r="K106" s="71" t="s">
        <v>796</v>
      </c>
      <c r="L106" s="71" t="s">
        <v>796</v>
      </c>
      <c r="N106" s="71">
        <v>20.225250240000001</v>
      </c>
      <c r="O106" s="71">
        <v>93.418876650000001</v>
      </c>
      <c r="P106" s="561" t="s">
        <v>797</v>
      </c>
      <c r="R106" s="103"/>
      <c r="S106" s="439"/>
      <c r="T106" s="109"/>
      <c r="U106" s="440"/>
      <c r="V106" s="71" t="s">
        <v>875</v>
      </c>
      <c r="W106" s="435"/>
    </row>
    <row r="107" spans="1:23" s="71" customFormat="1" ht="14.25" customHeight="1">
      <c r="A107" s="439" t="s">
        <v>2687</v>
      </c>
      <c r="B107" s="435" t="s">
        <v>314</v>
      </c>
      <c r="C107" s="435" t="s">
        <v>2634</v>
      </c>
      <c r="D107" s="477"/>
      <c r="E107" s="71">
        <v>197034</v>
      </c>
      <c r="J107" s="71" t="s">
        <v>796</v>
      </c>
      <c r="K107" s="71" t="s">
        <v>796</v>
      </c>
      <c r="L107" s="71" t="s">
        <v>796</v>
      </c>
      <c r="P107" s="71" t="s">
        <v>797</v>
      </c>
      <c r="R107" s="438"/>
      <c r="S107" s="439"/>
      <c r="T107" s="109"/>
      <c r="U107" s="570"/>
    </row>
    <row r="108" spans="1:23" s="71" customFormat="1" ht="14.25" customHeight="1">
      <c r="A108" s="439" t="s">
        <v>2687</v>
      </c>
      <c r="B108" s="435" t="s">
        <v>314</v>
      </c>
      <c r="C108" s="435" t="s">
        <v>2631</v>
      </c>
      <c r="D108" s="477"/>
      <c r="E108" s="435">
        <v>197020</v>
      </c>
      <c r="F108" s="435"/>
      <c r="G108" s="435"/>
      <c r="H108" s="435"/>
      <c r="I108" s="435"/>
      <c r="J108" s="71" t="s">
        <v>796</v>
      </c>
      <c r="K108" s="435" t="s">
        <v>796</v>
      </c>
      <c r="L108" s="435" t="s">
        <v>796</v>
      </c>
      <c r="P108" s="561" t="s">
        <v>797</v>
      </c>
      <c r="R108" s="438"/>
      <c r="S108" s="439"/>
      <c r="T108" s="109"/>
      <c r="U108" s="105"/>
    </row>
    <row r="109" spans="1:23" s="71" customFormat="1" ht="14.25" customHeight="1">
      <c r="A109" s="569" t="s">
        <v>2687</v>
      </c>
      <c r="B109" s="561" t="s">
        <v>314</v>
      </c>
      <c r="C109" s="561" t="s">
        <v>2649</v>
      </c>
      <c r="D109" s="477"/>
      <c r="E109" s="71">
        <v>220651</v>
      </c>
      <c r="J109" s="71" t="s">
        <v>796</v>
      </c>
      <c r="K109" s="71" t="s">
        <v>796</v>
      </c>
      <c r="L109" s="71" t="s">
        <v>796</v>
      </c>
      <c r="P109" s="561" t="s">
        <v>797</v>
      </c>
      <c r="R109" s="568"/>
      <c r="S109" s="439"/>
      <c r="T109" s="109"/>
      <c r="U109" s="570"/>
      <c r="W109" s="561"/>
    </row>
    <row r="110" spans="1:23" s="71" customFormat="1" ht="14.25" customHeight="1">
      <c r="A110" s="439" t="s">
        <v>2687</v>
      </c>
      <c r="B110" s="435" t="s">
        <v>314</v>
      </c>
      <c r="C110" s="435" t="s">
        <v>897</v>
      </c>
      <c r="D110" s="477" t="s">
        <v>2763</v>
      </c>
      <c r="E110" s="71" t="s">
        <v>1392</v>
      </c>
      <c r="F110" s="71" t="s">
        <v>878</v>
      </c>
      <c r="G110" s="71" t="s">
        <v>897</v>
      </c>
      <c r="J110" s="71" t="s">
        <v>796</v>
      </c>
      <c r="K110" s="71" t="s">
        <v>796</v>
      </c>
      <c r="L110" s="71" t="s">
        <v>881</v>
      </c>
      <c r="M110" s="71" t="s">
        <v>793</v>
      </c>
      <c r="N110" s="71">
        <v>20.480898</v>
      </c>
      <c r="O110" s="71">
        <v>93.299485000000004</v>
      </c>
      <c r="P110" s="561" t="s">
        <v>797</v>
      </c>
      <c r="R110" s="103">
        <v>87</v>
      </c>
      <c r="S110" s="439">
        <v>444</v>
      </c>
      <c r="T110" s="109"/>
      <c r="U110" s="105" t="s">
        <v>858</v>
      </c>
      <c r="V110" s="71" t="s">
        <v>897</v>
      </c>
    </row>
    <row r="111" spans="1:23" s="71" customFormat="1" ht="14.25" customHeight="1">
      <c r="A111" s="439" t="s">
        <v>2687</v>
      </c>
      <c r="B111" s="435" t="s">
        <v>314</v>
      </c>
      <c r="C111" s="435" t="s">
        <v>2643</v>
      </c>
      <c r="D111" s="477"/>
      <c r="E111" s="71">
        <v>197090</v>
      </c>
      <c r="J111" s="71" t="s">
        <v>796</v>
      </c>
      <c r="K111" s="71" t="s">
        <v>796</v>
      </c>
      <c r="L111" s="71" t="s">
        <v>796</v>
      </c>
      <c r="P111" s="71" t="s">
        <v>797</v>
      </c>
      <c r="R111" s="438"/>
      <c r="S111" s="439"/>
      <c r="T111" s="109"/>
      <c r="U111" s="105"/>
    </row>
    <row r="112" spans="1:23" s="71" customFormat="1" ht="14.25" customHeight="1">
      <c r="A112" s="439" t="s">
        <v>2687</v>
      </c>
      <c r="B112" s="435" t="s">
        <v>314</v>
      </c>
      <c r="C112" s="435" t="s">
        <v>464</v>
      </c>
      <c r="D112" s="477" t="s">
        <v>1664</v>
      </c>
      <c r="E112" s="71">
        <v>196994</v>
      </c>
      <c r="J112" s="71" t="s">
        <v>796</v>
      </c>
      <c r="K112" s="71" t="s">
        <v>796</v>
      </c>
      <c r="L112" s="71" t="s">
        <v>796</v>
      </c>
      <c r="M112" s="71" t="s">
        <v>887</v>
      </c>
      <c r="N112" s="71">
        <v>20.394809720000001</v>
      </c>
      <c r="O112" s="71">
        <v>93.251609799999997</v>
      </c>
      <c r="P112" s="561" t="s">
        <v>797</v>
      </c>
      <c r="Q112" s="71" t="s">
        <v>778</v>
      </c>
      <c r="R112" s="438"/>
      <c r="S112" s="104"/>
      <c r="T112" s="109"/>
      <c r="U112" s="105"/>
      <c r="V112" s="71" t="s">
        <v>888</v>
      </c>
      <c r="W112" s="435"/>
    </row>
    <row r="113" spans="1:23" s="71" customFormat="1" ht="14.25" customHeight="1">
      <c r="A113" s="439" t="s">
        <v>2687</v>
      </c>
      <c r="B113" s="435" t="s">
        <v>314</v>
      </c>
      <c r="C113" s="435" t="s">
        <v>315</v>
      </c>
      <c r="D113" s="477" t="s">
        <v>1664</v>
      </c>
      <c r="E113" s="71">
        <v>197174</v>
      </c>
      <c r="J113" s="71" t="s">
        <v>796</v>
      </c>
      <c r="K113" s="71" t="s">
        <v>796</v>
      </c>
      <c r="L113" s="71" t="s">
        <v>796</v>
      </c>
      <c r="M113" s="71" t="s">
        <v>296</v>
      </c>
      <c r="P113" s="71" t="s">
        <v>797</v>
      </c>
      <c r="Q113" s="71" t="s">
        <v>778</v>
      </c>
      <c r="R113" s="438"/>
      <c r="S113" s="439"/>
      <c r="T113" s="109" t="s">
        <v>803</v>
      </c>
      <c r="U113" s="105"/>
      <c r="W113" s="435"/>
    </row>
    <row r="114" spans="1:23" s="71" customFormat="1" ht="14.25" customHeight="1">
      <c r="A114" s="439" t="s">
        <v>2687</v>
      </c>
      <c r="B114" s="435" t="s">
        <v>314</v>
      </c>
      <c r="C114" s="435" t="s">
        <v>2647</v>
      </c>
      <c r="D114" s="477"/>
      <c r="E114" s="71">
        <v>197099</v>
      </c>
      <c r="J114" s="71" t="s">
        <v>796</v>
      </c>
      <c r="K114" s="71" t="s">
        <v>796</v>
      </c>
      <c r="L114" s="71" t="s">
        <v>796</v>
      </c>
      <c r="P114" s="561" t="s">
        <v>797</v>
      </c>
      <c r="R114" s="103"/>
      <c r="S114" s="439"/>
      <c r="T114" s="109"/>
      <c r="U114" s="105"/>
    </row>
    <row r="115" spans="1:23" s="71" customFormat="1" ht="14.25" customHeight="1">
      <c r="A115" s="104" t="s">
        <v>2687</v>
      </c>
      <c r="B115" s="561" t="s">
        <v>314</v>
      </c>
      <c r="C115" s="561" t="s">
        <v>869</v>
      </c>
      <c r="D115" s="477" t="s">
        <v>1664</v>
      </c>
      <c r="E115" s="71">
        <v>197176</v>
      </c>
      <c r="F115" s="71" t="s">
        <v>518</v>
      </c>
      <c r="J115" s="71" t="s">
        <v>796</v>
      </c>
      <c r="K115" s="435" t="s">
        <v>796</v>
      </c>
      <c r="L115" s="435" t="s">
        <v>796</v>
      </c>
      <c r="M115" s="71" t="s">
        <v>793</v>
      </c>
      <c r="N115" s="71">
        <v>20.203340529999998</v>
      </c>
      <c r="O115" s="71">
        <v>93.426139829999997</v>
      </c>
      <c r="P115" s="561" t="s">
        <v>797</v>
      </c>
      <c r="R115" s="568"/>
      <c r="S115" s="104"/>
      <c r="T115" s="109"/>
      <c r="U115" s="561"/>
      <c r="V115" s="71" t="s">
        <v>870</v>
      </c>
      <c r="W115" s="561"/>
    </row>
    <row r="116" spans="1:23" s="71" customFormat="1" ht="14.25" customHeight="1">
      <c r="A116" s="439" t="s">
        <v>2687</v>
      </c>
      <c r="B116" s="435" t="s">
        <v>314</v>
      </c>
      <c r="C116" s="435" t="s">
        <v>2652</v>
      </c>
      <c r="D116" s="477"/>
      <c r="E116" s="71">
        <v>197111</v>
      </c>
      <c r="J116" s="71" t="s">
        <v>796</v>
      </c>
      <c r="K116" s="71" t="s">
        <v>796</v>
      </c>
      <c r="L116" s="71" t="s">
        <v>796</v>
      </c>
      <c r="P116" s="561" t="s">
        <v>797</v>
      </c>
      <c r="R116" s="103"/>
      <c r="S116" s="104"/>
      <c r="T116" s="109"/>
      <c r="U116" s="105"/>
      <c r="W116" s="435"/>
    </row>
    <row r="117" spans="1:23" s="71" customFormat="1" ht="14.25" customHeight="1">
      <c r="A117" s="442" t="s">
        <v>2687</v>
      </c>
      <c r="B117" s="442" t="s">
        <v>314</v>
      </c>
      <c r="C117" s="443" t="s">
        <v>2776</v>
      </c>
      <c r="D117" s="437"/>
      <c r="J117" s="71" t="s">
        <v>2692</v>
      </c>
      <c r="K117" s="71" t="s">
        <v>2658</v>
      </c>
      <c r="L117" s="71" t="s">
        <v>2658</v>
      </c>
      <c r="P117" s="561" t="s">
        <v>1989</v>
      </c>
      <c r="R117" s="445"/>
      <c r="S117" s="439"/>
      <c r="T117" s="109">
        <v>43591</v>
      </c>
      <c r="U117" s="445"/>
      <c r="W117" s="438"/>
    </row>
    <row r="118" spans="1:23" s="71" customFormat="1" ht="14.25" customHeight="1">
      <c r="A118" s="439" t="s">
        <v>2687</v>
      </c>
      <c r="B118" s="435" t="s">
        <v>314</v>
      </c>
      <c r="C118" s="435" t="s">
        <v>2640</v>
      </c>
      <c r="D118" s="477"/>
      <c r="E118" s="71">
        <v>197042</v>
      </c>
      <c r="J118" s="71" t="s">
        <v>796</v>
      </c>
      <c r="K118" s="71" t="s">
        <v>796</v>
      </c>
      <c r="L118" s="71" t="s">
        <v>796</v>
      </c>
      <c r="P118" s="561" t="s">
        <v>797</v>
      </c>
      <c r="R118" s="438"/>
      <c r="S118" s="439"/>
      <c r="T118" s="109"/>
      <c r="U118" s="105"/>
      <c r="W118" s="435"/>
    </row>
    <row r="119" spans="1:23" s="71" customFormat="1" ht="14.25" customHeight="1">
      <c r="A119" s="439" t="s">
        <v>2687</v>
      </c>
      <c r="B119" s="435" t="s">
        <v>314</v>
      </c>
      <c r="C119" s="435" t="s">
        <v>466</v>
      </c>
      <c r="D119" s="477" t="s">
        <v>1664</v>
      </c>
      <c r="E119" s="71">
        <v>196996</v>
      </c>
      <c r="J119" s="71" t="s">
        <v>796</v>
      </c>
      <c r="K119" s="435" t="s">
        <v>796</v>
      </c>
      <c r="L119" s="435" t="s">
        <v>796</v>
      </c>
      <c r="M119" s="71" t="s">
        <v>296</v>
      </c>
      <c r="N119" s="71">
        <v>20.398889539999999</v>
      </c>
      <c r="O119" s="71">
        <v>93.25405121</v>
      </c>
      <c r="P119" s="561" t="s">
        <v>797</v>
      </c>
      <c r="Q119" s="71" t="s">
        <v>778</v>
      </c>
      <c r="R119" s="103"/>
      <c r="S119" s="439"/>
      <c r="T119" s="109"/>
      <c r="U119" s="105"/>
      <c r="V119" s="71" t="s">
        <v>466</v>
      </c>
    </row>
    <row r="120" spans="1:23" s="71" customFormat="1" ht="14.25" customHeight="1">
      <c r="A120" s="439" t="s">
        <v>2687</v>
      </c>
      <c r="B120" s="435" t="s">
        <v>314</v>
      </c>
      <c r="C120" s="435" t="s">
        <v>2641</v>
      </c>
      <c r="D120" s="477"/>
      <c r="E120" s="71">
        <v>197043</v>
      </c>
      <c r="J120" s="71" t="s">
        <v>796</v>
      </c>
      <c r="K120" s="435" t="s">
        <v>796</v>
      </c>
      <c r="L120" s="435" t="s">
        <v>796</v>
      </c>
      <c r="P120" s="561" t="s">
        <v>797</v>
      </c>
      <c r="R120" s="103"/>
      <c r="S120" s="104"/>
      <c r="T120" s="109"/>
      <c r="U120" s="105"/>
    </row>
    <row r="121" spans="1:23" s="71" customFormat="1" ht="14.25" customHeight="1">
      <c r="A121" s="439" t="s">
        <v>2687</v>
      </c>
      <c r="B121" s="435" t="s">
        <v>314</v>
      </c>
      <c r="C121" s="435" t="s">
        <v>446</v>
      </c>
      <c r="D121" s="477" t="s">
        <v>1664</v>
      </c>
      <c r="E121" s="561">
        <v>220671</v>
      </c>
      <c r="J121" s="71" t="s">
        <v>796</v>
      </c>
      <c r="K121" s="71" t="s">
        <v>796</v>
      </c>
      <c r="L121" s="71" t="s">
        <v>796</v>
      </c>
      <c r="M121" s="71" t="s">
        <v>296</v>
      </c>
      <c r="N121" s="561">
        <v>20.218471529999999</v>
      </c>
      <c r="O121" s="561">
        <v>93.424331670000001</v>
      </c>
      <c r="P121" s="71" t="s">
        <v>797</v>
      </c>
      <c r="Q121" s="71" t="s">
        <v>778</v>
      </c>
      <c r="R121" s="103"/>
      <c r="S121" s="439"/>
      <c r="T121" s="109"/>
      <c r="U121" s="105"/>
      <c r="V121" s="71" t="s">
        <v>872</v>
      </c>
    </row>
    <row r="122" spans="1:23" s="71" customFormat="1" ht="14.25" customHeight="1">
      <c r="A122" s="439" t="s">
        <v>2687</v>
      </c>
      <c r="B122" s="435" t="s">
        <v>314</v>
      </c>
      <c r="C122" s="435" t="s">
        <v>2629</v>
      </c>
      <c r="D122" s="477"/>
      <c r="E122" s="71">
        <v>197017</v>
      </c>
      <c r="J122" s="71" t="s">
        <v>796</v>
      </c>
      <c r="K122" s="71" t="s">
        <v>796</v>
      </c>
      <c r="L122" s="71" t="s">
        <v>796</v>
      </c>
      <c r="P122" s="561" t="s">
        <v>797</v>
      </c>
      <c r="R122" s="103"/>
      <c r="S122" s="439"/>
      <c r="T122" s="109"/>
      <c r="U122" s="105"/>
    </row>
    <row r="123" spans="1:23" s="71" customFormat="1" ht="14.25" customHeight="1">
      <c r="A123" s="569" t="s">
        <v>2687</v>
      </c>
      <c r="B123" s="442" t="s">
        <v>314</v>
      </c>
      <c r="C123" s="443" t="s">
        <v>2771</v>
      </c>
      <c r="D123" s="437"/>
      <c r="E123" s="71">
        <v>197065</v>
      </c>
      <c r="J123" s="71" t="s">
        <v>2692</v>
      </c>
      <c r="K123" s="71" t="s">
        <v>2658</v>
      </c>
      <c r="L123" s="71" t="s">
        <v>2658</v>
      </c>
      <c r="N123" s="435">
        <v>20.593980789184599</v>
      </c>
      <c r="O123" s="435">
        <v>93.261528015136705</v>
      </c>
      <c r="P123" s="561" t="s">
        <v>1989</v>
      </c>
      <c r="R123" s="445"/>
      <c r="S123" s="439"/>
      <c r="T123" s="109">
        <v>43591</v>
      </c>
      <c r="U123" s="445"/>
      <c r="W123" s="438"/>
    </row>
    <row r="124" spans="1:23" s="71" customFormat="1" ht="14.25" customHeight="1">
      <c r="A124" s="439" t="s">
        <v>2687</v>
      </c>
      <c r="B124" s="561" t="s">
        <v>314</v>
      </c>
      <c r="C124" s="561" t="s">
        <v>2639</v>
      </c>
      <c r="D124" s="477"/>
      <c r="E124" s="71">
        <v>197041</v>
      </c>
      <c r="J124" s="71" t="s">
        <v>796</v>
      </c>
      <c r="K124" s="71" t="s">
        <v>796</v>
      </c>
      <c r="L124" s="71" t="s">
        <v>796</v>
      </c>
      <c r="P124" s="561" t="s">
        <v>797</v>
      </c>
      <c r="R124" s="438"/>
      <c r="S124" s="439"/>
      <c r="T124" s="109"/>
      <c r="U124" s="105"/>
      <c r="W124" s="435"/>
    </row>
    <row r="125" spans="1:23" s="71" customFormat="1" ht="14.25" customHeight="1">
      <c r="A125" s="572" t="s">
        <v>2687</v>
      </c>
      <c r="B125" s="572" t="s">
        <v>314</v>
      </c>
      <c r="C125" s="573" t="s">
        <v>2795</v>
      </c>
      <c r="D125" s="567"/>
      <c r="E125" s="435"/>
      <c r="F125" s="435"/>
      <c r="G125" s="435"/>
      <c r="H125" s="435"/>
      <c r="I125" s="435"/>
      <c r="J125" s="71" t="s">
        <v>2692</v>
      </c>
      <c r="K125" s="71" t="s">
        <v>2658</v>
      </c>
      <c r="L125" s="71" t="s">
        <v>2658</v>
      </c>
      <c r="M125" s="435"/>
      <c r="N125" s="435"/>
      <c r="O125" s="435"/>
      <c r="P125" s="71" t="s">
        <v>1989</v>
      </c>
      <c r="Q125" s="435"/>
      <c r="R125" s="576"/>
      <c r="S125" s="439"/>
      <c r="T125" s="452">
        <v>43591</v>
      </c>
      <c r="U125" s="576"/>
      <c r="V125" s="435"/>
      <c r="W125" s="568"/>
    </row>
    <row r="126" spans="1:23" s="71" customFormat="1" ht="14.25" customHeight="1">
      <c r="A126" s="439" t="s">
        <v>2687</v>
      </c>
      <c r="B126" s="561" t="s">
        <v>314</v>
      </c>
      <c r="C126" s="561" t="s">
        <v>2650</v>
      </c>
      <c r="D126" s="477"/>
      <c r="E126" s="435">
        <v>197103</v>
      </c>
      <c r="F126" s="435"/>
      <c r="G126" s="435"/>
      <c r="H126" s="435"/>
      <c r="I126" s="435"/>
      <c r="J126" s="435" t="s">
        <v>796</v>
      </c>
      <c r="K126" s="435" t="s">
        <v>796</v>
      </c>
      <c r="L126" s="435" t="s">
        <v>796</v>
      </c>
      <c r="M126" s="435"/>
      <c r="N126" s="435"/>
      <c r="O126" s="435"/>
      <c r="P126" s="435" t="s">
        <v>797</v>
      </c>
      <c r="Q126" s="435"/>
      <c r="R126" s="438"/>
      <c r="S126" s="439"/>
      <c r="T126" s="452"/>
      <c r="U126" s="440"/>
      <c r="V126" s="435"/>
      <c r="W126" s="435"/>
    </row>
    <row r="127" spans="1:23" s="71" customFormat="1" ht="14.25" customHeight="1">
      <c r="A127" s="439" t="s">
        <v>2687</v>
      </c>
      <c r="B127" s="561" t="s">
        <v>314</v>
      </c>
      <c r="C127" s="561" t="s">
        <v>2633</v>
      </c>
      <c r="D127" s="477"/>
      <c r="E127" s="71">
        <v>197028</v>
      </c>
      <c r="J127" s="71" t="s">
        <v>796</v>
      </c>
      <c r="K127" s="71" t="s">
        <v>796</v>
      </c>
      <c r="L127" s="71" t="s">
        <v>796</v>
      </c>
      <c r="P127" s="561" t="s">
        <v>797</v>
      </c>
      <c r="R127" s="103"/>
      <c r="S127" s="104"/>
      <c r="T127" s="109"/>
      <c r="U127" s="105"/>
    </row>
    <row r="128" spans="1:23" s="71" customFormat="1" ht="14.25" customHeight="1">
      <c r="A128" s="439" t="s">
        <v>2687</v>
      </c>
      <c r="B128" s="561" t="s">
        <v>314</v>
      </c>
      <c r="C128" s="561" t="s">
        <v>2632</v>
      </c>
      <c r="D128" s="477"/>
      <c r="E128" s="71">
        <v>197027</v>
      </c>
      <c r="J128" s="71" t="s">
        <v>796</v>
      </c>
      <c r="K128" s="71" t="s">
        <v>796</v>
      </c>
      <c r="L128" s="71" t="s">
        <v>796</v>
      </c>
      <c r="P128" s="561" t="s">
        <v>797</v>
      </c>
      <c r="R128" s="103"/>
      <c r="S128" s="439"/>
      <c r="T128" s="109"/>
      <c r="U128" s="105"/>
    </row>
    <row r="129" spans="1:23" s="71" customFormat="1" ht="14.25" customHeight="1">
      <c r="A129" s="439" t="s">
        <v>2687</v>
      </c>
      <c r="B129" s="561" t="s">
        <v>314</v>
      </c>
      <c r="C129" s="561" t="s">
        <v>884</v>
      </c>
      <c r="D129" s="477" t="s">
        <v>2763</v>
      </c>
      <c r="E129" s="433" t="s">
        <v>1384</v>
      </c>
      <c r="F129" s="71" t="s">
        <v>1754</v>
      </c>
      <c r="G129" s="71" t="s">
        <v>1754</v>
      </c>
      <c r="J129" s="71" t="s">
        <v>796</v>
      </c>
      <c r="K129" s="71" t="s">
        <v>796</v>
      </c>
      <c r="L129" s="71" t="s">
        <v>881</v>
      </c>
      <c r="M129" s="71" t="s">
        <v>793</v>
      </c>
      <c r="N129" s="579">
        <v>20.377523</v>
      </c>
      <c r="O129" s="447">
        <v>93.271642</v>
      </c>
      <c r="P129" s="561" t="s">
        <v>797</v>
      </c>
      <c r="R129" s="438">
        <v>19</v>
      </c>
      <c r="S129" s="439">
        <v>142</v>
      </c>
      <c r="T129" s="109"/>
      <c r="U129" s="105" t="s">
        <v>858</v>
      </c>
      <c r="V129" s="71" t="s">
        <v>884</v>
      </c>
      <c r="W129" s="435"/>
    </row>
    <row r="130" spans="1:23" s="71" customFormat="1" ht="14.25" customHeight="1">
      <c r="A130" s="439" t="s">
        <v>2687</v>
      </c>
      <c r="B130" s="561" t="s">
        <v>314</v>
      </c>
      <c r="C130" s="561" t="s">
        <v>660</v>
      </c>
      <c r="D130" s="477"/>
      <c r="E130" s="71">
        <v>197110</v>
      </c>
      <c r="F130" s="71" t="s">
        <v>2732</v>
      </c>
      <c r="J130" s="71" t="s">
        <v>796</v>
      </c>
      <c r="K130" s="435" t="s">
        <v>796</v>
      </c>
      <c r="L130" s="435" t="s">
        <v>796</v>
      </c>
      <c r="P130" s="561" t="s">
        <v>797</v>
      </c>
      <c r="R130" s="438"/>
      <c r="S130" s="104"/>
      <c r="T130" s="109"/>
      <c r="U130" s="105"/>
    </row>
    <row r="131" spans="1:23" s="71" customFormat="1" ht="14.25" customHeight="1">
      <c r="A131" s="572" t="s">
        <v>2687</v>
      </c>
      <c r="B131" s="572" t="s">
        <v>314</v>
      </c>
      <c r="C131" s="573" t="s">
        <v>2775</v>
      </c>
      <c r="D131" s="567"/>
      <c r="E131" s="71">
        <v>197051</v>
      </c>
      <c r="J131" s="71" t="s">
        <v>2692</v>
      </c>
      <c r="K131" s="71" t="s">
        <v>2658</v>
      </c>
      <c r="L131" s="71" t="s">
        <v>2658</v>
      </c>
      <c r="N131" s="71">
        <v>20.599809646606399</v>
      </c>
      <c r="O131" s="71">
        <v>93.265541076660199</v>
      </c>
      <c r="P131" s="71" t="s">
        <v>1989</v>
      </c>
      <c r="R131" s="576"/>
      <c r="S131" s="439"/>
      <c r="T131" s="109">
        <v>43591</v>
      </c>
      <c r="U131" s="576"/>
      <c r="W131" s="568"/>
    </row>
    <row r="132" spans="1:23" s="71" customFormat="1" ht="14.25" customHeight="1">
      <c r="A132" s="439" t="s">
        <v>2687</v>
      </c>
      <c r="B132" s="566" t="s">
        <v>314</v>
      </c>
      <c r="C132" s="436" t="s">
        <v>878</v>
      </c>
      <c r="D132" s="477"/>
      <c r="E132" s="71">
        <v>197149</v>
      </c>
      <c r="F132" s="71" t="s">
        <v>878</v>
      </c>
      <c r="J132" s="71" t="s">
        <v>796</v>
      </c>
      <c r="K132" s="71" t="s">
        <v>796</v>
      </c>
      <c r="L132" s="71" t="s">
        <v>796</v>
      </c>
      <c r="P132" s="71" t="s">
        <v>797</v>
      </c>
      <c r="R132" s="438"/>
      <c r="S132" s="439"/>
      <c r="T132" s="109"/>
      <c r="U132" s="105"/>
      <c r="W132" s="435"/>
    </row>
    <row r="133" spans="1:23" s="71" customFormat="1" ht="14.25" customHeight="1">
      <c r="A133" s="439" t="s">
        <v>2687</v>
      </c>
      <c r="B133" s="436" t="s">
        <v>314</v>
      </c>
      <c r="C133" s="436" t="s">
        <v>893</v>
      </c>
      <c r="D133" s="477" t="s">
        <v>2763</v>
      </c>
      <c r="E133" s="71" t="s">
        <v>1388</v>
      </c>
      <c r="F133" s="71" t="s">
        <v>1860</v>
      </c>
      <c r="G133" s="71" t="s">
        <v>1861</v>
      </c>
      <c r="J133" s="71" t="s">
        <v>796</v>
      </c>
      <c r="K133" s="71" t="s">
        <v>796</v>
      </c>
      <c r="L133" s="71" t="s">
        <v>881</v>
      </c>
      <c r="M133" s="71" t="s">
        <v>793</v>
      </c>
      <c r="N133" s="71">
        <v>20.407971</v>
      </c>
      <c r="O133" s="71">
        <v>93.313627999999994</v>
      </c>
      <c r="P133" s="71" t="s">
        <v>797</v>
      </c>
      <c r="R133" s="103">
        <v>228</v>
      </c>
      <c r="S133" s="439">
        <v>1377</v>
      </c>
      <c r="T133" s="109"/>
      <c r="U133" s="105" t="s">
        <v>858</v>
      </c>
      <c r="V133" s="71" t="s">
        <v>893</v>
      </c>
    </row>
    <row r="134" spans="1:23" s="71" customFormat="1" ht="14.25" customHeight="1">
      <c r="A134" s="439" t="s">
        <v>2687</v>
      </c>
      <c r="B134" s="436" t="s">
        <v>314</v>
      </c>
      <c r="C134" s="436" t="s">
        <v>467</v>
      </c>
      <c r="D134" s="477" t="s">
        <v>2763</v>
      </c>
      <c r="E134" s="71" t="s">
        <v>1386</v>
      </c>
      <c r="F134" s="71" t="s">
        <v>464</v>
      </c>
      <c r="G134" s="71" t="s">
        <v>467</v>
      </c>
      <c r="J134" s="71" t="s">
        <v>796</v>
      </c>
      <c r="K134" s="71" t="s">
        <v>796</v>
      </c>
      <c r="L134" s="71" t="s">
        <v>881</v>
      </c>
      <c r="M134" s="71" t="s">
        <v>793</v>
      </c>
      <c r="N134" s="71">
        <v>20.39902</v>
      </c>
      <c r="O134" s="71">
        <v>93.249669999999995</v>
      </c>
      <c r="P134" s="71" t="s">
        <v>797</v>
      </c>
      <c r="Q134" s="71" t="s">
        <v>778</v>
      </c>
      <c r="R134" s="103">
        <v>86</v>
      </c>
      <c r="S134" s="104">
        <v>476</v>
      </c>
      <c r="T134" s="109"/>
      <c r="U134" s="105"/>
      <c r="V134" s="71" t="s">
        <v>892</v>
      </c>
    </row>
    <row r="135" spans="1:23" s="71" customFormat="1" ht="14.25" customHeight="1">
      <c r="A135" s="439" t="s">
        <v>2687</v>
      </c>
      <c r="B135" s="436" t="s">
        <v>314</v>
      </c>
      <c r="C135" s="436" t="s">
        <v>2638</v>
      </c>
      <c r="D135" s="477"/>
      <c r="E135" s="71">
        <v>197039</v>
      </c>
      <c r="J135" s="71" t="s">
        <v>796</v>
      </c>
      <c r="K135" s="71" t="s">
        <v>796</v>
      </c>
      <c r="L135" s="71" t="s">
        <v>796</v>
      </c>
      <c r="P135" s="561" t="s">
        <v>797</v>
      </c>
      <c r="R135" s="103"/>
      <c r="S135" s="104"/>
      <c r="T135" s="109"/>
      <c r="U135" s="105"/>
    </row>
    <row r="136" spans="1:23" s="71" customFormat="1" ht="14.25" customHeight="1">
      <c r="A136" s="439" t="s">
        <v>2687</v>
      </c>
      <c r="B136" s="436" t="s">
        <v>314</v>
      </c>
      <c r="C136" s="436" t="s">
        <v>1863</v>
      </c>
      <c r="D136" s="477"/>
      <c r="E136" s="71">
        <v>197023</v>
      </c>
      <c r="J136" s="71" t="s">
        <v>796</v>
      </c>
      <c r="K136" s="71" t="s">
        <v>796</v>
      </c>
      <c r="L136" s="71" t="s">
        <v>796</v>
      </c>
      <c r="P136" s="561" t="s">
        <v>797</v>
      </c>
      <c r="R136" s="438"/>
      <c r="S136" s="104"/>
      <c r="T136" s="109"/>
      <c r="U136" s="105"/>
      <c r="W136" s="435"/>
    </row>
    <row r="137" spans="1:23" s="71" customFormat="1" ht="14.25" customHeight="1">
      <c r="A137" s="439" t="s">
        <v>2687</v>
      </c>
      <c r="B137" s="436" t="s">
        <v>314</v>
      </c>
      <c r="C137" s="436" t="s">
        <v>2630</v>
      </c>
      <c r="D137" s="477"/>
      <c r="E137" s="71">
        <v>197022</v>
      </c>
      <c r="F137" s="435"/>
      <c r="J137" s="71" t="s">
        <v>796</v>
      </c>
      <c r="K137" s="71" t="s">
        <v>796</v>
      </c>
      <c r="L137" s="71" t="s">
        <v>796</v>
      </c>
      <c r="P137" s="561" t="s">
        <v>797</v>
      </c>
      <c r="Q137" s="435"/>
      <c r="R137" s="438"/>
      <c r="S137" s="439"/>
      <c r="T137" s="452"/>
      <c r="U137" s="105"/>
      <c r="W137" s="435"/>
    </row>
    <row r="138" spans="1:23" s="71" customFormat="1" ht="14.25" customHeight="1">
      <c r="A138" s="439" t="s">
        <v>2687</v>
      </c>
      <c r="B138" s="436" t="s">
        <v>314</v>
      </c>
      <c r="C138" s="436" t="s">
        <v>2651</v>
      </c>
      <c r="D138" s="477"/>
      <c r="E138" s="71">
        <v>197114</v>
      </c>
      <c r="F138" s="71" t="s">
        <v>2732</v>
      </c>
      <c r="J138" s="71" t="s">
        <v>796</v>
      </c>
      <c r="K138" s="71" t="s">
        <v>796</v>
      </c>
      <c r="L138" s="71" t="s">
        <v>796</v>
      </c>
      <c r="P138" s="561" t="s">
        <v>797</v>
      </c>
      <c r="R138" s="438"/>
      <c r="S138" s="439"/>
      <c r="T138" s="109"/>
      <c r="U138" s="105"/>
      <c r="W138" s="435"/>
    </row>
    <row r="139" spans="1:23" s="71" customFormat="1" ht="14.25" customHeight="1">
      <c r="A139" s="439" t="s">
        <v>2687</v>
      </c>
      <c r="B139" s="436" t="s">
        <v>314</v>
      </c>
      <c r="C139" s="436" t="s">
        <v>894</v>
      </c>
      <c r="D139" s="477" t="s">
        <v>2763</v>
      </c>
      <c r="E139" s="71" t="s">
        <v>1390</v>
      </c>
      <c r="F139" s="71" t="s">
        <v>1862</v>
      </c>
      <c r="G139" s="71" t="s">
        <v>1863</v>
      </c>
      <c r="J139" s="71" t="s">
        <v>796</v>
      </c>
      <c r="K139" s="71" t="s">
        <v>796</v>
      </c>
      <c r="L139" s="435" t="s">
        <v>881</v>
      </c>
      <c r="M139" s="71" t="s">
        <v>296</v>
      </c>
      <c r="N139" s="71">
        <v>20.409645000000001</v>
      </c>
      <c r="O139" s="71">
        <v>93.314695</v>
      </c>
      <c r="P139" s="561" t="s">
        <v>797</v>
      </c>
      <c r="R139" s="438">
        <v>18</v>
      </c>
      <c r="S139" s="104">
        <v>72</v>
      </c>
      <c r="T139" s="109"/>
      <c r="U139" s="105" t="s">
        <v>858</v>
      </c>
      <c r="V139" s="71" t="s">
        <v>894</v>
      </c>
      <c r="W139" s="435"/>
    </row>
    <row r="140" spans="1:23" s="71" customFormat="1" ht="14.25" customHeight="1">
      <c r="A140" s="439" t="s">
        <v>2687</v>
      </c>
      <c r="B140" s="561" t="s">
        <v>314</v>
      </c>
      <c r="C140" s="75" t="s">
        <v>492</v>
      </c>
      <c r="D140" s="477" t="s">
        <v>1664</v>
      </c>
      <c r="E140" s="435">
        <v>197067</v>
      </c>
      <c r="F140" s="435"/>
      <c r="G140" s="435"/>
      <c r="H140" s="435"/>
      <c r="I140" s="435"/>
      <c r="J140" s="71" t="s">
        <v>796</v>
      </c>
      <c r="K140" s="435" t="s">
        <v>796</v>
      </c>
      <c r="L140" s="435" t="s">
        <v>796</v>
      </c>
      <c r="M140" s="435" t="s">
        <v>296</v>
      </c>
      <c r="N140" s="435">
        <v>20.51997948</v>
      </c>
      <c r="O140" s="435">
        <v>93.277252200000007</v>
      </c>
      <c r="P140" s="561" t="s">
        <v>797</v>
      </c>
      <c r="Q140" s="435" t="s">
        <v>778</v>
      </c>
      <c r="R140" s="438"/>
      <c r="S140" s="439"/>
      <c r="T140" s="452"/>
      <c r="U140" s="440"/>
      <c r="V140" s="435"/>
      <c r="W140" s="435"/>
    </row>
    <row r="141" spans="1:23" s="71" customFormat="1" ht="14.25" customHeight="1">
      <c r="A141" s="439" t="s">
        <v>2687</v>
      </c>
      <c r="B141" s="436" t="s">
        <v>314</v>
      </c>
      <c r="C141" s="436" t="s">
        <v>1135</v>
      </c>
      <c r="D141" s="477" t="s">
        <v>1664</v>
      </c>
      <c r="E141" s="71">
        <v>196999</v>
      </c>
      <c r="F141" s="435"/>
      <c r="J141" s="71" t="s">
        <v>796</v>
      </c>
      <c r="K141" s="435" t="s">
        <v>796</v>
      </c>
      <c r="L141" s="435" t="s">
        <v>796</v>
      </c>
      <c r="M141" s="71" t="s">
        <v>793</v>
      </c>
      <c r="P141" s="71" t="s">
        <v>797</v>
      </c>
      <c r="R141" s="438"/>
      <c r="S141" s="439"/>
      <c r="T141" s="109"/>
      <c r="U141" s="105"/>
      <c r="W141" s="435"/>
    </row>
    <row r="142" spans="1:23" s="71" customFormat="1" ht="14.25" customHeight="1">
      <c r="A142" s="439" t="s">
        <v>2687</v>
      </c>
      <c r="B142" s="436" t="s">
        <v>314</v>
      </c>
      <c r="C142" s="436" t="s">
        <v>465</v>
      </c>
      <c r="D142" s="477" t="s">
        <v>1664</v>
      </c>
      <c r="E142" s="71">
        <v>196998</v>
      </c>
      <c r="J142" s="71" t="s">
        <v>796</v>
      </c>
      <c r="K142" s="71" t="s">
        <v>796</v>
      </c>
      <c r="L142" s="71" t="s">
        <v>796</v>
      </c>
      <c r="M142" s="71" t="s">
        <v>296</v>
      </c>
      <c r="N142" s="435">
        <v>20.396680830000001</v>
      </c>
      <c r="O142" s="435">
        <v>93.252868649999996</v>
      </c>
      <c r="P142" s="71" t="s">
        <v>797</v>
      </c>
      <c r="Q142" s="71" t="s">
        <v>778</v>
      </c>
      <c r="R142" s="438"/>
      <c r="S142" s="439"/>
      <c r="T142" s="109"/>
      <c r="U142" s="105"/>
      <c r="V142" s="71" t="s">
        <v>889</v>
      </c>
    </row>
    <row r="143" spans="1:23" s="71" customFormat="1" ht="14.25" customHeight="1">
      <c r="A143" s="439" t="s">
        <v>2687</v>
      </c>
      <c r="B143" s="436" t="s">
        <v>314</v>
      </c>
      <c r="C143" s="436" t="s">
        <v>2654</v>
      </c>
      <c r="D143" s="477"/>
      <c r="E143" s="435">
        <v>220653</v>
      </c>
      <c r="F143" s="435"/>
      <c r="G143" s="435"/>
      <c r="H143" s="435"/>
      <c r="I143" s="435"/>
      <c r="J143" s="71" t="s">
        <v>796</v>
      </c>
      <c r="K143" s="71" t="s">
        <v>796</v>
      </c>
      <c r="L143" s="71" t="s">
        <v>796</v>
      </c>
      <c r="M143" s="435"/>
      <c r="N143" s="435"/>
      <c r="O143" s="435"/>
      <c r="P143" s="561" t="s">
        <v>797</v>
      </c>
      <c r="Q143" s="435"/>
      <c r="R143" s="438"/>
      <c r="S143" s="439"/>
      <c r="T143" s="452"/>
      <c r="U143" s="440"/>
      <c r="V143" s="435"/>
      <c r="W143" s="435"/>
    </row>
    <row r="144" spans="1:23" s="71" customFormat="1" ht="14.25" customHeight="1">
      <c r="A144" s="439" t="s">
        <v>2687</v>
      </c>
      <c r="B144" s="436" t="s">
        <v>314</v>
      </c>
      <c r="C144" s="436" t="s">
        <v>2645</v>
      </c>
      <c r="D144" s="477"/>
      <c r="E144" s="71">
        <v>197092</v>
      </c>
      <c r="F144" s="435"/>
      <c r="J144" s="71" t="s">
        <v>796</v>
      </c>
      <c r="K144" s="71" t="s">
        <v>796</v>
      </c>
      <c r="L144" s="71" t="s">
        <v>796</v>
      </c>
      <c r="P144" s="561" t="s">
        <v>797</v>
      </c>
      <c r="R144" s="438"/>
      <c r="S144" s="439"/>
      <c r="T144" s="109"/>
      <c r="U144" s="105"/>
      <c r="W144" s="435"/>
    </row>
    <row r="145" spans="1:23" s="71" customFormat="1" ht="14.25" customHeight="1">
      <c r="A145" s="439" t="s">
        <v>2687</v>
      </c>
      <c r="B145" s="436" t="s">
        <v>314</v>
      </c>
      <c r="C145" s="436" t="s">
        <v>2646</v>
      </c>
      <c r="D145" s="477"/>
      <c r="E145" s="71">
        <v>197100</v>
      </c>
      <c r="F145" s="71" t="s">
        <v>2733</v>
      </c>
      <c r="J145" s="71" t="s">
        <v>796</v>
      </c>
      <c r="K145" s="71" t="s">
        <v>796</v>
      </c>
      <c r="L145" s="71" t="s">
        <v>796</v>
      </c>
      <c r="P145" s="561" t="s">
        <v>797</v>
      </c>
      <c r="R145" s="103"/>
      <c r="S145" s="439"/>
      <c r="T145" s="109"/>
      <c r="U145" s="105"/>
    </row>
    <row r="146" spans="1:23" s="71" customFormat="1" ht="14.25" customHeight="1">
      <c r="A146" s="439" t="s">
        <v>2687</v>
      </c>
      <c r="B146" s="436" t="s">
        <v>314</v>
      </c>
      <c r="C146" s="436" t="s">
        <v>2637</v>
      </c>
      <c r="D146" s="477"/>
      <c r="E146" s="71">
        <v>197040</v>
      </c>
      <c r="J146" s="71" t="s">
        <v>796</v>
      </c>
      <c r="K146" s="71" t="s">
        <v>796</v>
      </c>
      <c r="L146" s="71" t="s">
        <v>796</v>
      </c>
      <c r="P146" s="561" t="s">
        <v>797</v>
      </c>
      <c r="R146" s="103"/>
      <c r="S146" s="439"/>
      <c r="T146" s="109"/>
      <c r="U146" s="105"/>
      <c r="W146" s="435"/>
    </row>
    <row r="147" spans="1:23" s="71" customFormat="1" ht="14.25" customHeight="1">
      <c r="A147" s="439" t="s">
        <v>2687</v>
      </c>
      <c r="B147" s="436" t="s">
        <v>314</v>
      </c>
      <c r="C147" s="436" t="s">
        <v>2653</v>
      </c>
      <c r="D147" s="477"/>
      <c r="E147" s="71">
        <v>197112</v>
      </c>
      <c r="F147" s="435"/>
      <c r="J147" s="71" t="s">
        <v>796</v>
      </c>
      <c r="K147" s="71" t="s">
        <v>796</v>
      </c>
      <c r="L147" s="71" t="s">
        <v>796</v>
      </c>
      <c r="P147" s="561" t="s">
        <v>797</v>
      </c>
      <c r="R147" s="103"/>
      <c r="S147" s="439"/>
      <c r="T147" s="109"/>
      <c r="U147" s="105"/>
    </row>
    <row r="148" spans="1:23" s="71" customFormat="1" ht="14.25" customHeight="1">
      <c r="A148" s="569" t="s">
        <v>2687</v>
      </c>
      <c r="B148" s="566" t="s">
        <v>314</v>
      </c>
      <c r="C148" s="566" t="s">
        <v>2644</v>
      </c>
      <c r="D148" s="477"/>
      <c r="J148" s="71" t="s">
        <v>796</v>
      </c>
      <c r="K148" s="71" t="s">
        <v>796</v>
      </c>
      <c r="L148" s="71" t="s">
        <v>796</v>
      </c>
      <c r="P148" s="561" t="s">
        <v>797</v>
      </c>
      <c r="R148" s="568"/>
      <c r="S148" s="439"/>
      <c r="T148" s="109"/>
      <c r="U148" s="570"/>
      <c r="W148" s="561"/>
    </row>
    <row r="149" spans="1:23" s="71" customFormat="1" ht="14.25" customHeight="1">
      <c r="A149" s="569" t="s">
        <v>2687</v>
      </c>
      <c r="B149" s="566" t="s">
        <v>314</v>
      </c>
      <c r="C149" s="566" t="s">
        <v>462</v>
      </c>
      <c r="D149" s="477" t="s">
        <v>2763</v>
      </c>
      <c r="E149" s="71" t="s">
        <v>1385</v>
      </c>
      <c r="F149" s="71" t="s">
        <v>1754</v>
      </c>
      <c r="G149" s="71" t="s">
        <v>1755</v>
      </c>
      <c r="J149" s="71" t="s">
        <v>796</v>
      </c>
      <c r="K149" s="71" t="s">
        <v>796</v>
      </c>
      <c r="L149" s="71" t="s">
        <v>881</v>
      </c>
      <c r="M149" s="71" t="s">
        <v>793</v>
      </c>
      <c r="N149" s="435">
        <v>20.392137999999999</v>
      </c>
      <c r="O149" s="435">
        <v>93.257272</v>
      </c>
      <c r="P149" s="561" t="s">
        <v>797</v>
      </c>
      <c r="Q149" s="71" t="s">
        <v>778</v>
      </c>
      <c r="R149" s="568">
        <v>203</v>
      </c>
      <c r="S149" s="104">
        <v>1420</v>
      </c>
      <c r="T149" s="109"/>
      <c r="U149" s="570"/>
      <c r="V149" s="71" t="s">
        <v>886</v>
      </c>
      <c r="W149" s="561"/>
    </row>
    <row r="150" spans="1:23" s="71" customFormat="1" ht="14.25" customHeight="1">
      <c r="A150" s="439" t="s">
        <v>2687</v>
      </c>
      <c r="B150" s="566" t="s">
        <v>314</v>
      </c>
      <c r="C150" s="566" t="s">
        <v>507</v>
      </c>
      <c r="D150" s="477" t="s">
        <v>2763</v>
      </c>
      <c r="E150" s="435" t="s">
        <v>1397</v>
      </c>
      <c r="F150" s="435" t="s">
        <v>1756</v>
      </c>
      <c r="G150" s="435" t="s">
        <v>1756</v>
      </c>
      <c r="H150" s="435"/>
      <c r="I150" s="435"/>
      <c r="J150" s="435" t="s">
        <v>796</v>
      </c>
      <c r="K150" s="435" t="s">
        <v>796</v>
      </c>
      <c r="L150" s="435" t="s">
        <v>881</v>
      </c>
      <c r="M150" s="435" t="s">
        <v>793</v>
      </c>
      <c r="N150" s="435">
        <v>20.587142</v>
      </c>
      <c r="O150" s="435">
        <v>93.258573999999996</v>
      </c>
      <c r="P150" s="71" t="s">
        <v>797</v>
      </c>
      <c r="Q150" s="435"/>
      <c r="R150" s="438">
        <v>275</v>
      </c>
      <c r="S150" s="439">
        <v>1707</v>
      </c>
      <c r="T150" s="452"/>
      <c r="U150" s="440" t="s">
        <v>858</v>
      </c>
      <c r="V150" s="435" t="s">
        <v>507</v>
      </c>
      <c r="W150" s="435"/>
    </row>
    <row r="151" spans="1:23" s="71" customFormat="1" ht="14.25" customHeight="1">
      <c r="A151" s="569" t="s">
        <v>2687</v>
      </c>
      <c r="B151" s="566" t="s">
        <v>314</v>
      </c>
      <c r="C151" s="566" t="s">
        <v>2636</v>
      </c>
      <c r="D151" s="477"/>
      <c r="E151" s="71">
        <v>197033</v>
      </c>
      <c r="F151" s="435"/>
      <c r="J151" s="71" t="s">
        <v>796</v>
      </c>
      <c r="K151" s="71" t="s">
        <v>796</v>
      </c>
      <c r="L151" s="71" t="s">
        <v>796</v>
      </c>
      <c r="P151" s="561" t="s">
        <v>797</v>
      </c>
      <c r="R151" s="568"/>
      <c r="S151" s="439"/>
      <c r="T151" s="109"/>
      <c r="U151" s="570"/>
      <c r="W151" s="561"/>
    </row>
    <row r="152" spans="1:23" s="71" customFormat="1" ht="14.25" customHeight="1">
      <c r="A152" s="569" t="s">
        <v>2687</v>
      </c>
      <c r="B152" s="566" t="s">
        <v>314</v>
      </c>
      <c r="C152" s="566" t="s">
        <v>1755</v>
      </c>
      <c r="D152" s="477"/>
      <c r="E152" s="71">
        <v>196997</v>
      </c>
      <c r="J152" s="71" t="s">
        <v>796</v>
      </c>
      <c r="K152" s="71" t="s">
        <v>796</v>
      </c>
      <c r="L152" s="71" t="s">
        <v>796</v>
      </c>
      <c r="P152" s="561" t="s">
        <v>797</v>
      </c>
      <c r="R152" s="568"/>
      <c r="S152" s="439"/>
      <c r="T152" s="109"/>
      <c r="U152" s="570"/>
      <c r="W152" s="561"/>
    </row>
    <row r="153" spans="1:23" s="71" customFormat="1" ht="14.25" customHeight="1">
      <c r="A153" s="569" t="s">
        <v>2687</v>
      </c>
      <c r="B153" s="566" t="s">
        <v>314</v>
      </c>
      <c r="C153" s="566" t="s">
        <v>2635</v>
      </c>
      <c r="D153" s="477"/>
      <c r="E153" s="71">
        <v>197036</v>
      </c>
      <c r="J153" s="71" t="s">
        <v>796</v>
      </c>
      <c r="K153" s="71" t="s">
        <v>796</v>
      </c>
      <c r="L153" s="71" t="s">
        <v>796</v>
      </c>
      <c r="P153" s="561" t="s">
        <v>797</v>
      </c>
      <c r="R153" s="568"/>
      <c r="S153" s="439"/>
      <c r="T153" s="109"/>
      <c r="U153" s="570"/>
      <c r="W153" s="561"/>
    </row>
    <row r="154" spans="1:23" s="71" customFormat="1" ht="14.25" customHeight="1">
      <c r="A154" s="569" t="s">
        <v>2687</v>
      </c>
      <c r="B154" s="566" t="s">
        <v>314</v>
      </c>
      <c r="C154" s="566" t="s">
        <v>2642</v>
      </c>
      <c r="D154" s="477"/>
      <c r="E154" s="435">
        <v>197089</v>
      </c>
      <c r="F154" s="435"/>
      <c r="J154" s="71" t="s">
        <v>796</v>
      </c>
      <c r="K154" s="435" t="s">
        <v>796</v>
      </c>
      <c r="L154" s="435" t="s">
        <v>796</v>
      </c>
      <c r="P154" s="561" t="s">
        <v>797</v>
      </c>
      <c r="R154" s="568"/>
      <c r="S154" s="439"/>
      <c r="T154" s="109"/>
      <c r="U154" s="570"/>
      <c r="W154" s="561"/>
    </row>
    <row r="155" spans="1:23" s="71" customFormat="1" ht="14.25" customHeight="1">
      <c r="A155" s="569" t="s">
        <v>2687</v>
      </c>
      <c r="B155" s="566" t="s">
        <v>314</v>
      </c>
      <c r="C155" s="566" t="s">
        <v>2648</v>
      </c>
      <c r="D155" s="477"/>
      <c r="E155" s="71">
        <v>197102</v>
      </c>
      <c r="F155" s="435" t="s">
        <v>2734</v>
      </c>
      <c r="J155" s="71" t="s">
        <v>796</v>
      </c>
      <c r="K155" s="435" t="s">
        <v>796</v>
      </c>
      <c r="L155" s="435" t="s">
        <v>796</v>
      </c>
      <c r="P155" s="561" t="s">
        <v>797</v>
      </c>
      <c r="R155" s="568"/>
      <c r="S155" s="439"/>
      <c r="T155" s="109"/>
      <c r="U155" s="570"/>
      <c r="W155" s="561"/>
    </row>
    <row r="156" spans="1:23" s="71" customFormat="1" ht="14.25" customHeight="1">
      <c r="A156" s="442" t="s">
        <v>2687</v>
      </c>
      <c r="B156" s="442" t="s">
        <v>314</v>
      </c>
      <c r="C156" s="443" t="s">
        <v>2777</v>
      </c>
      <c r="D156" s="437"/>
      <c r="E156" s="435">
        <v>197047</v>
      </c>
      <c r="J156" s="71" t="s">
        <v>2692</v>
      </c>
      <c r="K156" s="71" t="s">
        <v>2658</v>
      </c>
      <c r="L156" s="71" t="s">
        <v>2658</v>
      </c>
      <c r="N156" s="71">
        <v>20.454280853271499</v>
      </c>
      <c r="O156" s="71">
        <v>93.281562805175795</v>
      </c>
      <c r="P156" s="561" t="s">
        <v>1989</v>
      </c>
      <c r="R156" s="445"/>
      <c r="S156" s="439"/>
      <c r="T156" s="109">
        <v>43591</v>
      </c>
      <c r="U156" s="445"/>
      <c r="W156" s="438"/>
    </row>
    <row r="157" spans="1:23" s="71" customFormat="1" ht="14.25" customHeight="1">
      <c r="A157" s="572" t="s">
        <v>2687</v>
      </c>
      <c r="B157" s="572" t="s">
        <v>314</v>
      </c>
      <c r="C157" s="573" t="s">
        <v>2796</v>
      </c>
      <c r="D157" s="567"/>
      <c r="E157" s="71">
        <v>197051</v>
      </c>
      <c r="F157" s="435"/>
      <c r="J157" s="71" t="s">
        <v>2692</v>
      </c>
      <c r="K157" s="435" t="s">
        <v>2658</v>
      </c>
      <c r="L157" s="435" t="s">
        <v>2658</v>
      </c>
      <c r="N157" s="71">
        <v>20.599809646606399</v>
      </c>
      <c r="O157" s="71">
        <v>93.265541076660199</v>
      </c>
      <c r="P157" s="71" t="s">
        <v>1989</v>
      </c>
      <c r="R157" s="576"/>
      <c r="S157" s="439"/>
      <c r="T157" s="109">
        <v>43591</v>
      </c>
      <c r="U157" s="576"/>
      <c r="W157" s="568"/>
    </row>
    <row r="158" spans="1:23" s="71" customFormat="1" ht="14.25" customHeight="1">
      <c r="A158" s="439" t="s">
        <v>2687</v>
      </c>
      <c r="B158" s="435" t="s">
        <v>473</v>
      </c>
      <c r="C158" s="435" t="s">
        <v>550</v>
      </c>
      <c r="D158" s="477" t="s">
        <v>1664</v>
      </c>
      <c r="E158" s="71">
        <v>196643</v>
      </c>
      <c r="F158" s="435"/>
      <c r="J158" s="71" t="s">
        <v>796</v>
      </c>
      <c r="K158" s="71" t="s">
        <v>796</v>
      </c>
      <c r="L158" s="71" t="s">
        <v>796</v>
      </c>
      <c r="M158" s="71" t="s">
        <v>793</v>
      </c>
      <c r="N158" s="71">
        <v>20.69722939</v>
      </c>
      <c r="O158" s="71">
        <v>93.044059750000002</v>
      </c>
      <c r="P158" s="561" t="s">
        <v>797</v>
      </c>
      <c r="Q158" s="71" t="s">
        <v>778</v>
      </c>
      <c r="R158" s="438"/>
      <c r="S158" s="439"/>
      <c r="T158" s="109"/>
      <c r="U158" s="105"/>
      <c r="V158" s="71" t="s">
        <v>927</v>
      </c>
    </row>
    <row r="159" spans="1:23" s="71" customFormat="1" ht="14.25" customHeight="1">
      <c r="A159" s="442" t="s">
        <v>2687</v>
      </c>
      <c r="B159" s="442" t="s">
        <v>473</v>
      </c>
      <c r="C159" s="443" t="s">
        <v>2839</v>
      </c>
      <c r="D159" s="437"/>
      <c r="E159" s="71">
        <v>196610</v>
      </c>
      <c r="J159" s="71" t="s">
        <v>2692</v>
      </c>
      <c r="K159" s="71" t="s">
        <v>2658</v>
      </c>
      <c r="L159" s="71" t="s">
        <v>2658</v>
      </c>
      <c r="N159" s="71">
        <v>20.710781097412099</v>
      </c>
      <c r="O159" s="71">
        <v>93.127502441406307</v>
      </c>
      <c r="P159" s="561" t="s">
        <v>1989</v>
      </c>
      <c r="R159" s="445"/>
      <c r="S159" s="439"/>
      <c r="T159" s="109">
        <v>43591</v>
      </c>
      <c r="U159" s="445"/>
      <c r="W159" s="438"/>
    </row>
    <row r="160" spans="1:23" s="71" customFormat="1" ht="14.25" customHeight="1">
      <c r="A160" s="442" t="s">
        <v>2687</v>
      </c>
      <c r="B160" s="442" t="s">
        <v>473</v>
      </c>
      <c r="C160" s="443" t="s">
        <v>2786</v>
      </c>
      <c r="D160" s="437"/>
      <c r="E160" s="71" t="s">
        <v>2840</v>
      </c>
      <c r="J160" s="71" t="s">
        <v>2692</v>
      </c>
      <c r="K160" s="71" t="s">
        <v>2658</v>
      </c>
      <c r="L160" s="71" t="s">
        <v>2658</v>
      </c>
      <c r="P160" s="561" t="s">
        <v>1989</v>
      </c>
      <c r="R160" s="445"/>
      <c r="S160" s="439"/>
      <c r="T160" s="109">
        <v>43591</v>
      </c>
      <c r="U160" s="445"/>
      <c r="W160" s="438"/>
    </row>
    <row r="161" spans="1:23" s="71" customFormat="1" ht="14.25" customHeight="1">
      <c r="A161" s="442" t="s">
        <v>2687</v>
      </c>
      <c r="B161" s="442" t="s">
        <v>473</v>
      </c>
      <c r="C161" s="443" t="s">
        <v>2787</v>
      </c>
      <c r="D161" s="437"/>
      <c r="E161" s="71" t="s">
        <v>2840</v>
      </c>
      <c r="J161" s="71" t="s">
        <v>2692</v>
      </c>
      <c r="K161" s="71" t="s">
        <v>2658</v>
      </c>
      <c r="L161" s="71" t="s">
        <v>2658</v>
      </c>
      <c r="P161" s="561" t="s">
        <v>1989</v>
      </c>
      <c r="R161" s="445"/>
      <c r="S161" s="439"/>
      <c r="T161" s="109">
        <v>43591</v>
      </c>
      <c r="U161" s="445"/>
      <c r="W161" s="438"/>
    </row>
    <row r="162" spans="1:23" s="71" customFormat="1" ht="14.25" customHeight="1">
      <c r="A162" s="572" t="s">
        <v>2687</v>
      </c>
      <c r="B162" s="572" t="s">
        <v>473</v>
      </c>
      <c r="C162" s="573" t="s">
        <v>2788</v>
      </c>
      <c r="D162" s="567"/>
      <c r="E162" s="71" t="s">
        <v>2840</v>
      </c>
      <c r="J162" s="71" t="s">
        <v>2692</v>
      </c>
      <c r="K162" s="71" t="s">
        <v>2658</v>
      </c>
      <c r="L162" s="71" t="s">
        <v>2658</v>
      </c>
      <c r="P162" s="561" t="s">
        <v>1989</v>
      </c>
      <c r="R162" s="576"/>
      <c r="S162" s="439"/>
      <c r="T162" s="109">
        <v>43591</v>
      </c>
      <c r="U162" s="576"/>
      <c r="W162" s="568"/>
    </row>
    <row r="163" spans="1:23" s="71" customFormat="1" ht="14.25" customHeight="1">
      <c r="A163" s="572" t="s">
        <v>2687</v>
      </c>
      <c r="B163" s="572" t="s">
        <v>473</v>
      </c>
      <c r="C163" s="573" t="s">
        <v>2789</v>
      </c>
      <c r="D163" s="567"/>
      <c r="E163" s="71" t="s">
        <v>2840</v>
      </c>
      <c r="J163" s="71" t="s">
        <v>2692</v>
      </c>
      <c r="K163" s="71" t="s">
        <v>2658</v>
      </c>
      <c r="L163" s="71" t="s">
        <v>2658</v>
      </c>
      <c r="P163" s="71" t="s">
        <v>1989</v>
      </c>
      <c r="R163" s="576"/>
      <c r="S163" s="439"/>
      <c r="T163" s="109">
        <v>43591</v>
      </c>
      <c r="U163" s="576"/>
      <c r="W163" s="568"/>
    </row>
    <row r="164" spans="1:23" s="71" customFormat="1" ht="14.25" customHeight="1">
      <c r="A164" s="572" t="s">
        <v>2687</v>
      </c>
      <c r="B164" s="572" t="s">
        <v>473</v>
      </c>
      <c r="C164" s="573" t="s">
        <v>2790</v>
      </c>
      <c r="D164" s="567"/>
      <c r="E164" s="71" t="s">
        <v>2840</v>
      </c>
      <c r="F164" s="435"/>
      <c r="J164" s="71" t="s">
        <v>2692</v>
      </c>
      <c r="K164" s="71" t="s">
        <v>2658</v>
      </c>
      <c r="L164" s="71" t="s">
        <v>2658</v>
      </c>
      <c r="P164" s="435" t="s">
        <v>1989</v>
      </c>
      <c r="R164" s="576"/>
      <c r="S164" s="439"/>
      <c r="T164" s="109">
        <v>43591</v>
      </c>
      <c r="U164" s="576"/>
      <c r="W164" s="568"/>
    </row>
    <row r="165" spans="1:23" s="71" customFormat="1" ht="14.25" customHeight="1">
      <c r="A165" s="439" t="s">
        <v>2687</v>
      </c>
      <c r="B165" s="561" t="s">
        <v>473</v>
      </c>
      <c r="C165" s="561" t="s">
        <v>485</v>
      </c>
      <c r="D165" s="477" t="s">
        <v>1664</v>
      </c>
      <c r="E165" s="71">
        <v>196508</v>
      </c>
      <c r="J165" s="71" t="s">
        <v>796</v>
      </c>
      <c r="K165" s="71" t="s">
        <v>796</v>
      </c>
      <c r="L165" s="71" t="s">
        <v>796</v>
      </c>
      <c r="M165" s="71" t="s">
        <v>296</v>
      </c>
      <c r="N165" s="71">
        <v>20.489089969999998</v>
      </c>
      <c r="O165" s="71">
        <v>93.211738589999996</v>
      </c>
      <c r="P165" s="561" t="s">
        <v>797</v>
      </c>
      <c r="Q165" s="71" t="s">
        <v>778</v>
      </c>
      <c r="R165" s="438"/>
      <c r="S165" s="439"/>
      <c r="T165" s="109"/>
      <c r="U165" s="105"/>
      <c r="V165" s="71" t="s">
        <v>898</v>
      </c>
    </row>
    <row r="166" spans="1:23" s="71" customFormat="1" ht="14.25" customHeight="1">
      <c r="A166" s="439" t="s">
        <v>2687</v>
      </c>
      <c r="B166" s="572" t="s">
        <v>473</v>
      </c>
      <c r="C166" s="573" t="s">
        <v>3032</v>
      </c>
      <c r="D166" s="567"/>
      <c r="E166" s="435">
        <v>196609</v>
      </c>
      <c r="F166" s="435" t="s">
        <v>3032</v>
      </c>
      <c r="G166" s="435"/>
      <c r="H166" s="435"/>
      <c r="I166" s="435"/>
      <c r="J166" s="435" t="s">
        <v>796</v>
      </c>
      <c r="K166" s="435" t="s">
        <v>796</v>
      </c>
      <c r="L166" s="435" t="s">
        <v>796</v>
      </c>
      <c r="M166" s="435"/>
      <c r="N166" s="435">
        <v>20.685459136962901</v>
      </c>
      <c r="O166" s="435">
        <v>93.127792358398395</v>
      </c>
      <c r="P166" s="561" t="s">
        <v>797</v>
      </c>
      <c r="Q166" s="435" t="s">
        <v>3026</v>
      </c>
      <c r="R166" s="576"/>
      <c r="S166" s="439"/>
      <c r="T166" s="452">
        <v>43768</v>
      </c>
      <c r="U166" s="576"/>
      <c r="V166" s="435"/>
      <c r="W166" s="568"/>
    </row>
    <row r="167" spans="1:23" s="71" customFormat="1" ht="14.25" customHeight="1">
      <c r="A167" s="569" t="s">
        <v>2687</v>
      </c>
      <c r="B167" s="561" t="s">
        <v>473</v>
      </c>
      <c r="C167" s="561" t="s">
        <v>2607</v>
      </c>
      <c r="D167" s="477"/>
      <c r="E167" s="435"/>
      <c r="F167" s="435"/>
      <c r="J167" s="71" t="s">
        <v>2692</v>
      </c>
      <c r="K167" s="71" t="s">
        <v>2658</v>
      </c>
      <c r="L167" s="71" t="s">
        <v>2658</v>
      </c>
      <c r="P167" s="561" t="s">
        <v>1989</v>
      </c>
      <c r="R167" s="568"/>
      <c r="S167" s="439"/>
      <c r="T167" s="109"/>
      <c r="U167" s="570"/>
      <c r="W167" s="561"/>
    </row>
    <row r="168" spans="1:23" s="71" customFormat="1" ht="14.25" customHeight="1">
      <c r="A168" s="442" t="s">
        <v>2687</v>
      </c>
      <c r="B168" s="442" t="s">
        <v>473</v>
      </c>
      <c r="C168" s="443" t="s">
        <v>553</v>
      </c>
      <c r="D168" s="437"/>
      <c r="E168" s="435"/>
      <c r="J168" s="71" t="s">
        <v>2692</v>
      </c>
      <c r="K168" s="71" t="s">
        <v>2658</v>
      </c>
      <c r="L168" s="71" t="s">
        <v>2658</v>
      </c>
      <c r="P168" s="561" t="s">
        <v>1989</v>
      </c>
      <c r="R168" s="445"/>
      <c r="S168" s="439"/>
      <c r="T168" s="109">
        <v>43591</v>
      </c>
      <c r="U168" s="445"/>
      <c r="W168" s="438"/>
    </row>
    <row r="169" spans="1:23" s="71" customFormat="1" ht="14.25" customHeight="1">
      <c r="A169" s="572" t="s">
        <v>2687</v>
      </c>
      <c r="B169" s="572" t="s">
        <v>473</v>
      </c>
      <c r="C169" s="573" t="s">
        <v>2841</v>
      </c>
      <c r="D169" s="567"/>
      <c r="E169" s="71">
        <v>196475</v>
      </c>
      <c r="F169" s="435"/>
      <c r="J169" s="71" t="s">
        <v>2692</v>
      </c>
      <c r="K169" s="435" t="s">
        <v>2658</v>
      </c>
      <c r="L169" s="435" t="s">
        <v>2658</v>
      </c>
      <c r="P169" s="561" t="s">
        <v>1989</v>
      </c>
      <c r="R169" s="576"/>
      <c r="S169" s="439"/>
      <c r="T169" s="109">
        <v>43591</v>
      </c>
      <c r="U169" s="576"/>
      <c r="W169" s="568"/>
    </row>
    <row r="170" spans="1:23" s="71" customFormat="1" ht="14.25" customHeight="1">
      <c r="A170" s="439" t="s">
        <v>2687</v>
      </c>
      <c r="B170" s="572" t="s">
        <v>473</v>
      </c>
      <c r="C170" s="573" t="s">
        <v>3031</v>
      </c>
      <c r="D170" s="567"/>
      <c r="E170" s="435">
        <v>196647</v>
      </c>
      <c r="F170" s="71" t="s">
        <v>3031</v>
      </c>
      <c r="I170" s="435"/>
      <c r="J170" s="71" t="s">
        <v>796</v>
      </c>
      <c r="K170" s="71" t="s">
        <v>796</v>
      </c>
      <c r="L170" s="71" t="s">
        <v>796</v>
      </c>
      <c r="N170" s="71">
        <v>20.774000167846701</v>
      </c>
      <c r="O170" s="71">
        <v>93.060752868652301</v>
      </c>
      <c r="P170" s="71" t="s">
        <v>797</v>
      </c>
      <c r="Q170" s="71" t="s">
        <v>3026</v>
      </c>
      <c r="R170" s="576"/>
      <c r="S170" s="439"/>
      <c r="T170" s="109">
        <v>43768</v>
      </c>
      <c r="U170" s="576"/>
      <c r="W170" s="568"/>
    </row>
    <row r="171" spans="1:23" s="71" customFormat="1" ht="14.25" customHeight="1">
      <c r="A171" s="439" t="s">
        <v>2687</v>
      </c>
      <c r="B171" s="572" t="s">
        <v>473</v>
      </c>
      <c r="C171" s="573" t="s">
        <v>2769</v>
      </c>
      <c r="D171" s="567"/>
      <c r="E171" s="71">
        <v>196646</v>
      </c>
      <c r="F171" s="561" t="s">
        <v>2769</v>
      </c>
      <c r="J171" s="71" t="s">
        <v>796</v>
      </c>
      <c r="K171" s="435" t="s">
        <v>796</v>
      </c>
      <c r="L171" s="435" t="s">
        <v>796</v>
      </c>
      <c r="N171" s="71">
        <v>20.7459907531738</v>
      </c>
      <c r="O171" s="71">
        <v>93.055381774902301</v>
      </c>
      <c r="P171" s="561" t="s">
        <v>797</v>
      </c>
      <c r="Q171" s="561" t="s">
        <v>3026</v>
      </c>
      <c r="R171" s="576"/>
      <c r="S171" s="439"/>
      <c r="T171" s="588">
        <v>43768</v>
      </c>
      <c r="U171" s="576"/>
      <c r="W171" s="568"/>
    </row>
    <row r="172" spans="1:23" s="71" customFormat="1" ht="14.25" customHeight="1">
      <c r="A172" s="569" t="s">
        <v>2687</v>
      </c>
      <c r="B172" s="572" t="s">
        <v>473</v>
      </c>
      <c r="C172" s="573" t="s">
        <v>3029</v>
      </c>
      <c r="D172" s="567"/>
      <c r="E172" s="71">
        <v>196657</v>
      </c>
      <c r="F172" s="561" t="s">
        <v>3029</v>
      </c>
      <c r="J172" s="71" t="s">
        <v>796</v>
      </c>
      <c r="K172" s="435" t="s">
        <v>796</v>
      </c>
      <c r="L172" s="435" t="s">
        <v>796</v>
      </c>
      <c r="N172" s="71">
        <v>20.840990066528299</v>
      </c>
      <c r="O172" s="71">
        <v>93.072242736816406</v>
      </c>
      <c r="P172" s="435" t="s">
        <v>797</v>
      </c>
      <c r="Q172" s="561" t="s">
        <v>3026</v>
      </c>
      <c r="R172" s="576"/>
      <c r="S172" s="439"/>
      <c r="T172" s="588">
        <v>43768</v>
      </c>
      <c r="U172" s="576"/>
      <c r="W172" s="568"/>
    </row>
    <row r="173" spans="1:23" s="71" customFormat="1" ht="14.25" customHeight="1">
      <c r="A173" s="572" t="s">
        <v>2687</v>
      </c>
      <c r="B173" s="572" t="s">
        <v>473</v>
      </c>
      <c r="C173" s="573" t="s">
        <v>2793</v>
      </c>
      <c r="D173" s="567"/>
      <c r="E173" s="435"/>
      <c r="F173" s="435"/>
      <c r="G173" s="435"/>
      <c r="H173" s="435"/>
      <c r="I173" s="435"/>
      <c r="J173" s="435" t="s">
        <v>2692</v>
      </c>
      <c r="K173" s="435" t="s">
        <v>2658</v>
      </c>
      <c r="L173" s="435" t="s">
        <v>2658</v>
      </c>
      <c r="M173" s="435"/>
      <c r="N173" s="435"/>
      <c r="O173" s="435"/>
      <c r="P173" s="561" t="s">
        <v>1989</v>
      </c>
      <c r="Q173" s="435"/>
      <c r="R173" s="576"/>
      <c r="S173" s="439"/>
      <c r="T173" s="452">
        <v>43591</v>
      </c>
      <c r="U173" s="576"/>
      <c r="V173" s="435"/>
      <c r="W173" s="568"/>
    </row>
    <row r="174" spans="1:23" s="71" customFormat="1" ht="14.25" customHeight="1">
      <c r="A174" s="569" t="s">
        <v>2687</v>
      </c>
      <c r="B174" s="561" t="s">
        <v>473</v>
      </c>
      <c r="C174" s="561" t="s">
        <v>2600</v>
      </c>
      <c r="D174" s="477"/>
      <c r="J174" s="71" t="s">
        <v>2692</v>
      </c>
      <c r="K174" s="435" t="s">
        <v>2658</v>
      </c>
      <c r="L174" s="435" t="s">
        <v>2691</v>
      </c>
      <c r="P174" s="561" t="s">
        <v>1989</v>
      </c>
      <c r="R174" s="568"/>
      <c r="S174" s="439"/>
      <c r="T174" s="109"/>
      <c r="U174" s="570" t="s">
        <v>2596</v>
      </c>
      <c r="W174" s="561"/>
    </row>
    <row r="175" spans="1:23" s="71" customFormat="1" ht="14.25" customHeight="1">
      <c r="A175" s="569" t="s">
        <v>2687</v>
      </c>
      <c r="B175" s="561" t="s">
        <v>473</v>
      </c>
      <c r="C175" s="561" t="s">
        <v>476</v>
      </c>
      <c r="D175" s="477" t="s">
        <v>1664</v>
      </c>
      <c r="E175" s="561">
        <v>196496</v>
      </c>
      <c r="F175" s="561"/>
      <c r="G175" s="561"/>
      <c r="H175" s="561"/>
      <c r="I175" s="561"/>
      <c r="J175" s="71" t="s">
        <v>796</v>
      </c>
      <c r="K175" s="435" t="s">
        <v>796</v>
      </c>
      <c r="L175" s="435" t="s">
        <v>796</v>
      </c>
      <c r="M175" s="561" t="s">
        <v>296</v>
      </c>
      <c r="N175" s="561">
        <v>20.46477509</v>
      </c>
      <c r="O175" s="561">
        <v>93.269363400000003</v>
      </c>
      <c r="P175" s="561" t="s">
        <v>797</v>
      </c>
      <c r="Q175" s="561" t="s">
        <v>778</v>
      </c>
      <c r="R175" s="568"/>
      <c r="S175" s="569"/>
      <c r="T175" s="588"/>
      <c r="U175" s="570"/>
      <c r="V175" s="561" t="s">
        <v>476</v>
      </c>
      <c r="W175" s="561"/>
    </row>
    <row r="176" spans="1:23" s="71" customFormat="1" ht="14.25" customHeight="1">
      <c r="A176" s="439" t="s">
        <v>2687</v>
      </c>
      <c r="B176" s="561" t="s">
        <v>473</v>
      </c>
      <c r="C176" s="561" t="s">
        <v>474</v>
      </c>
      <c r="D176" s="477" t="s">
        <v>1664</v>
      </c>
      <c r="E176" s="561">
        <v>220626</v>
      </c>
      <c r="F176" s="561"/>
      <c r="G176" s="561"/>
      <c r="H176" s="561"/>
      <c r="I176" s="561"/>
      <c r="J176" s="71" t="s">
        <v>796</v>
      </c>
      <c r="K176" s="435" t="s">
        <v>796</v>
      </c>
      <c r="L176" s="435" t="s">
        <v>796</v>
      </c>
      <c r="M176" s="561" t="s">
        <v>296</v>
      </c>
      <c r="N176" s="561">
        <v>20.46252441</v>
      </c>
      <c r="O176" s="561">
        <v>93.257278439999993</v>
      </c>
      <c r="P176" s="71" t="s">
        <v>797</v>
      </c>
      <c r="Q176" s="561" t="s">
        <v>778</v>
      </c>
      <c r="R176" s="568"/>
      <c r="S176" s="569"/>
      <c r="T176" s="588"/>
      <c r="U176" s="570"/>
      <c r="V176" s="561" t="s">
        <v>896</v>
      </c>
      <c r="W176" s="435"/>
    </row>
    <row r="177" spans="1:23" s="71" customFormat="1" ht="14.25" customHeight="1">
      <c r="A177" s="439" t="s">
        <v>2687</v>
      </c>
      <c r="B177" s="566" t="s">
        <v>473</v>
      </c>
      <c r="C177" s="566" t="s">
        <v>2842</v>
      </c>
      <c r="D177" s="477"/>
      <c r="E177" s="71">
        <v>196661</v>
      </c>
      <c r="J177" s="71" t="s">
        <v>2692</v>
      </c>
      <c r="K177" s="71" t="s">
        <v>2658</v>
      </c>
      <c r="L177" s="71" t="s">
        <v>2658</v>
      </c>
      <c r="N177" s="71">
        <v>20.829959869384801</v>
      </c>
      <c r="O177" s="71">
        <v>93.073478698730497</v>
      </c>
      <c r="P177" s="71" t="s">
        <v>1989</v>
      </c>
      <c r="R177" s="438"/>
      <c r="S177" s="439"/>
      <c r="T177" s="109"/>
      <c r="U177" s="105"/>
    </row>
    <row r="178" spans="1:23" s="71" customFormat="1" ht="14.25" customHeight="1">
      <c r="A178" s="439" t="s">
        <v>2687</v>
      </c>
      <c r="B178" s="561" t="s">
        <v>473</v>
      </c>
      <c r="C178" s="561" t="s">
        <v>2599</v>
      </c>
      <c r="D178" s="477"/>
      <c r="J178" s="71" t="s">
        <v>2692</v>
      </c>
      <c r="K178" s="71" t="s">
        <v>2658</v>
      </c>
      <c r="L178" s="435" t="s">
        <v>2691</v>
      </c>
      <c r="P178" s="561" t="s">
        <v>1989</v>
      </c>
      <c r="R178" s="438"/>
      <c r="S178" s="439"/>
      <c r="T178" s="109"/>
      <c r="U178" s="105" t="s">
        <v>2596</v>
      </c>
    </row>
    <row r="179" spans="1:23" s="71" customFormat="1" ht="14.25" customHeight="1">
      <c r="A179" s="569" t="s">
        <v>2687</v>
      </c>
      <c r="B179" s="561" t="s">
        <v>473</v>
      </c>
      <c r="C179" s="561" t="s">
        <v>2606</v>
      </c>
      <c r="D179" s="477"/>
      <c r="F179" s="561"/>
      <c r="J179" s="71" t="s">
        <v>2692</v>
      </c>
      <c r="K179" s="435" t="s">
        <v>2658</v>
      </c>
      <c r="L179" s="435" t="s">
        <v>2658</v>
      </c>
      <c r="P179" s="561" t="s">
        <v>1989</v>
      </c>
      <c r="R179" s="568"/>
      <c r="S179" s="439"/>
      <c r="T179" s="109"/>
      <c r="U179" s="570"/>
      <c r="W179" s="561"/>
    </row>
    <row r="180" spans="1:23" s="71" customFormat="1" ht="14.25" customHeight="1">
      <c r="A180" s="572" t="s">
        <v>2687</v>
      </c>
      <c r="B180" s="572" t="s">
        <v>473</v>
      </c>
      <c r="C180" s="573" t="s">
        <v>2791</v>
      </c>
      <c r="D180" s="567"/>
      <c r="J180" s="71" t="s">
        <v>2692</v>
      </c>
      <c r="K180" s="435" t="s">
        <v>2658</v>
      </c>
      <c r="L180" s="435" t="s">
        <v>2658</v>
      </c>
      <c r="N180" s="435"/>
      <c r="O180" s="435"/>
      <c r="P180" s="561" t="s">
        <v>1989</v>
      </c>
      <c r="R180" s="576"/>
      <c r="S180" s="439"/>
      <c r="T180" s="109">
        <v>43591</v>
      </c>
      <c r="U180" s="576"/>
      <c r="W180" s="568"/>
    </row>
    <row r="181" spans="1:23" s="71" customFormat="1" ht="14.25" customHeight="1">
      <c r="A181" s="569" t="s">
        <v>2687</v>
      </c>
      <c r="B181" s="572" t="s">
        <v>473</v>
      </c>
      <c r="C181" s="573" t="s">
        <v>3028</v>
      </c>
      <c r="D181" s="567"/>
      <c r="E181" s="435">
        <v>196483</v>
      </c>
      <c r="F181" s="561" t="s">
        <v>3028</v>
      </c>
      <c r="G181" s="435"/>
      <c r="H181" s="435"/>
      <c r="I181" s="435"/>
      <c r="J181" s="435" t="s">
        <v>796</v>
      </c>
      <c r="K181" s="435" t="s">
        <v>796</v>
      </c>
      <c r="L181" s="435" t="s">
        <v>796</v>
      </c>
      <c r="M181" s="435"/>
      <c r="N181" s="435">
        <v>20.5348205566406</v>
      </c>
      <c r="O181" s="435">
        <v>93.253181457519503</v>
      </c>
      <c r="P181" s="561" t="s">
        <v>797</v>
      </c>
      <c r="Q181" s="435" t="s">
        <v>3026</v>
      </c>
      <c r="R181" s="576"/>
      <c r="S181" s="569"/>
      <c r="T181" s="452">
        <v>43768</v>
      </c>
      <c r="U181" s="576"/>
      <c r="V181" s="435"/>
      <c r="W181" s="568"/>
    </row>
    <row r="182" spans="1:23" s="71" customFormat="1" ht="14.25" customHeight="1">
      <c r="A182" s="572" t="s">
        <v>2687</v>
      </c>
      <c r="B182" s="572" t="s">
        <v>473</v>
      </c>
      <c r="C182" s="573" t="s">
        <v>2794</v>
      </c>
      <c r="D182" s="567"/>
      <c r="E182" s="71">
        <v>196448</v>
      </c>
      <c r="J182" s="71" t="s">
        <v>2692</v>
      </c>
      <c r="K182" s="435" t="s">
        <v>2658</v>
      </c>
      <c r="L182" s="435" t="s">
        <v>2658</v>
      </c>
      <c r="N182" s="71">
        <v>20.6728000640869</v>
      </c>
      <c r="O182" s="71">
        <v>93.243469238281307</v>
      </c>
      <c r="P182" s="561" t="s">
        <v>1989</v>
      </c>
      <c r="R182" s="576"/>
      <c r="S182" s="569"/>
      <c r="T182" s="109">
        <v>43591</v>
      </c>
      <c r="U182" s="576"/>
      <c r="W182" s="568"/>
    </row>
    <row r="183" spans="1:23" s="71" customFormat="1" ht="14.25" customHeight="1">
      <c r="A183" s="569" t="s">
        <v>2687</v>
      </c>
      <c r="B183" s="561" t="s">
        <v>473</v>
      </c>
      <c r="C183" s="561" t="s">
        <v>551</v>
      </c>
      <c r="D183" s="477" t="s">
        <v>1664</v>
      </c>
      <c r="E183" s="71">
        <v>196642</v>
      </c>
      <c r="J183" s="71" t="s">
        <v>796</v>
      </c>
      <c r="K183" s="435" t="s">
        <v>796</v>
      </c>
      <c r="L183" s="435" t="s">
        <v>796</v>
      </c>
      <c r="M183" s="71" t="s">
        <v>296</v>
      </c>
      <c r="N183" s="71">
        <v>20.70355034</v>
      </c>
      <c r="O183" s="71">
        <v>93.060462950000002</v>
      </c>
      <c r="P183" s="561" t="s">
        <v>797</v>
      </c>
      <c r="Q183" s="71" t="s">
        <v>778</v>
      </c>
      <c r="R183" s="568"/>
      <c r="S183" s="439"/>
      <c r="T183" s="109"/>
      <c r="U183" s="570"/>
      <c r="V183" s="71" t="s">
        <v>551</v>
      </c>
      <c r="W183" s="561"/>
    </row>
    <row r="184" spans="1:23" s="71" customFormat="1" ht="14.25" customHeight="1">
      <c r="A184" s="569" t="s">
        <v>2687</v>
      </c>
      <c r="B184" s="561" t="s">
        <v>473</v>
      </c>
      <c r="C184" s="561" t="s">
        <v>2603</v>
      </c>
      <c r="D184" s="477"/>
      <c r="F184" s="561"/>
      <c r="J184" s="71" t="s">
        <v>2692</v>
      </c>
      <c r="K184" s="71" t="s">
        <v>2658</v>
      </c>
      <c r="L184" s="71" t="s">
        <v>2658</v>
      </c>
      <c r="P184" s="561" t="s">
        <v>1989</v>
      </c>
      <c r="Q184" s="561"/>
      <c r="R184" s="568"/>
      <c r="S184" s="439"/>
      <c r="T184" s="588"/>
      <c r="U184" s="570"/>
      <c r="W184" s="561"/>
    </row>
    <row r="185" spans="1:23" s="71" customFormat="1" ht="14.25" customHeight="1">
      <c r="A185" s="569" t="s">
        <v>2687</v>
      </c>
      <c r="B185" s="572" t="s">
        <v>473</v>
      </c>
      <c r="C185" s="566" t="s">
        <v>907</v>
      </c>
      <c r="D185" s="477" t="s">
        <v>2763</v>
      </c>
      <c r="E185" s="71" t="s">
        <v>1396</v>
      </c>
      <c r="F185" s="566" t="s">
        <v>1866</v>
      </c>
      <c r="G185" s="71" t="s">
        <v>1866</v>
      </c>
      <c r="J185" s="71" t="s">
        <v>796</v>
      </c>
      <c r="K185" s="71" t="s">
        <v>796</v>
      </c>
      <c r="L185" s="435" t="s">
        <v>881</v>
      </c>
      <c r="M185" s="71" t="s">
        <v>793</v>
      </c>
      <c r="N185" s="71">
        <v>20.576577</v>
      </c>
      <c r="O185" s="71">
        <v>93.245551000000006</v>
      </c>
      <c r="P185" s="561" t="s">
        <v>797</v>
      </c>
      <c r="Q185" s="566"/>
      <c r="R185" s="568">
        <v>204</v>
      </c>
      <c r="S185" s="439">
        <v>1265</v>
      </c>
      <c r="T185" s="589"/>
      <c r="U185" s="570" t="s">
        <v>858</v>
      </c>
      <c r="V185" s="71" t="s">
        <v>907</v>
      </c>
      <c r="W185" s="561"/>
    </row>
    <row r="186" spans="1:23" s="71" customFormat="1" ht="14.25" customHeight="1">
      <c r="A186" s="569" t="s">
        <v>2687</v>
      </c>
      <c r="B186" s="572" t="s">
        <v>473</v>
      </c>
      <c r="C186" s="573" t="s">
        <v>3017</v>
      </c>
      <c r="D186" s="567"/>
      <c r="E186" s="71">
        <v>196533</v>
      </c>
      <c r="F186" s="71" t="s">
        <v>3027</v>
      </c>
      <c r="J186" s="71" t="s">
        <v>796</v>
      </c>
      <c r="K186" s="71" t="s">
        <v>796</v>
      </c>
      <c r="L186" s="435" t="s">
        <v>796</v>
      </c>
      <c r="N186" s="71">
        <v>20.4424648284912</v>
      </c>
      <c r="O186" s="71">
        <v>93.2396240234375</v>
      </c>
      <c r="P186" s="561" t="s">
        <v>797</v>
      </c>
      <c r="Q186" s="71" t="s">
        <v>3026</v>
      </c>
      <c r="R186" s="576"/>
      <c r="S186" s="439"/>
      <c r="T186" s="109">
        <v>43768</v>
      </c>
      <c r="U186" s="576"/>
      <c r="W186" s="568"/>
    </row>
    <row r="187" spans="1:23" s="71" customFormat="1" ht="14.25" customHeight="1">
      <c r="A187" s="569" t="s">
        <v>2687</v>
      </c>
      <c r="B187" s="561" t="s">
        <v>473</v>
      </c>
      <c r="C187" s="561" t="s">
        <v>2605</v>
      </c>
      <c r="D187" s="477"/>
      <c r="J187" s="71" t="s">
        <v>2692</v>
      </c>
      <c r="K187" s="71" t="s">
        <v>2658</v>
      </c>
      <c r="L187" s="435" t="s">
        <v>2691</v>
      </c>
      <c r="P187" s="71" t="s">
        <v>1989</v>
      </c>
      <c r="R187" s="568"/>
      <c r="S187" s="439"/>
      <c r="T187" s="109"/>
      <c r="U187" s="570" t="s">
        <v>2596</v>
      </c>
      <c r="W187" s="561"/>
    </row>
    <row r="188" spans="1:23" s="71" customFormat="1" ht="14.25" customHeight="1">
      <c r="A188" s="569" t="s">
        <v>2687</v>
      </c>
      <c r="B188" s="561" t="s">
        <v>473</v>
      </c>
      <c r="C188" s="561" t="s">
        <v>2601</v>
      </c>
      <c r="D188" s="477"/>
      <c r="E188" s="435"/>
      <c r="F188" s="435"/>
      <c r="J188" s="71" t="s">
        <v>2692</v>
      </c>
      <c r="K188" s="435" t="s">
        <v>2658</v>
      </c>
      <c r="L188" s="435" t="s">
        <v>2691</v>
      </c>
      <c r="P188" s="561" t="s">
        <v>1989</v>
      </c>
      <c r="R188" s="568"/>
      <c r="S188" s="439"/>
      <c r="T188" s="109"/>
      <c r="U188" s="570" t="s">
        <v>2596</v>
      </c>
      <c r="W188" s="561"/>
    </row>
    <row r="189" spans="1:23" s="71" customFormat="1" ht="14.25" customHeight="1">
      <c r="A189" s="572" t="s">
        <v>2687</v>
      </c>
      <c r="B189" s="572" t="s">
        <v>473</v>
      </c>
      <c r="C189" s="573" t="s">
        <v>2785</v>
      </c>
      <c r="D189" s="567"/>
      <c r="E189" s="561"/>
      <c r="F189" s="561"/>
      <c r="G189" s="561"/>
      <c r="H189" s="561"/>
      <c r="I189" s="561"/>
      <c r="J189" s="71" t="s">
        <v>2692</v>
      </c>
      <c r="K189" s="435" t="s">
        <v>2658</v>
      </c>
      <c r="L189" s="435" t="s">
        <v>2658</v>
      </c>
      <c r="M189" s="561"/>
      <c r="N189" s="561"/>
      <c r="O189" s="561"/>
      <c r="P189" s="561" t="s">
        <v>1989</v>
      </c>
      <c r="Q189" s="561"/>
      <c r="R189" s="576"/>
      <c r="S189" s="569"/>
      <c r="T189" s="588">
        <v>43591</v>
      </c>
      <c r="U189" s="576"/>
      <c r="V189" s="561"/>
      <c r="W189" s="568"/>
    </row>
    <row r="190" spans="1:23" s="71" customFormat="1" ht="14.25" customHeight="1">
      <c r="A190" s="569" t="s">
        <v>2687</v>
      </c>
      <c r="B190" s="572" t="s">
        <v>473</v>
      </c>
      <c r="C190" s="566" t="s">
        <v>910</v>
      </c>
      <c r="D190" s="478" t="s">
        <v>1664</v>
      </c>
      <c r="E190" s="566">
        <v>196429</v>
      </c>
      <c r="F190" s="566"/>
      <c r="G190" s="566"/>
      <c r="H190" s="566"/>
      <c r="I190" s="566"/>
      <c r="J190" s="71" t="s">
        <v>796</v>
      </c>
      <c r="K190" s="435" t="s">
        <v>796</v>
      </c>
      <c r="L190" s="435" t="s">
        <v>796</v>
      </c>
      <c r="M190" s="566" t="s">
        <v>296</v>
      </c>
      <c r="N190" s="566">
        <v>20.58151054</v>
      </c>
      <c r="O190" s="566">
        <v>93.24609375</v>
      </c>
      <c r="P190" s="561" t="s">
        <v>797</v>
      </c>
      <c r="Q190" s="566"/>
      <c r="R190" s="577"/>
      <c r="S190" s="573"/>
      <c r="T190" s="589"/>
      <c r="U190" s="574"/>
      <c r="V190" s="566" t="s">
        <v>910</v>
      </c>
      <c r="W190" s="561"/>
    </row>
    <row r="191" spans="1:23" s="71" customFormat="1" ht="14.25" customHeight="1">
      <c r="A191" s="569" t="s">
        <v>2687</v>
      </c>
      <c r="B191" s="566" t="s">
        <v>473</v>
      </c>
      <c r="C191" s="566" t="s">
        <v>915</v>
      </c>
      <c r="D191" s="477" t="s">
        <v>2763</v>
      </c>
      <c r="E191" s="435" t="s">
        <v>1398</v>
      </c>
      <c r="F191" s="435" t="s">
        <v>493</v>
      </c>
      <c r="G191" s="71" t="s">
        <v>1867</v>
      </c>
      <c r="J191" s="71" t="s">
        <v>796</v>
      </c>
      <c r="K191" s="435" t="s">
        <v>796</v>
      </c>
      <c r="L191" s="435" t="s">
        <v>819</v>
      </c>
      <c r="M191" s="71" t="s">
        <v>296</v>
      </c>
      <c r="N191" s="71">
        <v>20.61692</v>
      </c>
      <c r="O191" s="71">
        <v>93.239519999999999</v>
      </c>
      <c r="P191" s="561" t="s">
        <v>797</v>
      </c>
      <c r="R191" s="568">
        <v>10</v>
      </c>
      <c r="S191" s="439">
        <v>64</v>
      </c>
      <c r="T191" s="109"/>
      <c r="U191" s="570" t="s">
        <v>858</v>
      </c>
      <c r="V191" s="71" t="s">
        <v>915</v>
      </c>
      <c r="W191" s="561"/>
    </row>
    <row r="192" spans="1:23" s="71" customFormat="1" ht="14.25" customHeight="1">
      <c r="A192" s="569" t="s">
        <v>2687</v>
      </c>
      <c r="B192" s="566" t="s">
        <v>473</v>
      </c>
      <c r="C192" s="566" t="s">
        <v>2598</v>
      </c>
      <c r="D192" s="477"/>
      <c r="E192" s="435">
        <v>196465</v>
      </c>
      <c r="F192" s="561"/>
      <c r="G192" s="435"/>
      <c r="H192" s="435"/>
      <c r="I192" s="435"/>
      <c r="J192" s="71" t="s">
        <v>2692</v>
      </c>
      <c r="K192" s="435" t="s">
        <v>2658</v>
      </c>
      <c r="L192" s="435" t="s">
        <v>2658</v>
      </c>
      <c r="N192" s="435">
        <v>20.7270202636719</v>
      </c>
      <c r="O192" s="435">
        <v>93.249069213867202</v>
      </c>
      <c r="P192" s="561" t="s">
        <v>1989</v>
      </c>
      <c r="R192" s="568"/>
      <c r="S192" s="439"/>
      <c r="T192" s="109"/>
      <c r="U192" s="570"/>
      <c r="V192" s="435"/>
      <c r="W192" s="561"/>
    </row>
    <row r="193" spans="1:23" s="71" customFormat="1" ht="14.25" customHeight="1">
      <c r="A193" s="569" t="s">
        <v>2687</v>
      </c>
      <c r="B193" s="566" t="s">
        <v>473</v>
      </c>
      <c r="C193" s="566" t="s">
        <v>2597</v>
      </c>
      <c r="D193" s="477"/>
      <c r="F193" s="566"/>
      <c r="J193" s="71" t="s">
        <v>2692</v>
      </c>
      <c r="K193" s="435" t="s">
        <v>2658</v>
      </c>
      <c r="L193" s="435" t="s">
        <v>2691</v>
      </c>
      <c r="O193" s="435"/>
      <c r="P193" s="561" t="s">
        <v>1989</v>
      </c>
      <c r="R193" s="568"/>
      <c r="S193" s="439"/>
      <c r="T193" s="109"/>
      <c r="U193" s="570" t="s">
        <v>2596</v>
      </c>
      <c r="W193" s="561"/>
    </row>
    <row r="194" spans="1:23" s="71" customFormat="1" ht="14.25" customHeight="1">
      <c r="A194" s="439" t="s">
        <v>2687</v>
      </c>
      <c r="B194" s="436" t="s">
        <v>473</v>
      </c>
      <c r="C194" s="436" t="s">
        <v>2604</v>
      </c>
      <c r="D194" s="477"/>
      <c r="F194" s="561"/>
      <c r="J194" s="71" t="s">
        <v>2692</v>
      </c>
      <c r="K194" s="435" t="s">
        <v>2658</v>
      </c>
      <c r="L194" s="435" t="s">
        <v>2658</v>
      </c>
      <c r="P194" s="71" t="s">
        <v>1989</v>
      </c>
      <c r="R194" s="568"/>
      <c r="S194" s="569"/>
      <c r="T194" s="109"/>
      <c r="U194" s="105"/>
      <c r="W194" s="561"/>
    </row>
    <row r="195" spans="1:23" s="71" customFormat="1" ht="14.25" customHeight="1">
      <c r="A195" s="569" t="s">
        <v>2687</v>
      </c>
      <c r="B195" s="566" t="s">
        <v>473</v>
      </c>
      <c r="C195" s="566" t="s">
        <v>2843</v>
      </c>
      <c r="D195" s="477"/>
      <c r="E195" s="435">
        <v>196453</v>
      </c>
      <c r="F195" s="566"/>
      <c r="J195" s="71" t="s">
        <v>2692</v>
      </c>
      <c r="K195" s="71" t="s">
        <v>2658</v>
      </c>
      <c r="L195" s="435" t="s">
        <v>2658</v>
      </c>
      <c r="N195" s="435">
        <v>20.686229705810501</v>
      </c>
      <c r="O195" s="435">
        <v>93.220001220703097</v>
      </c>
      <c r="P195" s="561" t="s">
        <v>1989</v>
      </c>
      <c r="R195" s="572"/>
      <c r="S195" s="573"/>
      <c r="T195" s="109"/>
      <c r="U195" s="570"/>
      <c r="W195" s="561"/>
    </row>
    <row r="196" spans="1:23" s="71" customFormat="1" ht="14.25" customHeight="1">
      <c r="A196" s="439" t="s">
        <v>2687</v>
      </c>
      <c r="B196" s="436" t="s">
        <v>473</v>
      </c>
      <c r="C196" s="436" t="s">
        <v>2844</v>
      </c>
      <c r="D196" s="477"/>
      <c r="E196" s="71">
        <v>196453</v>
      </c>
      <c r="F196" s="435"/>
      <c r="I196" s="435"/>
      <c r="J196" s="71" t="s">
        <v>2692</v>
      </c>
      <c r="K196" s="435" t="s">
        <v>2658</v>
      </c>
      <c r="L196" s="435" t="s">
        <v>2658</v>
      </c>
      <c r="N196" s="71">
        <v>20.686229705810501</v>
      </c>
      <c r="O196" s="71">
        <v>93.220001220703097</v>
      </c>
      <c r="P196" s="435" t="s">
        <v>1989</v>
      </c>
      <c r="R196" s="572"/>
      <c r="S196" s="573"/>
      <c r="T196" s="109"/>
      <c r="U196" s="105"/>
    </row>
    <row r="197" spans="1:23" s="71" customFormat="1" ht="14.25" customHeight="1">
      <c r="A197" s="439" t="s">
        <v>2687</v>
      </c>
      <c r="B197" s="436" t="s">
        <v>473</v>
      </c>
      <c r="C197" s="436" t="s">
        <v>2608</v>
      </c>
      <c r="D197" s="477"/>
      <c r="E197" s="435">
        <v>196464</v>
      </c>
      <c r="F197" s="561"/>
      <c r="G197" s="435"/>
      <c r="H197" s="435"/>
      <c r="I197" s="435"/>
      <c r="J197" s="71" t="s">
        <v>2692</v>
      </c>
      <c r="K197" s="435" t="s">
        <v>2658</v>
      </c>
      <c r="L197" s="435" t="s">
        <v>2658</v>
      </c>
      <c r="N197" s="71">
        <v>20.7529296875</v>
      </c>
      <c r="O197" s="71">
        <v>93.267311096191406</v>
      </c>
      <c r="P197" s="71" t="s">
        <v>1989</v>
      </c>
      <c r="R197" s="568"/>
      <c r="S197" s="569"/>
      <c r="T197" s="109"/>
      <c r="U197" s="105"/>
    </row>
    <row r="198" spans="1:23" s="71" customFormat="1" ht="14.25" customHeight="1">
      <c r="A198" s="569" t="s">
        <v>2687</v>
      </c>
      <c r="B198" s="566" t="s">
        <v>473</v>
      </c>
      <c r="C198" s="566" t="s">
        <v>2609</v>
      </c>
      <c r="D198" s="477"/>
      <c r="F198" s="561"/>
      <c r="J198" s="71" t="s">
        <v>2692</v>
      </c>
      <c r="K198" s="435" t="s">
        <v>2658</v>
      </c>
      <c r="L198" s="435" t="s">
        <v>2658</v>
      </c>
      <c r="P198" s="71" t="s">
        <v>1989</v>
      </c>
      <c r="R198" s="568"/>
      <c r="S198" s="569"/>
      <c r="T198" s="109"/>
      <c r="U198" s="570"/>
      <c r="W198" s="561"/>
    </row>
    <row r="199" spans="1:23" s="71" customFormat="1" ht="14.25" customHeight="1">
      <c r="A199" s="572" t="s">
        <v>2687</v>
      </c>
      <c r="B199" s="572" t="s">
        <v>473</v>
      </c>
      <c r="C199" s="573" t="s">
        <v>2784</v>
      </c>
      <c r="D199" s="567"/>
      <c r="E199" s="435">
        <v>196645</v>
      </c>
      <c r="F199" s="435"/>
      <c r="G199" s="435"/>
      <c r="H199" s="435"/>
      <c r="I199" s="435"/>
      <c r="J199" s="71" t="s">
        <v>2692</v>
      </c>
      <c r="K199" s="435" t="s">
        <v>2658</v>
      </c>
      <c r="L199" s="435" t="s">
        <v>2658</v>
      </c>
      <c r="M199" s="435"/>
      <c r="N199" s="435">
        <v>20.718429565429702</v>
      </c>
      <c r="O199" s="435">
        <v>93.059432983398395</v>
      </c>
      <c r="P199" s="71" t="s">
        <v>1989</v>
      </c>
      <c r="Q199" s="435"/>
      <c r="R199" s="576"/>
      <c r="S199" s="569"/>
      <c r="T199" s="452">
        <v>43591</v>
      </c>
      <c r="U199" s="576"/>
      <c r="V199" s="435"/>
      <c r="W199" s="568"/>
    </row>
    <row r="200" spans="1:23" s="71" customFormat="1" ht="14.25" customHeight="1">
      <c r="A200" s="569" t="s">
        <v>2687</v>
      </c>
      <c r="B200" s="572" t="s">
        <v>473</v>
      </c>
      <c r="C200" s="573" t="s">
        <v>3030</v>
      </c>
      <c r="D200" s="567"/>
      <c r="E200" s="435">
        <v>196649</v>
      </c>
      <c r="F200" s="435" t="s">
        <v>3030</v>
      </c>
      <c r="G200" s="435"/>
      <c r="H200" s="435"/>
      <c r="I200" s="435"/>
      <c r="J200" s="71" t="s">
        <v>796</v>
      </c>
      <c r="K200" s="435" t="s">
        <v>796</v>
      </c>
      <c r="L200" s="435" t="s">
        <v>796</v>
      </c>
      <c r="N200" s="71">
        <v>20.812870025634801</v>
      </c>
      <c r="O200" s="435">
        <v>93.075592041015597</v>
      </c>
      <c r="P200" s="71" t="s">
        <v>797</v>
      </c>
      <c r="Q200" s="71" t="s">
        <v>3026</v>
      </c>
      <c r="R200" s="576"/>
      <c r="S200" s="569"/>
      <c r="T200" s="109">
        <v>43768</v>
      </c>
      <c r="U200" s="576"/>
      <c r="W200" s="568"/>
    </row>
    <row r="201" spans="1:23" s="71" customFormat="1" ht="14.25" customHeight="1">
      <c r="A201" s="572" t="s">
        <v>2687</v>
      </c>
      <c r="B201" s="572" t="s">
        <v>473</v>
      </c>
      <c r="C201" s="573" t="s">
        <v>2792</v>
      </c>
      <c r="D201" s="567"/>
      <c r="J201" s="71" t="s">
        <v>2692</v>
      </c>
      <c r="K201" s="435" t="s">
        <v>2658</v>
      </c>
      <c r="L201" s="435" t="s">
        <v>2658</v>
      </c>
      <c r="O201" s="435"/>
      <c r="P201" s="71" t="s">
        <v>1989</v>
      </c>
      <c r="R201" s="576"/>
      <c r="S201" s="439"/>
      <c r="T201" s="109">
        <v>43591</v>
      </c>
      <c r="U201" s="576"/>
      <c r="W201" s="568"/>
    </row>
    <row r="202" spans="1:23" s="71" customFormat="1" ht="14.25" customHeight="1">
      <c r="A202" s="569" t="s">
        <v>2687</v>
      </c>
      <c r="B202" s="566" t="s">
        <v>473</v>
      </c>
      <c r="C202" s="566" t="s">
        <v>900</v>
      </c>
      <c r="D202" s="477" t="s">
        <v>2763</v>
      </c>
      <c r="E202" s="435" t="s">
        <v>1393</v>
      </c>
      <c r="F202" s="435" t="s">
        <v>1864</v>
      </c>
      <c r="G202" s="435" t="s">
        <v>900</v>
      </c>
      <c r="H202" s="435"/>
      <c r="I202" s="435"/>
      <c r="J202" s="435" t="s">
        <v>796</v>
      </c>
      <c r="K202" s="435" t="s">
        <v>796</v>
      </c>
      <c r="L202" s="435" t="s">
        <v>819</v>
      </c>
      <c r="M202" s="435" t="s">
        <v>296</v>
      </c>
      <c r="N202" s="435">
        <v>20.495086000000001</v>
      </c>
      <c r="O202" s="435">
        <v>93.246863000000005</v>
      </c>
      <c r="P202" s="435" t="s">
        <v>797</v>
      </c>
      <c r="Q202" s="435"/>
      <c r="R202" s="568">
        <v>32</v>
      </c>
      <c r="S202" s="569">
        <v>131</v>
      </c>
      <c r="T202" s="452"/>
      <c r="U202" s="570" t="s">
        <v>858</v>
      </c>
      <c r="V202" s="435" t="s">
        <v>901</v>
      </c>
      <c r="W202" s="561"/>
    </row>
    <row r="203" spans="1:23" s="71" customFormat="1" ht="14.25" customHeight="1">
      <c r="A203" s="572" t="s">
        <v>2687</v>
      </c>
      <c r="B203" s="572" t="s">
        <v>473</v>
      </c>
      <c r="C203" s="573" t="s">
        <v>2782</v>
      </c>
      <c r="D203" s="567"/>
      <c r="E203" s="71">
        <v>196626</v>
      </c>
      <c r="J203" s="71" t="s">
        <v>2692</v>
      </c>
      <c r="K203" s="435" t="s">
        <v>2658</v>
      </c>
      <c r="L203" s="435" t="s">
        <v>2658</v>
      </c>
      <c r="N203" s="71">
        <v>20.648319244384801</v>
      </c>
      <c r="O203" s="435">
        <v>93.085273742675795</v>
      </c>
      <c r="P203" s="71" t="s">
        <v>1989</v>
      </c>
      <c r="R203" s="576"/>
      <c r="S203" s="569"/>
      <c r="T203" s="109">
        <v>43591</v>
      </c>
      <c r="U203" s="576"/>
      <c r="W203" s="568"/>
    </row>
    <row r="204" spans="1:23" s="71" customFormat="1" ht="14.25" customHeight="1">
      <c r="A204" s="572" t="s">
        <v>2687</v>
      </c>
      <c r="B204" s="572" t="s">
        <v>473</v>
      </c>
      <c r="C204" s="573" t="s">
        <v>2779</v>
      </c>
      <c r="D204" s="567"/>
      <c r="J204" s="71" t="s">
        <v>2692</v>
      </c>
      <c r="K204" s="435" t="s">
        <v>2658</v>
      </c>
      <c r="L204" s="435" t="s">
        <v>2658</v>
      </c>
      <c r="O204" s="435"/>
      <c r="P204" s="71" t="s">
        <v>1989</v>
      </c>
      <c r="R204" s="576"/>
      <c r="S204" s="569"/>
      <c r="T204" s="109">
        <v>43591</v>
      </c>
      <c r="U204" s="576"/>
      <c r="W204" s="568"/>
    </row>
    <row r="205" spans="1:23" s="71" customFormat="1" ht="14.25" customHeight="1">
      <c r="A205" s="572" t="s">
        <v>2687</v>
      </c>
      <c r="B205" s="572" t="s">
        <v>473</v>
      </c>
      <c r="C205" s="573" t="s">
        <v>2781</v>
      </c>
      <c r="D205" s="567"/>
      <c r="E205" s="71">
        <v>196621</v>
      </c>
      <c r="F205" s="435"/>
      <c r="J205" s="71" t="s">
        <v>2692</v>
      </c>
      <c r="K205" s="435" t="s">
        <v>2658</v>
      </c>
      <c r="L205" s="435" t="s">
        <v>2658</v>
      </c>
      <c r="N205" s="71">
        <v>20.675979614257798</v>
      </c>
      <c r="O205" s="71">
        <v>93.098922729492202</v>
      </c>
      <c r="P205" s="71" t="s">
        <v>1989</v>
      </c>
      <c r="R205" s="576"/>
      <c r="S205" s="569"/>
      <c r="T205" s="109">
        <v>43591</v>
      </c>
      <c r="U205" s="576"/>
      <c r="W205" s="568"/>
    </row>
    <row r="206" spans="1:23" s="71" customFormat="1" ht="14.25" customHeight="1">
      <c r="A206" s="569" t="s">
        <v>2687</v>
      </c>
      <c r="B206" s="566" t="s">
        <v>473</v>
      </c>
      <c r="C206" s="566" t="s">
        <v>2602</v>
      </c>
      <c r="D206" s="477"/>
      <c r="J206" s="71" t="s">
        <v>2692</v>
      </c>
      <c r="K206" s="71" t="s">
        <v>2658</v>
      </c>
      <c r="L206" s="435" t="s">
        <v>2658</v>
      </c>
      <c r="O206" s="435"/>
      <c r="P206" s="71" t="s">
        <v>1989</v>
      </c>
      <c r="R206" s="568"/>
      <c r="S206" s="439"/>
      <c r="T206" s="109"/>
      <c r="U206" s="570"/>
      <c r="W206" s="561"/>
    </row>
    <row r="207" spans="1:23" s="71" customFormat="1" ht="14.25" customHeight="1">
      <c r="A207" s="572" t="s">
        <v>2687</v>
      </c>
      <c r="B207" s="572" t="s">
        <v>473</v>
      </c>
      <c r="C207" s="573" t="s">
        <v>2778</v>
      </c>
      <c r="D207" s="567"/>
      <c r="F207" s="561"/>
      <c r="J207" s="71" t="s">
        <v>2692</v>
      </c>
      <c r="K207" s="435" t="s">
        <v>2658</v>
      </c>
      <c r="L207" s="435" t="s">
        <v>2658</v>
      </c>
      <c r="P207" s="71" t="s">
        <v>1989</v>
      </c>
      <c r="R207" s="576"/>
      <c r="S207" s="569"/>
      <c r="T207" s="109">
        <v>43591</v>
      </c>
      <c r="U207" s="576"/>
      <c r="W207" s="568"/>
    </row>
    <row r="208" spans="1:23" s="71" customFormat="1" ht="14.25" customHeight="1">
      <c r="A208" s="572" t="s">
        <v>2687</v>
      </c>
      <c r="B208" s="572" t="s">
        <v>473</v>
      </c>
      <c r="C208" s="573" t="s">
        <v>2783</v>
      </c>
      <c r="D208" s="567"/>
      <c r="E208" s="71">
        <v>196636</v>
      </c>
      <c r="F208" s="435"/>
      <c r="J208" s="71" t="s">
        <v>2692</v>
      </c>
      <c r="K208" s="435" t="s">
        <v>2658</v>
      </c>
      <c r="L208" s="435" t="s">
        <v>2658</v>
      </c>
      <c r="N208" s="71">
        <v>20.6698608398438</v>
      </c>
      <c r="O208" s="71">
        <v>93.087516784667997</v>
      </c>
      <c r="P208" s="71" t="s">
        <v>1989</v>
      </c>
      <c r="R208" s="576"/>
      <c r="S208" s="569"/>
      <c r="T208" s="109">
        <v>43591</v>
      </c>
      <c r="U208" s="576"/>
      <c r="W208" s="568"/>
    </row>
    <row r="209" spans="1:23" s="71" customFormat="1" ht="14.25" customHeight="1">
      <c r="A209" s="569" t="s">
        <v>2687</v>
      </c>
      <c r="B209" s="566" t="s">
        <v>473</v>
      </c>
      <c r="C209" s="566" t="s">
        <v>902</v>
      </c>
      <c r="D209" s="477" t="s">
        <v>2763</v>
      </c>
      <c r="E209" s="71" t="s">
        <v>1394</v>
      </c>
      <c r="F209" s="561" t="s">
        <v>1865</v>
      </c>
      <c r="G209" s="71" t="s">
        <v>1865</v>
      </c>
      <c r="J209" s="71" t="s">
        <v>796</v>
      </c>
      <c r="K209" s="71" t="s">
        <v>796</v>
      </c>
      <c r="L209" s="71" t="s">
        <v>881</v>
      </c>
      <c r="M209" s="71" t="s">
        <v>793</v>
      </c>
      <c r="N209" s="71">
        <v>20.501757999999999</v>
      </c>
      <c r="O209" s="435">
        <v>93.217039999999997</v>
      </c>
      <c r="P209" s="435" t="s">
        <v>797</v>
      </c>
      <c r="R209" s="568">
        <v>365</v>
      </c>
      <c r="S209" s="569">
        <v>2366</v>
      </c>
      <c r="T209" s="109"/>
      <c r="U209" s="570" t="s">
        <v>858</v>
      </c>
      <c r="V209" s="71" t="s">
        <v>903</v>
      </c>
      <c r="W209" s="566"/>
    </row>
    <row r="210" spans="1:23" s="71" customFormat="1" ht="14.25" customHeight="1">
      <c r="A210" s="572" t="s">
        <v>2687</v>
      </c>
      <c r="B210" s="572" t="s">
        <v>473</v>
      </c>
      <c r="C210" s="573" t="s">
        <v>2780</v>
      </c>
      <c r="D210" s="567"/>
      <c r="E210" s="561">
        <v>196622</v>
      </c>
      <c r="J210" s="71" t="s">
        <v>2692</v>
      </c>
      <c r="K210" s="71" t="s">
        <v>2658</v>
      </c>
      <c r="L210" s="435" t="s">
        <v>2658</v>
      </c>
      <c r="N210" s="71">
        <v>20.666166305541999</v>
      </c>
      <c r="O210" s="71">
        <v>93.094825744628906</v>
      </c>
      <c r="P210" s="561" t="s">
        <v>1989</v>
      </c>
      <c r="R210" s="576"/>
      <c r="S210" s="569"/>
      <c r="T210" s="109">
        <v>43591</v>
      </c>
      <c r="U210" s="576"/>
      <c r="W210" s="568"/>
    </row>
    <row r="211" spans="1:23" s="71" customFormat="1" ht="14.25" customHeight="1">
      <c r="A211" s="439" t="s">
        <v>2687</v>
      </c>
      <c r="B211" s="436" t="s">
        <v>401</v>
      </c>
      <c r="C211" s="436" t="s">
        <v>814</v>
      </c>
      <c r="D211" s="477" t="s">
        <v>1664</v>
      </c>
      <c r="E211" s="71">
        <v>197254</v>
      </c>
      <c r="F211" s="561"/>
      <c r="J211" s="71" t="s">
        <v>796</v>
      </c>
      <c r="K211" s="71" t="s">
        <v>796</v>
      </c>
      <c r="L211" s="71" t="s">
        <v>796</v>
      </c>
      <c r="M211" s="71" t="s">
        <v>296</v>
      </c>
      <c r="N211" s="71">
        <v>20.021469119999999</v>
      </c>
      <c r="O211" s="71">
        <v>93.367980959999997</v>
      </c>
      <c r="P211" s="435" t="s">
        <v>797</v>
      </c>
      <c r="R211" s="442"/>
      <c r="S211" s="443"/>
      <c r="T211" s="109"/>
      <c r="U211" s="105"/>
      <c r="V211" s="71" t="s">
        <v>814</v>
      </c>
      <c r="W211" s="435"/>
    </row>
    <row r="212" spans="1:23" s="71" customFormat="1" ht="14.25" customHeight="1">
      <c r="A212" s="439" t="s">
        <v>2687</v>
      </c>
      <c r="B212" s="436" t="s">
        <v>401</v>
      </c>
      <c r="C212" s="436" t="s">
        <v>815</v>
      </c>
      <c r="D212" s="477" t="s">
        <v>1664</v>
      </c>
      <c r="E212" s="435">
        <v>197253</v>
      </c>
      <c r="F212" s="566"/>
      <c r="G212" s="435"/>
      <c r="H212" s="435"/>
      <c r="I212" s="435"/>
      <c r="J212" s="71" t="s">
        <v>796</v>
      </c>
      <c r="K212" s="561" t="s">
        <v>796</v>
      </c>
      <c r="L212" s="561" t="s">
        <v>796</v>
      </c>
      <c r="M212" s="71" t="s">
        <v>296</v>
      </c>
      <c r="N212" s="71">
        <v>20.023879999999998</v>
      </c>
      <c r="O212" s="71">
        <v>93.376663210000004</v>
      </c>
      <c r="P212" s="71" t="s">
        <v>797</v>
      </c>
      <c r="R212" s="572"/>
      <c r="S212" s="573"/>
      <c r="T212" s="109"/>
      <c r="U212" s="105"/>
      <c r="V212" s="71" t="s">
        <v>815</v>
      </c>
    </row>
    <row r="213" spans="1:23" s="71" customFormat="1" ht="14.25" customHeight="1">
      <c r="A213" s="439" t="s">
        <v>2687</v>
      </c>
      <c r="B213" s="436" t="s">
        <v>401</v>
      </c>
      <c r="C213" s="436" t="s">
        <v>817</v>
      </c>
      <c r="D213" s="477" t="s">
        <v>1664</v>
      </c>
      <c r="E213" s="561">
        <v>217974</v>
      </c>
      <c r="F213" s="566"/>
      <c r="H213" s="435"/>
      <c r="I213" s="435"/>
      <c r="J213" s="435" t="s">
        <v>796</v>
      </c>
      <c r="K213" s="435" t="s">
        <v>796</v>
      </c>
      <c r="L213" s="435" t="s">
        <v>796</v>
      </c>
      <c r="M213" s="435" t="s">
        <v>296</v>
      </c>
      <c r="N213" s="435">
        <v>20.032299999999999</v>
      </c>
      <c r="O213" s="435">
        <v>93.375100000000003</v>
      </c>
      <c r="P213" s="561" t="s">
        <v>797</v>
      </c>
      <c r="Q213" s="435"/>
      <c r="R213" s="572"/>
      <c r="S213" s="573"/>
      <c r="T213" s="452"/>
      <c r="U213" s="440"/>
      <c r="V213" s="71" t="s">
        <v>817</v>
      </c>
      <c r="W213" s="435"/>
    </row>
    <row r="214" spans="1:23" s="71" customFormat="1" ht="14.25" customHeight="1">
      <c r="A214" s="439" t="s">
        <v>2687</v>
      </c>
      <c r="B214" s="436" t="s">
        <v>401</v>
      </c>
      <c r="C214" s="436" t="s">
        <v>832</v>
      </c>
      <c r="D214" s="477" t="s">
        <v>1664</v>
      </c>
      <c r="E214" s="435">
        <v>197279</v>
      </c>
      <c r="F214" s="435"/>
      <c r="G214" s="435"/>
      <c r="H214" s="435"/>
      <c r="I214" s="435"/>
      <c r="J214" s="435" t="s">
        <v>796</v>
      </c>
      <c r="K214" s="561" t="s">
        <v>796</v>
      </c>
      <c r="L214" s="561" t="s">
        <v>796</v>
      </c>
      <c r="M214" s="435" t="s">
        <v>296</v>
      </c>
      <c r="N214" s="435">
        <v>20.100000000000001</v>
      </c>
      <c r="O214" s="435">
        <v>93.35</v>
      </c>
      <c r="P214" s="435" t="s">
        <v>797</v>
      </c>
      <c r="Q214" s="435"/>
      <c r="R214" s="572"/>
      <c r="S214" s="573"/>
      <c r="T214" s="452"/>
      <c r="U214" s="440"/>
      <c r="V214" s="435" t="s">
        <v>832</v>
      </c>
      <c r="W214" s="435"/>
    </row>
    <row r="215" spans="1:23" s="71" customFormat="1" ht="14.25" customHeight="1">
      <c r="A215" s="569" t="s">
        <v>2687</v>
      </c>
      <c r="B215" s="566" t="s">
        <v>401</v>
      </c>
      <c r="C215" s="566" t="s">
        <v>830</v>
      </c>
      <c r="D215" s="477" t="s">
        <v>1664</v>
      </c>
      <c r="E215" s="435">
        <v>197277</v>
      </c>
      <c r="F215" s="435"/>
      <c r="G215" s="435"/>
      <c r="H215" s="435"/>
      <c r="I215" s="435"/>
      <c r="J215" s="71" t="s">
        <v>796</v>
      </c>
      <c r="K215" s="435" t="s">
        <v>796</v>
      </c>
      <c r="L215" s="435" t="s">
        <v>796</v>
      </c>
      <c r="M215" s="71" t="s">
        <v>296</v>
      </c>
      <c r="N215" s="71">
        <v>20.079999999999998</v>
      </c>
      <c r="O215" s="71">
        <v>93.36</v>
      </c>
      <c r="P215" s="561" t="s">
        <v>797</v>
      </c>
      <c r="R215" s="572"/>
      <c r="S215" s="573"/>
      <c r="T215" s="109"/>
      <c r="U215" s="570"/>
      <c r="V215" s="71" t="s">
        <v>830</v>
      </c>
      <c r="W215" s="561"/>
    </row>
    <row r="216" spans="1:23" s="71" customFormat="1" ht="14.25" customHeight="1">
      <c r="A216" s="439" t="s">
        <v>2687</v>
      </c>
      <c r="B216" s="436" t="s">
        <v>401</v>
      </c>
      <c r="C216" s="436" t="s">
        <v>403</v>
      </c>
      <c r="D216" s="477" t="s">
        <v>2763</v>
      </c>
      <c r="E216" s="71" t="s">
        <v>1353</v>
      </c>
      <c r="F216" s="435" t="s">
        <v>1694</v>
      </c>
      <c r="G216" s="71" t="s">
        <v>1746</v>
      </c>
      <c r="J216" s="71" t="s">
        <v>796</v>
      </c>
      <c r="K216" s="561" t="s">
        <v>796</v>
      </c>
      <c r="L216" s="561" t="s">
        <v>819</v>
      </c>
      <c r="M216" s="71" t="s">
        <v>296</v>
      </c>
      <c r="N216" s="71">
        <v>20.041981</v>
      </c>
      <c r="O216" s="71">
        <v>93.373951000000005</v>
      </c>
      <c r="P216" s="71" t="s">
        <v>797</v>
      </c>
      <c r="Q216" s="71" t="s">
        <v>778</v>
      </c>
      <c r="R216" s="568">
        <v>40</v>
      </c>
      <c r="S216" s="569">
        <v>204</v>
      </c>
      <c r="T216" s="109"/>
      <c r="U216" s="440"/>
      <c r="V216" s="71" t="s">
        <v>403</v>
      </c>
      <c r="W216" s="435"/>
    </row>
    <row r="217" spans="1:23" s="71" customFormat="1" ht="14.25" customHeight="1">
      <c r="A217" s="439" t="s">
        <v>2687</v>
      </c>
      <c r="B217" s="436" t="s">
        <v>401</v>
      </c>
      <c r="C217" s="436" t="s">
        <v>846</v>
      </c>
      <c r="D217" s="477" t="s">
        <v>1664</v>
      </c>
      <c r="E217" s="71">
        <v>197286</v>
      </c>
      <c r="F217" s="571"/>
      <c r="J217" s="71" t="s">
        <v>796</v>
      </c>
      <c r="K217" s="561" t="s">
        <v>796</v>
      </c>
      <c r="L217" s="561" t="s">
        <v>796</v>
      </c>
      <c r="M217" s="71" t="s">
        <v>296</v>
      </c>
      <c r="N217" s="71">
        <v>20.149999999999999</v>
      </c>
      <c r="O217" s="71">
        <v>93.41</v>
      </c>
      <c r="P217" s="71" t="s">
        <v>797</v>
      </c>
      <c r="R217" s="572"/>
      <c r="S217" s="573"/>
      <c r="T217" s="109"/>
      <c r="U217" s="105"/>
      <c r="V217" s="71" t="s">
        <v>846</v>
      </c>
      <c r="W217" s="435"/>
    </row>
    <row r="218" spans="1:23" s="71" customFormat="1" ht="14.25" customHeight="1">
      <c r="A218" s="569" t="s">
        <v>2687</v>
      </c>
      <c r="B218" s="566" t="s">
        <v>401</v>
      </c>
      <c r="C218" s="566" t="s">
        <v>813</v>
      </c>
      <c r="D218" s="477" t="s">
        <v>1664</v>
      </c>
      <c r="E218" s="71">
        <v>197309</v>
      </c>
      <c r="F218" s="566"/>
      <c r="J218" s="71" t="s">
        <v>796</v>
      </c>
      <c r="K218" s="435" t="s">
        <v>796</v>
      </c>
      <c r="L218" s="435" t="s">
        <v>796</v>
      </c>
      <c r="M218" s="71" t="s">
        <v>296</v>
      </c>
      <c r="N218" s="71">
        <v>20.010000000000002</v>
      </c>
      <c r="O218" s="71">
        <v>93.42</v>
      </c>
      <c r="P218" s="561" t="s">
        <v>797</v>
      </c>
      <c r="R218" s="572"/>
      <c r="S218" s="573"/>
      <c r="T218" s="109"/>
      <c r="U218" s="570"/>
      <c r="V218" s="71" t="s">
        <v>813</v>
      </c>
      <c r="W218" s="561"/>
    </row>
    <row r="219" spans="1:23" s="71" customFormat="1" ht="14.25" customHeight="1">
      <c r="A219" s="439" t="s">
        <v>2687</v>
      </c>
      <c r="B219" s="436" t="s">
        <v>401</v>
      </c>
      <c r="C219" s="436" t="s">
        <v>816</v>
      </c>
      <c r="D219" s="477" t="s">
        <v>1664</v>
      </c>
      <c r="E219" s="71">
        <v>197255</v>
      </c>
      <c r="J219" s="71" t="s">
        <v>796</v>
      </c>
      <c r="K219" s="435" t="s">
        <v>796</v>
      </c>
      <c r="L219" s="435" t="s">
        <v>796</v>
      </c>
      <c r="M219" s="71" t="s">
        <v>296</v>
      </c>
      <c r="N219" s="71">
        <v>20.03</v>
      </c>
      <c r="O219" s="435">
        <v>93.38</v>
      </c>
      <c r="P219" s="561" t="s">
        <v>797</v>
      </c>
      <c r="R219" s="442"/>
      <c r="S219" s="443"/>
      <c r="T219" s="109"/>
      <c r="U219" s="105"/>
      <c r="V219" s="71" t="s">
        <v>816</v>
      </c>
      <c r="W219" s="435"/>
    </row>
    <row r="220" spans="1:23" s="71" customFormat="1" ht="14.25" customHeight="1">
      <c r="A220" s="439" t="s">
        <v>2687</v>
      </c>
      <c r="B220" s="436" t="s">
        <v>401</v>
      </c>
      <c r="C220" s="436" t="s">
        <v>818</v>
      </c>
      <c r="D220" s="477" t="s">
        <v>1664</v>
      </c>
      <c r="E220" s="71">
        <v>217973</v>
      </c>
      <c r="J220" s="71" t="s">
        <v>796</v>
      </c>
      <c r="K220" s="71" t="s">
        <v>796</v>
      </c>
      <c r="L220" s="561" t="s">
        <v>796</v>
      </c>
      <c r="M220" s="71" t="s">
        <v>296</v>
      </c>
      <c r="N220" s="71">
        <v>20.032760620000001</v>
      </c>
      <c r="O220" s="71">
        <v>93.372978209999999</v>
      </c>
      <c r="P220" s="561" t="s">
        <v>797</v>
      </c>
      <c r="R220" s="572"/>
      <c r="S220" s="573"/>
      <c r="T220" s="109"/>
      <c r="U220" s="105"/>
      <c r="V220" s="71" t="s">
        <v>818</v>
      </c>
      <c r="W220" s="435"/>
    </row>
    <row r="221" spans="1:23" s="71" customFormat="1" ht="14.25" customHeight="1">
      <c r="A221" s="439" t="s">
        <v>2687</v>
      </c>
      <c r="B221" s="436" t="s">
        <v>401</v>
      </c>
      <c r="C221" s="436" t="s">
        <v>402</v>
      </c>
      <c r="D221" s="477" t="s">
        <v>2763</v>
      </c>
      <c r="E221" s="71" t="s">
        <v>1352</v>
      </c>
      <c r="F221" s="561"/>
      <c r="H221" s="71" t="s">
        <v>41</v>
      </c>
      <c r="J221" s="71" t="s">
        <v>43</v>
      </c>
      <c r="K221" s="71" t="s">
        <v>43</v>
      </c>
      <c r="L221" s="561" t="s">
        <v>792</v>
      </c>
      <c r="M221" s="71" t="s">
        <v>793</v>
      </c>
      <c r="N221" s="71">
        <v>20.037655000000001</v>
      </c>
      <c r="O221" s="435">
        <v>93.370037999999994</v>
      </c>
      <c r="P221" s="561" t="s">
        <v>759</v>
      </c>
      <c r="Q221" s="71" t="s">
        <v>778</v>
      </c>
      <c r="R221" s="568">
        <v>655</v>
      </c>
      <c r="S221" s="569">
        <v>2690</v>
      </c>
      <c r="T221" s="109"/>
      <c r="U221" s="105"/>
      <c r="V221" s="71" t="s">
        <v>402</v>
      </c>
      <c r="W221" s="435"/>
    </row>
    <row r="222" spans="1:23" s="71" customFormat="1" ht="14.25" customHeight="1">
      <c r="A222" s="439" t="s">
        <v>2687</v>
      </c>
      <c r="B222" s="436" t="s">
        <v>401</v>
      </c>
      <c r="C222" s="436" t="s">
        <v>823</v>
      </c>
      <c r="D222" s="477" t="s">
        <v>1664</v>
      </c>
      <c r="E222" s="71">
        <v>197378</v>
      </c>
      <c r="F222" s="566"/>
      <c r="J222" s="71" t="s">
        <v>796</v>
      </c>
      <c r="K222" s="71" t="s">
        <v>796</v>
      </c>
      <c r="L222" s="71" t="s">
        <v>796</v>
      </c>
      <c r="M222" s="71" t="s">
        <v>296</v>
      </c>
      <c r="N222" s="71">
        <v>20.061309810000001</v>
      </c>
      <c r="O222" s="435">
        <v>93.540641780000001</v>
      </c>
      <c r="P222" s="561" t="s">
        <v>797</v>
      </c>
      <c r="R222" s="572"/>
      <c r="S222" s="573"/>
      <c r="T222" s="109"/>
      <c r="U222" s="105"/>
      <c r="V222" s="71" t="s">
        <v>823</v>
      </c>
      <c r="W222" s="435"/>
    </row>
    <row r="223" spans="1:23" s="71" customFormat="1" ht="14.25" customHeight="1">
      <c r="A223" s="439" t="s">
        <v>2687</v>
      </c>
      <c r="B223" s="436" t="s">
        <v>401</v>
      </c>
      <c r="C223" s="436" t="s">
        <v>836</v>
      </c>
      <c r="D223" s="477" t="s">
        <v>1664</v>
      </c>
      <c r="E223" s="71">
        <v>197280</v>
      </c>
      <c r="F223" s="561"/>
      <c r="I223" s="435"/>
      <c r="J223" s="71" t="s">
        <v>796</v>
      </c>
      <c r="K223" s="71" t="s">
        <v>796</v>
      </c>
      <c r="L223" s="71" t="s">
        <v>796</v>
      </c>
      <c r="M223" s="71" t="s">
        <v>296</v>
      </c>
      <c r="N223" s="71">
        <v>20.12</v>
      </c>
      <c r="O223" s="71">
        <v>93.34</v>
      </c>
      <c r="P223" s="561" t="s">
        <v>797</v>
      </c>
      <c r="R223" s="442"/>
      <c r="S223" s="443"/>
      <c r="T223" s="109"/>
      <c r="U223" s="105"/>
      <c r="V223" s="71" t="s">
        <v>836</v>
      </c>
      <c r="W223" s="435"/>
    </row>
    <row r="224" spans="1:23" s="71" customFormat="1" ht="14.25" customHeight="1">
      <c r="A224" s="439" t="s">
        <v>2687</v>
      </c>
      <c r="B224" s="436" t="s">
        <v>401</v>
      </c>
      <c r="C224" s="436" t="s">
        <v>831</v>
      </c>
      <c r="D224" s="477" t="s">
        <v>1664</v>
      </c>
      <c r="E224" s="561">
        <v>197366</v>
      </c>
      <c r="F224" s="566"/>
      <c r="G224" s="435"/>
      <c r="H224" s="435"/>
      <c r="I224" s="435"/>
      <c r="J224" s="71" t="s">
        <v>796</v>
      </c>
      <c r="K224" s="561" t="s">
        <v>796</v>
      </c>
      <c r="L224" s="561" t="s">
        <v>796</v>
      </c>
      <c r="M224" s="435" t="s">
        <v>296</v>
      </c>
      <c r="N224" s="435">
        <v>20.084</v>
      </c>
      <c r="O224" s="435">
        <v>93.483999999999995</v>
      </c>
      <c r="P224" s="71" t="s">
        <v>797</v>
      </c>
      <c r="Q224" s="435"/>
      <c r="R224" s="572"/>
      <c r="S224" s="573"/>
      <c r="T224" s="452"/>
      <c r="U224" s="440"/>
      <c r="V224" s="435" t="s">
        <v>831</v>
      </c>
      <c r="W224" s="435"/>
    </row>
    <row r="225" spans="1:23" s="71" customFormat="1" ht="14.25" customHeight="1">
      <c r="A225" s="439" t="s">
        <v>2687</v>
      </c>
      <c r="B225" s="436" t="s">
        <v>404</v>
      </c>
      <c r="C225" s="436" t="s">
        <v>2848</v>
      </c>
      <c r="D225" s="477"/>
      <c r="E225" s="566">
        <v>196310</v>
      </c>
      <c r="F225" s="435"/>
      <c r="G225" s="435"/>
      <c r="H225" s="435"/>
      <c r="I225" s="435"/>
      <c r="J225" s="435" t="s">
        <v>2692</v>
      </c>
      <c r="K225" s="561" t="s">
        <v>2658</v>
      </c>
      <c r="L225" s="561" t="s">
        <v>2658</v>
      </c>
      <c r="M225" s="435" t="s">
        <v>2660</v>
      </c>
      <c r="N225" s="435">
        <v>20.61741065979</v>
      </c>
      <c r="O225" s="435">
        <v>92.932502746582003</v>
      </c>
      <c r="P225" s="435" t="s">
        <v>1989</v>
      </c>
      <c r="Q225" s="435"/>
      <c r="R225" s="568"/>
      <c r="S225" s="569"/>
      <c r="T225" s="452"/>
      <c r="U225" s="440"/>
      <c r="V225" s="435" t="s">
        <v>2571</v>
      </c>
      <c r="W225" s="435"/>
    </row>
    <row r="226" spans="1:23" s="71" customFormat="1" ht="14.25" customHeight="1">
      <c r="A226" s="439" t="s">
        <v>2687</v>
      </c>
      <c r="B226" s="436" t="s">
        <v>404</v>
      </c>
      <c r="C226" s="436" t="s">
        <v>413</v>
      </c>
      <c r="D226" s="477" t="s">
        <v>1664</v>
      </c>
      <c r="E226" s="71">
        <v>197558</v>
      </c>
      <c r="F226" s="435"/>
      <c r="J226" s="71" t="s">
        <v>796</v>
      </c>
      <c r="K226" s="561" t="s">
        <v>796</v>
      </c>
      <c r="L226" s="561" t="s">
        <v>796</v>
      </c>
      <c r="M226" s="71" t="s">
        <v>793</v>
      </c>
      <c r="N226" s="71">
        <v>20.099340439999999</v>
      </c>
      <c r="O226" s="71">
        <v>92.989143369999994</v>
      </c>
      <c r="P226" s="561" t="s">
        <v>797</v>
      </c>
      <c r="Q226" s="71" t="s">
        <v>778</v>
      </c>
      <c r="R226" s="572"/>
      <c r="S226" s="573"/>
      <c r="T226" s="109"/>
      <c r="U226" s="105"/>
      <c r="V226" s="561"/>
      <c r="W226" s="435"/>
    </row>
    <row r="227" spans="1:23" s="71" customFormat="1" ht="14.25" customHeight="1">
      <c r="A227" s="439" t="s">
        <v>2687</v>
      </c>
      <c r="B227" s="436" t="s">
        <v>404</v>
      </c>
      <c r="C227" s="436" t="s">
        <v>414</v>
      </c>
      <c r="D227" s="477" t="s">
        <v>2763</v>
      </c>
      <c r="E227" s="561" t="s">
        <v>1358</v>
      </c>
      <c r="F227" s="435" t="s">
        <v>833</v>
      </c>
      <c r="G227" s="71" t="s">
        <v>534</v>
      </c>
      <c r="H227" s="71" t="s">
        <v>41</v>
      </c>
      <c r="J227" s="71" t="s">
        <v>43</v>
      </c>
      <c r="K227" s="566" t="s">
        <v>43</v>
      </c>
      <c r="L227" s="566" t="s">
        <v>792</v>
      </c>
      <c r="M227" s="71" t="s">
        <v>793</v>
      </c>
      <c r="N227" s="71">
        <v>20.108101999999999</v>
      </c>
      <c r="O227" s="71">
        <v>92.985095000000001</v>
      </c>
      <c r="P227" s="71" t="s">
        <v>759</v>
      </c>
      <c r="Q227" s="71" t="s">
        <v>778</v>
      </c>
      <c r="R227" s="103">
        <v>1244</v>
      </c>
      <c r="S227" s="439">
        <v>4757</v>
      </c>
      <c r="T227" s="109"/>
      <c r="U227" s="105"/>
      <c r="V227" s="71" t="s">
        <v>835</v>
      </c>
      <c r="W227" s="435"/>
    </row>
    <row r="228" spans="1:23" s="71" customFormat="1" ht="14.25" customHeight="1">
      <c r="A228" s="439" t="s">
        <v>2687</v>
      </c>
      <c r="B228" s="436" t="s">
        <v>404</v>
      </c>
      <c r="C228" s="436" t="s">
        <v>2570</v>
      </c>
      <c r="D228" s="477"/>
      <c r="E228" s="566">
        <v>220611</v>
      </c>
      <c r="J228" s="71" t="s">
        <v>2692</v>
      </c>
      <c r="K228" s="561" t="s">
        <v>2658</v>
      </c>
      <c r="L228" s="561" t="s">
        <v>2658</v>
      </c>
      <c r="M228" s="71" t="s">
        <v>2660</v>
      </c>
      <c r="P228" s="561" t="s">
        <v>1989</v>
      </c>
      <c r="R228" s="568"/>
      <c r="S228" s="569"/>
      <c r="T228" s="109"/>
      <c r="U228" s="105"/>
      <c r="W228" s="435"/>
    </row>
    <row r="229" spans="1:23" s="71" customFormat="1" ht="14.25" customHeight="1">
      <c r="A229" s="569" t="s">
        <v>2687</v>
      </c>
      <c r="B229" s="566" t="s">
        <v>404</v>
      </c>
      <c r="C229" s="566" t="s">
        <v>857</v>
      </c>
      <c r="D229" s="477" t="s">
        <v>2763</v>
      </c>
      <c r="E229" s="71" t="s">
        <v>1370</v>
      </c>
      <c r="F229" s="71" t="s">
        <v>1694</v>
      </c>
      <c r="G229" s="71" t="s">
        <v>1859</v>
      </c>
      <c r="J229" s="71" t="s">
        <v>796</v>
      </c>
      <c r="K229" s="566" t="s">
        <v>796</v>
      </c>
      <c r="L229" s="566" t="s">
        <v>819</v>
      </c>
      <c r="M229" s="71" t="s">
        <v>296</v>
      </c>
      <c r="N229" s="71">
        <v>20.173468</v>
      </c>
      <c r="O229" s="71">
        <v>93.067891000000003</v>
      </c>
      <c r="P229" s="561" t="s">
        <v>797</v>
      </c>
      <c r="R229" s="568">
        <v>21</v>
      </c>
      <c r="S229" s="104">
        <v>122</v>
      </c>
      <c r="T229" s="109"/>
      <c r="U229" s="570" t="s">
        <v>858</v>
      </c>
      <c r="V229" s="71" t="s">
        <v>859</v>
      </c>
      <c r="W229" s="561"/>
    </row>
    <row r="230" spans="1:23" s="71" customFormat="1" ht="14.25" customHeight="1">
      <c r="A230" s="572" t="s">
        <v>2687</v>
      </c>
      <c r="B230" s="572" t="s">
        <v>404</v>
      </c>
      <c r="C230" s="573" t="s">
        <v>2825</v>
      </c>
      <c r="D230" s="567"/>
      <c r="E230" s="71" t="s">
        <v>2847</v>
      </c>
      <c r="J230" s="71" t="s">
        <v>2692</v>
      </c>
      <c r="K230" s="561" t="s">
        <v>2658</v>
      </c>
      <c r="L230" s="561" t="s">
        <v>2658</v>
      </c>
      <c r="P230" s="561" t="s">
        <v>1989</v>
      </c>
      <c r="R230" s="576"/>
      <c r="S230" s="569"/>
      <c r="T230" s="109">
        <v>43591</v>
      </c>
      <c r="U230" s="576"/>
      <c r="W230" s="568"/>
    </row>
    <row r="231" spans="1:23" s="71" customFormat="1" ht="14.25" customHeight="1">
      <c r="A231" s="439" t="s">
        <v>2687</v>
      </c>
      <c r="B231" s="436" t="s">
        <v>404</v>
      </c>
      <c r="C231" s="436" t="s">
        <v>820</v>
      </c>
      <c r="D231" s="477" t="s">
        <v>1664</v>
      </c>
      <c r="E231" s="71">
        <v>197486</v>
      </c>
      <c r="F231" s="561"/>
      <c r="I231" s="435"/>
      <c r="J231" s="71" t="s">
        <v>796</v>
      </c>
      <c r="K231" s="566" t="s">
        <v>796</v>
      </c>
      <c r="L231" s="566" t="s">
        <v>796</v>
      </c>
      <c r="M231" s="71" t="s">
        <v>821</v>
      </c>
      <c r="N231" s="71">
        <v>20.05117035</v>
      </c>
      <c r="O231" s="71">
        <v>93.040992739999993</v>
      </c>
      <c r="P231" s="561" t="s">
        <v>797</v>
      </c>
      <c r="R231" s="103"/>
      <c r="S231" s="439"/>
      <c r="T231" s="109"/>
      <c r="U231" s="105"/>
      <c r="V231" s="71" t="s">
        <v>820</v>
      </c>
      <c r="W231" s="435"/>
    </row>
    <row r="232" spans="1:23" s="71" customFormat="1" ht="14.25" customHeight="1">
      <c r="A232" s="569" t="s">
        <v>2687</v>
      </c>
      <c r="B232" s="566" t="s">
        <v>404</v>
      </c>
      <c r="C232" s="566" t="s">
        <v>822</v>
      </c>
      <c r="D232" s="477" t="s">
        <v>1664</v>
      </c>
      <c r="E232" s="71">
        <v>197479</v>
      </c>
      <c r="F232" s="566"/>
      <c r="J232" s="71" t="s">
        <v>796</v>
      </c>
      <c r="K232" s="566" t="s">
        <v>796</v>
      </c>
      <c r="L232" s="566" t="s">
        <v>796</v>
      </c>
      <c r="M232" s="71" t="s">
        <v>296</v>
      </c>
      <c r="N232" s="71">
        <v>20.05978966</v>
      </c>
      <c r="O232" s="71">
        <v>93.034988400000003</v>
      </c>
      <c r="P232" s="561" t="s">
        <v>797</v>
      </c>
      <c r="R232" s="568"/>
      <c r="S232" s="439"/>
      <c r="T232" s="109"/>
      <c r="U232" s="570"/>
      <c r="V232" s="71" t="s">
        <v>822</v>
      </c>
      <c r="W232" s="561"/>
    </row>
    <row r="233" spans="1:23" s="71" customFormat="1" ht="14.25" customHeight="1">
      <c r="A233" s="572" t="s">
        <v>2687</v>
      </c>
      <c r="B233" s="572" t="s">
        <v>404</v>
      </c>
      <c r="C233" s="573" t="s">
        <v>2824</v>
      </c>
      <c r="D233" s="567"/>
      <c r="E233" s="71">
        <v>197470</v>
      </c>
      <c r="F233" s="561"/>
      <c r="J233" s="71" t="s">
        <v>2692</v>
      </c>
      <c r="K233" s="561" t="s">
        <v>2658</v>
      </c>
      <c r="L233" s="561" t="s">
        <v>2658</v>
      </c>
      <c r="N233" s="71">
        <v>20.343349456787099</v>
      </c>
      <c r="O233" s="71">
        <v>93.121322631835895</v>
      </c>
      <c r="P233" s="71" t="s">
        <v>1989</v>
      </c>
      <c r="R233" s="576"/>
      <c r="S233" s="569"/>
      <c r="T233" s="109">
        <v>43591</v>
      </c>
      <c r="U233" s="576"/>
      <c r="W233" s="568"/>
    </row>
    <row r="234" spans="1:23" s="71" customFormat="1" ht="14.25" customHeight="1">
      <c r="A234" s="439" t="s">
        <v>2687</v>
      </c>
      <c r="B234" s="436" t="s">
        <v>404</v>
      </c>
      <c r="C234" s="436" t="s">
        <v>2564</v>
      </c>
      <c r="D234" s="477"/>
      <c r="E234" s="71">
        <v>197561</v>
      </c>
      <c r="F234" s="561" t="s">
        <v>2564</v>
      </c>
      <c r="J234" s="71" t="s">
        <v>796</v>
      </c>
      <c r="K234" s="561" t="s">
        <v>796</v>
      </c>
      <c r="L234" s="561" t="s">
        <v>796</v>
      </c>
      <c r="N234" s="71">
        <v>20.072999954223601</v>
      </c>
      <c r="O234" s="71">
        <v>92.924957275390597</v>
      </c>
      <c r="P234" s="435" t="s">
        <v>797</v>
      </c>
      <c r="R234" s="572"/>
      <c r="S234" s="573"/>
      <c r="T234" s="109"/>
      <c r="U234" s="105"/>
      <c r="W234" s="435"/>
    </row>
    <row r="235" spans="1:23" s="71" customFormat="1" ht="14.25" customHeight="1">
      <c r="A235" s="439" t="s">
        <v>2687</v>
      </c>
      <c r="B235" s="436" t="s">
        <v>404</v>
      </c>
      <c r="C235" s="436" t="s">
        <v>2592</v>
      </c>
      <c r="D235" s="477" t="s">
        <v>1664</v>
      </c>
      <c r="E235" s="71">
        <v>197461</v>
      </c>
      <c r="J235" s="71" t="s">
        <v>796</v>
      </c>
      <c r="K235" s="561" t="s">
        <v>796</v>
      </c>
      <c r="L235" s="186" t="s">
        <v>796</v>
      </c>
      <c r="M235" s="71" t="s">
        <v>296</v>
      </c>
      <c r="O235" s="561"/>
      <c r="P235" s="435" t="s">
        <v>797</v>
      </c>
      <c r="R235" s="572"/>
      <c r="S235" s="573"/>
      <c r="T235" s="109"/>
      <c r="U235" s="105"/>
      <c r="W235" s="435"/>
    </row>
    <row r="236" spans="1:23" s="71" customFormat="1" ht="14.25" customHeight="1">
      <c r="A236" s="439" t="s">
        <v>2687</v>
      </c>
      <c r="B236" s="436" t="s">
        <v>404</v>
      </c>
      <c r="C236" s="436" t="s">
        <v>2584</v>
      </c>
      <c r="D236" s="477" t="s">
        <v>1664</v>
      </c>
      <c r="E236" s="71">
        <v>197441</v>
      </c>
      <c r="J236" s="71" t="s">
        <v>796</v>
      </c>
      <c r="K236" s="71" t="s">
        <v>796</v>
      </c>
      <c r="L236" s="186" t="s">
        <v>796</v>
      </c>
      <c r="M236" s="71" t="s">
        <v>296</v>
      </c>
      <c r="P236" s="561" t="s">
        <v>797</v>
      </c>
      <c r="R236" s="568"/>
      <c r="S236" s="569"/>
      <c r="T236" s="109"/>
      <c r="U236" s="105"/>
      <c r="W236" s="435"/>
    </row>
    <row r="237" spans="1:23" s="71" customFormat="1" ht="14.25" customHeight="1">
      <c r="A237" s="439" t="s">
        <v>2687</v>
      </c>
      <c r="B237" s="436" t="s">
        <v>404</v>
      </c>
      <c r="C237" s="436" t="s">
        <v>2966</v>
      </c>
      <c r="D237" s="477"/>
      <c r="E237" s="71">
        <v>217985</v>
      </c>
      <c r="F237" s="71" t="s">
        <v>523</v>
      </c>
      <c r="J237" s="71" t="s">
        <v>796</v>
      </c>
      <c r="K237" s="71" t="s">
        <v>796</v>
      </c>
      <c r="L237" s="561" t="s">
        <v>796</v>
      </c>
      <c r="N237" s="435">
        <v>19.863630294799801</v>
      </c>
      <c r="O237" s="71">
        <v>93.030677795410199</v>
      </c>
      <c r="P237" s="561" t="s">
        <v>797</v>
      </c>
      <c r="R237" s="572"/>
      <c r="S237" s="573"/>
      <c r="T237" s="109"/>
      <c r="U237" s="105"/>
      <c r="W237" s="435"/>
    </row>
    <row r="238" spans="1:23" s="71" customFormat="1" ht="14.25" customHeight="1">
      <c r="A238" s="439" t="s">
        <v>2687</v>
      </c>
      <c r="B238" s="436" t="s">
        <v>404</v>
      </c>
      <c r="C238" s="436" t="s">
        <v>2569</v>
      </c>
      <c r="D238" s="477"/>
      <c r="E238" s="71">
        <v>197546</v>
      </c>
      <c r="F238" s="71" t="s">
        <v>523</v>
      </c>
      <c r="J238" s="71" t="s">
        <v>796</v>
      </c>
      <c r="K238" s="561" t="s">
        <v>796</v>
      </c>
      <c r="L238" s="561" t="s">
        <v>796</v>
      </c>
      <c r="N238" s="71">
        <v>19.986650466918899</v>
      </c>
      <c r="O238" s="71">
        <v>92.986160278320298</v>
      </c>
      <c r="P238" s="71" t="s">
        <v>797</v>
      </c>
      <c r="R238" s="438"/>
      <c r="S238" s="439"/>
      <c r="T238" s="109"/>
      <c r="U238" s="105"/>
      <c r="W238" s="435"/>
    </row>
    <row r="239" spans="1:23" s="71" customFormat="1" ht="14.25" customHeight="1">
      <c r="A239" s="439" t="s">
        <v>2687</v>
      </c>
      <c r="B239" s="436" t="s">
        <v>404</v>
      </c>
      <c r="C239" s="436" t="s">
        <v>534</v>
      </c>
      <c r="D239" s="477" t="s">
        <v>1664</v>
      </c>
      <c r="E239" s="71">
        <v>197537</v>
      </c>
      <c r="F239" s="561" t="s">
        <v>833</v>
      </c>
      <c r="J239" s="71" t="s">
        <v>796</v>
      </c>
      <c r="K239" s="436" t="s">
        <v>796</v>
      </c>
      <c r="L239" s="436" t="s">
        <v>796</v>
      </c>
      <c r="N239" s="71">
        <v>20.109220499999999</v>
      </c>
      <c r="O239" s="71">
        <v>92.995483399999998</v>
      </c>
      <c r="P239" s="71" t="s">
        <v>797</v>
      </c>
      <c r="R239" s="438"/>
      <c r="S239" s="439"/>
      <c r="T239" s="109"/>
      <c r="U239" s="105"/>
      <c r="V239" s="71" t="s">
        <v>534</v>
      </c>
      <c r="W239" s="435"/>
    </row>
    <row r="240" spans="1:23" s="71" customFormat="1" ht="14.25" customHeight="1">
      <c r="A240" s="439" t="s">
        <v>2687</v>
      </c>
      <c r="B240" s="436" t="s">
        <v>404</v>
      </c>
      <c r="C240" s="436" t="s">
        <v>412</v>
      </c>
      <c r="D240" s="477" t="s">
        <v>2763</v>
      </c>
      <c r="E240" s="435" t="s">
        <v>1357</v>
      </c>
      <c r="F240" s="71" t="s">
        <v>833</v>
      </c>
      <c r="G240" s="71" t="s">
        <v>412</v>
      </c>
      <c r="H240" s="71" t="s">
        <v>41</v>
      </c>
      <c r="J240" s="71" t="s">
        <v>43</v>
      </c>
      <c r="K240" s="566" t="s">
        <v>43</v>
      </c>
      <c r="L240" s="566" t="s">
        <v>792</v>
      </c>
      <c r="M240" s="71" t="s">
        <v>793</v>
      </c>
      <c r="N240" s="71">
        <v>20.090183</v>
      </c>
      <c r="O240" s="71">
        <v>93.010368999999997</v>
      </c>
      <c r="P240" s="561" t="s">
        <v>759</v>
      </c>
      <c r="Q240" s="71" t="s">
        <v>778</v>
      </c>
      <c r="R240" s="568">
        <v>1320</v>
      </c>
      <c r="S240" s="569">
        <v>6116</v>
      </c>
      <c r="T240" s="109"/>
      <c r="U240" s="105"/>
      <c r="V240" s="561" t="s">
        <v>412</v>
      </c>
      <c r="W240" s="435"/>
    </row>
    <row r="241" spans="1:23" s="71" customFormat="1" ht="14.25" customHeight="1">
      <c r="A241" s="439" t="s">
        <v>2687</v>
      </c>
      <c r="B241" s="436" t="s">
        <v>404</v>
      </c>
      <c r="C241" s="436" t="s">
        <v>2846</v>
      </c>
      <c r="D241" s="477"/>
      <c r="E241" s="71">
        <v>197547</v>
      </c>
      <c r="J241" s="71" t="s">
        <v>796</v>
      </c>
      <c r="K241" s="71" t="s">
        <v>796</v>
      </c>
      <c r="L241" s="561" t="s">
        <v>796</v>
      </c>
      <c r="N241" s="71">
        <v>19.9233303070068</v>
      </c>
      <c r="O241" s="71">
        <v>93.018592834472699</v>
      </c>
      <c r="P241" s="561" t="s">
        <v>797</v>
      </c>
      <c r="R241" s="572"/>
      <c r="S241" s="573"/>
      <c r="T241" s="109"/>
      <c r="U241" s="105"/>
      <c r="V241" s="566" t="s">
        <v>2568</v>
      </c>
      <c r="W241" s="435"/>
    </row>
    <row r="242" spans="1:23" s="71" customFormat="1" ht="14.25" customHeight="1">
      <c r="A242" s="439" t="s">
        <v>2687</v>
      </c>
      <c r="B242" s="436" t="s">
        <v>404</v>
      </c>
      <c r="C242" s="436" t="s">
        <v>808</v>
      </c>
      <c r="D242" s="477" t="s">
        <v>1664</v>
      </c>
      <c r="E242" s="71">
        <v>197566</v>
      </c>
      <c r="J242" s="71" t="s">
        <v>796</v>
      </c>
      <c r="K242" s="71" t="s">
        <v>796</v>
      </c>
      <c r="L242" s="566" t="s">
        <v>796</v>
      </c>
      <c r="N242" s="71">
        <v>19.94882965</v>
      </c>
      <c r="O242" s="71">
        <v>92.978782649999999</v>
      </c>
      <c r="P242" s="561" t="s">
        <v>797</v>
      </c>
      <c r="R242" s="568"/>
      <c r="S242" s="569"/>
      <c r="T242" s="109"/>
      <c r="U242" s="105"/>
      <c r="V242" s="71" t="s">
        <v>808</v>
      </c>
      <c r="W242" s="435"/>
    </row>
    <row r="243" spans="1:23" s="71" customFormat="1" ht="14.25" customHeight="1">
      <c r="A243" s="439" t="s">
        <v>2687</v>
      </c>
      <c r="B243" s="566" t="s">
        <v>404</v>
      </c>
      <c r="C243" s="566" t="s">
        <v>2583</v>
      </c>
      <c r="D243" s="437" t="s">
        <v>1664</v>
      </c>
      <c r="E243" s="561">
        <v>197450</v>
      </c>
      <c r="F243" s="561"/>
      <c r="G243" s="561"/>
      <c r="H243" s="561"/>
      <c r="I243" s="561"/>
      <c r="J243" s="71" t="s">
        <v>796</v>
      </c>
      <c r="K243" s="561" t="s">
        <v>796</v>
      </c>
      <c r="L243" s="186" t="s">
        <v>796</v>
      </c>
      <c r="M243" s="71" t="s">
        <v>296</v>
      </c>
      <c r="N243" s="435"/>
      <c r="O243" s="435"/>
      <c r="P243" s="435" t="s">
        <v>797</v>
      </c>
      <c r="R243" s="566"/>
      <c r="S243" s="566"/>
      <c r="T243" s="109"/>
      <c r="U243" s="570"/>
      <c r="V243" s="435"/>
      <c r="W243" s="561"/>
    </row>
    <row r="244" spans="1:23" s="71" customFormat="1" ht="14.25" customHeight="1">
      <c r="A244" s="439" t="s">
        <v>2687</v>
      </c>
      <c r="B244" s="572" t="s">
        <v>404</v>
      </c>
      <c r="C244" s="573" t="s">
        <v>3003</v>
      </c>
      <c r="D244" s="567"/>
      <c r="E244" s="71">
        <v>197570</v>
      </c>
      <c r="F244" s="71" t="s">
        <v>2735</v>
      </c>
      <c r="J244" s="71" t="s">
        <v>796</v>
      </c>
      <c r="K244" s="561" t="s">
        <v>796</v>
      </c>
      <c r="L244" s="561" t="s">
        <v>796</v>
      </c>
      <c r="N244" s="71">
        <v>20.074710845947301</v>
      </c>
      <c r="O244" s="71">
        <v>92.949638366699205</v>
      </c>
      <c r="P244" s="435" t="s">
        <v>797</v>
      </c>
      <c r="Q244" s="71" t="s">
        <v>3026</v>
      </c>
      <c r="R244" s="576"/>
      <c r="S244" s="439"/>
      <c r="T244" s="109">
        <v>43768</v>
      </c>
      <c r="U244" s="576"/>
      <c r="W244" s="568"/>
    </row>
    <row r="245" spans="1:23" s="71" customFormat="1" ht="14.25" customHeight="1">
      <c r="A245" s="439" t="s">
        <v>2687</v>
      </c>
      <c r="B245" s="566" t="s">
        <v>404</v>
      </c>
      <c r="C245" s="566" t="s">
        <v>2593</v>
      </c>
      <c r="D245" s="477" t="s">
        <v>1664</v>
      </c>
      <c r="E245" s="561">
        <v>197463</v>
      </c>
      <c r="F245" s="561"/>
      <c r="G245" s="561"/>
      <c r="H245" s="561"/>
      <c r="I245" s="561"/>
      <c r="J245" s="71" t="s">
        <v>796</v>
      </c>
      <c r="K245" s="561" t="s">
        <v>796</v>
      </c>
      <c r="L245" s="186" t="s">
        <v>796</v>
      </c>
      <c r="M245" s="561" t="s">
        <v>296</v>
      </c>
      <c r="N245" s="561"/>
      <c r="O245" s="561"/>
      <c r="P245" s="71" t="s">
        <v>797</v>
      </c>
      <c r="Q245" s="561"/>
      <c r="R245" s="568"/>
      <c r="S245" s="569"/>
      <c r="T245" s="588"/>
      <c r="U245" s="570"/>
      <c r="V245" s="561"/>
      <c r="W245" s="435"/>
    </row>
    <row r="246" spans="1:23" s="71" customFormat="1" ht="14.25" customHeight="1">
      <c r="A246" s="439" t="s">
        <v>2687</v>
      </c>
      <c r="B246" s="436" t="s">
        <v>404</v>
      </c>
      <c r="C246" s="436" t="s">
        <v>2565</v>
      </c>
      <c r="D246" s="477"/>
      <c r="E246" s="435">
        <v>197565</v>
      </c>
      <c r="F246" s="435" t="s">
        <v>2564</v>
      </c>
      <c r="G246" s="435"/>
      <c r="H246" s="435"/>
      <c r="I246" s="435"/>
      <c r="J246" s="71" t="s">
        <v>796</v>
      </c>
      <c r="K246" s="561" t="s">
        <v>796</v>
      </c>
      <c r="L246" s="561" t="s">
        <v>796</v>
      </c>
      <c r="N246" s="435">
        <v>20.005199432373001</v>
      </c>
      <c r="O246" s="561">
        <v>92.948463439941406</v>
      </c>
      <c r="P246" s="435" t="s">
        <v>797</v>
      </c>
      <c r="R246" s="572"/>
      <c r="S246" s="573"/>
      <c r="T246" s="109"/>
      <c r="U246" s="440"/>
      <c r="V246" s="435"/>
      <c r="W246" s="435"/>
    </row>
    <row r="247" spans="1:23" s="71" customFormat="1" ht="14.25" customHeight="1">
      <c r="A247" s="439" t="s">
        <v>2687</v>
      </c>
      <c r="B247" s="436" t="s">
        <v>404</v>
      </c>
      <c r="C247" s="436" t="s">
        <v>2587</v>
      </c>
      <c r="D247" s="477" t="s">
        <v>1664</v>
      </c>
      <c r="E247" s="71">
        <v>197404</v>
      </c>
      <c r="F247" s="435"/>
      <c r="J247" s="71" t="s">
        <v>796</v>
      </c>
      <c r="K247" s="561" t="s">
        <v>796</v>
      </c>
      <c r="L247" s="186" t="s">
        <v>796</v>
      </c>
      <c r="M247" s="71" t="s">
        <v>296</v>
      </c>
      <c r="O247" s="561"/>
      <c r="P247" s="71" t="s">
        <v>797</v>
      </c>
      <c r="R247" s="438"/>
      <c r="S247" s="439"/>
      <c r="T247" s="109"/>
      <c r="U247" s="105"/>
      <c r="W247" s="561"/>
    </row>
    <row r="248" spans="1:23" s="71" customFormat="1" ht="14.25" customHeight="1">
      <c r="A248" s="439" t="s">
        <v>2687</v>
      </c>
      <c r="B248" s="566" t="s">
        <v>404</v>
      </c>
      <c r="C248" s="566" t="s">
        <v>2591</v>
      </c>
      <c r="D248" s="477" t="s">
        <v>1664</v>
      </c>
      <c r="E248" s="71">
        <v>197464</v>
      </c>
      <c r="F248" s="561"/>
      <c r="J248" s="71" t="s">
        <v>796</v>
      </c>
      <c r="K248" s="561" t="s">
        <v>796</v>
      </c>
      <c r="L248" s="186" t="s">
        <v>796</v>
      </c>
      <c r="M248" s="71" t="s">
        <v>296</v>
      </c>
      <c r="P248" s="71" t="s">
        <v>797</v>
      </c>
      <c r="R248" s="568"/>
      <c r="S248" s="569"/>
      <c r="T248" s="109"/>
      <c r="U248" s="105"/>
      <c r="W248" s="561"/>
    </row>
    <row r="249" spans="1:23" s="71" customFormat="1" ht="14.25" customHeight="1">
      <c r="A249" s="439" t="s">
        <v>2687</v>
      </c>
      <c r="B249" s="572" t="s">
        <v>404</v>
      </c>
      <c r="C249" s="573" t="s">
        <v>829</v>
      </c>
      <c r="D249" s="567" t="s">
        <v>1664</v>
      </c>
      <c r="E249" s="435" t="s">
        <v>1356</v>
      </c>
      <c r="F249" s="594"/>
      <c r="G249" s="435"/>
      <c r="H249" s="435"/>
      <c r="I249" s="435"/>
      <c r="J249" s="71" t="s">
        <v>43</v>
      </c>
      <c r="K249" s="566" t="s">
        <v>43</v>
      </c>
      <c r="L249" s="566" t="s">
        <v>758</v>
      </c>
      <c r="M249" s="71" t="s">
        <v>793</v>
      </c>
      <c r="N249" s="435">
        <v>20.073437999999999</v>
      </c>
      <c r="O249" s="435">
        <v>93.154551999999995</v>
      </c>
      <c r="P249" s="561" t="s">
        <v>759</v>
      </c>
      <c r="R249" s="576"/>
      <c r="S249" s="439"/>
      <c r="T249" s="109"/>
      <c r="U249" s="440"/>
      <c r="V249" s="435"/>
      <c r="W249" s="435"/>
    </row>
    <row r="250" spans="1:23" s="71" customFormat="1" ht="14.25" customHeight="1">
      <c r="A250" s="439" t="s">
        <v>2687</v>
      </c>
      <c r="B250" s="436" t="s">
        <v>404</v>
      </c>
      <c r="C250" s="436" t="s">
        <v>408</v>
      </c>
      <c r="D250" s="477" t="s">
        <v>2763</v>
      </c>
      <c r="E250" s="71" t="s">
        <v>1356</v>
      </c>
      <c r="F250" s="566" t="s">
        <v>1747</v>
      </c>
      <c r="G250" s="71" t="s">
        <v>1748</v>
      </c>
      <c r="H250" s="71" t="s">
        <v>41</v>
      </c>
      <c r="J250" s="71" t="s">
        <v>43</v>
      </c>
      <c r="K250" s="566" t="s">
        <v>43</v>
      </c>
      <c r="L250" s="566" t="s">
        <v>1883</v>
      </c>
      <c r="M250" s="71" t="s">
        <v>793</v>
      </c>
      <c r="N250" s="71">
        <v>20.073437999999999</v>
      </c>
      <c r="O250" s="561">
        <v>93.154551999999995</v>
      </c>
      <c r="P250" s="561" t="s">
        <v>797</v>
      </c>
      <c r="Q250" s="71" t="s">
        <v>778</v>
      </c>
      <c r="R250" s="438">
        <v>1010</v>
      </c>
      <c r="S250" s="439">
        <v>4686</v>
      </c>
      <c r="T250" s="109"/>
      <c r="U250" s="105"/>
      <c r="V250" s="71" t="s">
        <v>408</v>
      </c>
      <c r="W250" s="435"/>
    </row>
    <row r="251" spans="1:23" s="71" customFormat="1" ht="14.25" customHeight="1">
      <c r="A251" s="439" t="s">
        <v>2687</v>
      </c>
      <c r="B251" s="436" t="s">
        <v>404</v>
      </c>
      <c r="C251" s="436" t="s">
        <v>409</v>
      </c>
      <c r="D251" s="477" t="s">
        <v>2763</v>
      </c>
      <c r="E251" s="71" t="s">
        <v>1356</v>
      </c>
      <c r="F251" s="561" t="s">
        <v>1747</v>
      </c>
      <c r="G251" s="71" t="s">
        <v>1748</v>
      </c>
      <c r="H251" s="71" t="s">
        <v>41</v>
      </c>
      <c r="J251" s="71" t="s">
        <v>43</v>
      </c>
      <c r="K251" s="566" t="s">
        <v>43</v>
      </c>
      <c r="L251" s="566" t="s">
        <v>792</v>
      </c>
      <c r="M251" s="71" t="s">
        <v>793</v>
      </c>
      <c r="N251" s="71">
        <v>20.073437999999999</v>
      </c>
      <c r="O251" s="566">
        <v>93.154551999999995</v>
      </c>
      <c r="P251" s="71" t="s">
        <v>759</v>
      </c>
      <c r="Q251" s="71" t="s">
        <v>778</v>
      </c>
      <c r="R251" s="438">
        <v>905</v>
      </c>
      <c r="S251" s="439">
        <v>4124</v>
      </c>
      <c r="T251" s="109"/>
      <c r="U251" s="105"/>
      <c r="V251" s="71" t="s">
        <v>409</v>
      </c>
      <c r="W251" s="561"/>
    </row>
    <row r="252" spans="1:23" s="71" customFormat="1" ht="14.25" customHeight="1">
      <c r="A252" s="439" t="s">
        <v>2687</v>
      </c>
      <c r="B252" s="436" t="s">
        <v>404</v>
      </c>
      <c r="C252" s="436" t="s">
        <v>2590</v>
      </c>
      <c r="D252" s="477" t="s">
        <v>1664</v>
      </c>
      <c r="E252" s="71">
        <v>197460</v>
      </c>
      <c r="J252" s="71" t="s">
        <v>796</v>
      </c>
      <c r="K252" s="71" t="s">
        <v>796</v>
      </c>
      <c r="L252" s="186" t="s">
        <v>796</v>
      </c>
      <c r="M252" s="71" t="s">
        <v>296</v>
      </c>
      <c r="O252" s="561"/>
      <c r="P252" s="561" t="s">
        <v>797</v>
      </c>
      <c r="R252" s="568"/>
      <c r="S252" s="569"/>
      <c r="T252" s="109"/>
      <c r="U252" s="105"/>
      <c r="W252" s="435"/>
    </row>
    <row r="253" spans="1:23" s="71" customFormat="1" ht="14.25" customHeight="1">
      <c r="A253" s="439" t="s">
        <v>2687</v>
      </c>
      <c r="B253" s="436" t="s">
        <v>404</v>
      </c>
      <c r="C253" s="436" t="s">
        <v>2581</v>
      </c>
      <c r="D253" s="477" t="s">
        <v>1664</v>
      </c>
      <c r="E253" s="71">
        <v>197449</v>
      </c>
      <c r="J253" s="71" t="s">
        <v>796</v>
      </c>
      <c r="K253" s="561" t="s">
        <v>796</v>
      </c>
      <c r="L253" s="186" t="s">
        <v>796</v>
      </c>
      <c r="M253" s="71" t="s">
        <v>296</v>
      </c>
      <c r="P253" s="561" t="s">
        <v>797</v>
      </c>
      <c r="Q253" s="435"/>
      <c r="R253" s="572"/>
      <c r="S253" s="573"/>
      <c r="T253" s="452"/>
      <c r="U253" s="105"/>
      <c r="W253" s="435"/>
    </row>
    <row r="254" spans="1:23" s="71" customFormat="1" ht="14.25" customHeight="1">
      <c r="A254" s="439" t="s">
        <v>2687</v>
      </c>
      <c r="B254" s="436" t="s">
        <v>404</v>
      </c>
      <c r="C254" s="436" t="s">
        <v>833</v>
      </c>
      <c r="D254" s="477" t="s">
        <v>1664</v>
      </c>
      <c r="E254" s="71">
        <v>197531</v>
      </c>
      <c r="F254" s="561" t="s">
        <v>833</v>
      </c>
      <c r="J254" s="71" t="s">
        <v>796</v>
      </c>
      <c r="K254" s="566" t="s">
        <v>796</v>
      </c>
      <c r="L254" s="566" t="s">
        <v>796</v>
      </c>
      <c r="N254" s="71">
        <v>20.10293961</v>
      </c>
      <c r="O254" s="71">
        <v>93.000679020000007</v>
      </c>
      <c r="P254" s="561" t="s">
        <v>797</v>
      </c>
      <c r="R254" s="568"/>
      <c r="S254" s="569"/>
      <c r="T254" s="109"/>
      <c r="U254" s="105"/>
      <c r="V254" s="71" t="s">
        <v>834</v>
      </c>
      <c r="W254" s="435"/>
    </row>
    <row r="255" spans="1:23" s="71" customFormat="1" ht="14.25" customHeight="1">
      <c r="A255" s="439" t="s">
        <v>2687</v>
      </c>
      <c r="B255" s="436" t="s">
        <v>404</v>
      </c>
      <c r="C255" s="436" t="s">
        <v>826</v>
      </c>
      <c r="D255" s="477" t="s">
        <v>1664</v>
      </c>
      <c r="E255" s="435">
        <v>197430</v>
      </c>
      <c r="F255" s="566"/>
      <c r="J255" s="71" t="s">
        <v>796</v>
      </c>
      <c r="K255" s="566" t="s">
        <v>796</v>
      </c>
      <c r="L255" s="566" t="s">
        <v>796</v>
      </c>
      <c r="M255" s="71" t="s">
        <v>296</v>
      </c>
      <c r="N255" s="71">
        <v>20.065919000000001</v>
      </c>
      <c r="O255" s="71">
        <v>93.004040000000003</v>
      </c>
      <c r="P255" s="561" t="s">
        <v>797</v>
      </c>
      <c r="R255" s="568"/>
      <c r="S255" s="569"/>
      <c r="T255" s="109"/>
      <c r="U255" s="105"/>
      <c r="V255" s="71" t="s">
        <v>826</v>
      </c>
      <c r="W255" s="435"/>
    </row>
    <row r="256" spans="1:23" s="71" customFormat="1" ht="14.25" customHeight="1">
      <c r="A256" s="439" t="s">
        <v>2687</v>
      </c>
      <c r="B256" s="436" t="s">
        <v>404</v>
      </c>
      <c r="C256" s="436" t="s">
        <v>2676</v>
      </c>
      <c r="D256" s="477" t="s">
        <v>1664</v>
      </c>
      <c r="E256" s="71">
        <v>197462</v>
      </c>
      <c r="J256" s="71" t="s">
        <v>796</v>
      </c>
      <c r="K256" s="435" t="s">
        <v>796</v>
      </c>
      <c r="L256" s="186" t="s">
        <v>796</v>
      </c>
      <c r="M256" s="71" t="s">
        <v>296</v>
      </c>
      <c r="P256" s="561" t="s">
        <v>797</v>
      </c>
      <c r="R256" s="572"/>
      <c r="S256" s="573"/>
      <c r="T256" s="109"/>
      <c r="U256" s="105"/>
      <c r="W256" s="435"/>
    </row>
    <row r="257" spans="1:23" s="71" customFormat="1" ht="14.25" customHeight="1">
      <c r="A257" s="439" t="s">
        <v>2687</v>
      </c>
      <c r="B257" s="436" t="s">
        <v>404</v>
      </c>
      <c r="C257" s="436" t="s">
        <v>2585</v>
      </c>
      <c r="D257" s="567" t="s">
        <v>1664</v>
      </c>
      <c r="E257" s="435">
        <v>197442</v>
      </c>
      <c r="J257" s="71" t="s">
        <v>796</v>
      </c>
      <c r="K257" s="71" t="s">
        <v>796</v>
      </c>
      <c r="L257" s="186" t="s">
        <v>796</v>
      </c>
      <c r="M257" s="71" t="s">
        <v>2675</v>
      </c>
      <c r="P257" s="561" t="s">
        <v>797</v>
      </c>
      <c r="R257" s="566"/>
      <c r="S257" s="566"/>
      <c r="T257" s="109"/>
      <c r="U257" s="105"/>
      <c r="W257" s="435"/>
    </row>
    <row r="258" spans="1:23" s="71" customFormat="1" ht="14.25" customHeight="1">
      <c r="A258" s="439" t="s">
        <v>2687</v>
      </c>
      <c r="B258" s="436" t="s">
        <v>404</v>
      </c>
      <c r="C258" s="436" t="s">
        <v>2586</v>
      </c>
      <c r="D258" s="477" t="s">
        <v>1664</v>
      </c>
      <c r="E258" s="561">
        <v>197405</v>
      </c>
      <c r="F258" s="561"/>
      <c r="G258" s="561"/>
      <c r="H258" s="561"/>
      <c r="I258" s="561"/>
      <c r="J258" s="71" t="s">
        <v>796</v>
      </c>
      <c r="K258" s="561" t="s">
        <v>796</v>
      </c>
      <c r="L258" s="186" t="s">
        <v>796</v>
      </c>
      <c r="M258" s="71" t="s">
        <v>296</v>
      </c>
      <c r="P258" s="561" t="s">
        <v>797</v>
      </c>
      <c r="R258" s="568"/>
      <c r="S258" s="569"/>
      <c r="T258" s="109"/>
      <c r="U258" s="105"/>
      <c r="W258" s="435"/>
    </row>
    <row r="259" spans="1:23" s="71" customFormat="1" ht="14.25" customHeight="1">
      <c r="A259" s="439" t="s">
        <v>2687</v>
      </c>
      <c r="B259" s="566" t="s">
        <v>404</v>
      </c>
      <c r="C259" s="566" t="s">
        <v>410</v>
      </c>
      <c r="D259" s="567" t="s">
        <v>1664</v>
      </c>
      <c r="E259" s="575">
        <v>197557</v>
      </c>
      <c r="F259" s="460"/>
      <c r="G259" s="575"/>
      <c r="H259" s="575"/>
      <c r="I259" s="575"/>
      <c r="J259" s="71" t="s">
        <v>796</v>
      </c>
      <c r="K259" s="566" t="s">
        <v>796</v>
      </c>
      <c r="L259" s="566" t="s">
        <v>796</v>
      </c>
      <c r="M259" s="71" t="s">
        <v>296</v>
      </c>
      <c r="N259" s="71">
        <v>20.0839</v>
      </c>
      <c r="O259" s="71">
        <v>92.993799999999993</v>
      </c>
      <c r="P259" s="561" t="s">
        <v>797</v>
      </c>
      <c r="Q259" s="71" t="s">
        <v>778</v>
      </c>
      <c r="R259" s="566"/>
      <c r="S259" s="566"/>
      <c r="T259" s="109"/>
      <c r="U259" s="570"/>
      <c r="V259" s="71" t="s">
        <v>410</v>
      </c>
      <c r="W259" s="561"/>
    </row>
    <row r="260" spans="1:23" s="71" customFormat="1" ht="14.25" customHeight="1">
      <c r="A260" s="569" t="s">
        <v>2687</v>
      </c>
      <c r="B260" s="566" t="s">
        <v>404</v>
      </c>
      <c r="C260" s="566" t="s">
        <v>407</v>
      </c>
      <c r="D260" s="477" t="s">
        <v>2763</v>
      </c>
      <c r="E260" s="561" t="s">
        <v>1354</v>
      </c>
      <c r="F260" s="561" t="s">
        <v>407</v>
      </c>
      <c r="G260" s="561" t="s">
        <v>1693</v>
      </c>
      <c r="H260" s="561" t="s">
        <v>41</v>
      </c>
      <c r="I260" s="561"/>
      <c r="J260" s="71" t="s">
        <v>43</v>
      </c>
      <c r="K260" s="566" t="s">
        <v>43</v>
      </c>
      <c r="L260" s="566" t="s">
        <v>792</v>
      </c>
      <c r="M260" s="561" t="s">
        <v>793</v>
      </c>
      <c r="N260" s="561">
        <v>20.064226000000001</v>
      </c>
      <c r="O260" s="561">
        <v>92.993758999999997</v>
      </c>
      <c r="P260" s="561" t="s">
        <v>759</v>
      </c>
      <c r="Q260" s="561" t="s">
        <v>778</v>
      </c>
      <c r="R260" s="568">
        <v>617</v>
      </c>
      <c r="S260" s="569">
        <v>2852</v>
      </c>
      <c r="T260" s="588"/>
      <c r="U260" s="570"/>
      <c r="V260" s="561" t="s">
        <v>407</v>
      </c>
      <c r="W260" s="561"/>
    </row>
    <row r="261" spans="1:23" s="71" customFormat="1" ht="14.25" customHeight="1">
      <c r="A261" s="569" t="s">
        <v>2687</v>
      </c>
      <c r="B261" s="177" t="s">
        <v>404</v>
      </c>
      <c r="C261" s="177" t="s">
        <v>824</v>
      </c>
      <c r="D261" s="567" t="s">
        <v>1665</v>
      </c>
      <c r="E261" s="173" t="s">
        <v>1355</v>
      </c>
      <c r="F261" s="173" t="s">
        <v>407</v>
      </c>
      <c r="G261" s="173" t="s">
        <v>1693</v>
      </c>
      <c r="H261" s="173"/>
      <c r="I261" s="173"/>
      <c r="J261" s="71" t="s">
        <v>43</v>
      </c>
      <c r="K261" s="566" t="s">
        <v>43</v>
      </c>
      <c r="L261" s="566" t="s">
        <v>758</v>
      </c>
      <c r="M261" s="173" t="s">
        <v>793</v>
      </c>
      <c r="N261" s="173">
        <v>20.064226000000001</v>
      </c>
      <c r="O261" s="173">
        <v>92.993758999999997</v>
      </c>
      <c r="P261" s="561" t="s">
        <v>759</v>
      </c>
      <c r="Q261" s="173"/>
      <c r="R261" s="174"/>
      <c r="S261" s="172"/>
      <c r="T261" s="175"/>
      <c r="U261" s="176"/>
      <c r="V261" s="173" t="s">
        <v>825</v>
      </c>
      <c r="W261" s="561"/>
    </row>
    <row r="262" spans="1:23" s="71" customFormat="1" ht="14.25" customHeight="1">
      <c r="A262" s="569" t="s">
        <v>2687</v>
      </c>
      <c r="B262" s="566" t="s">
        <v>404</v>
      </c>
      <c r="C262" s="566" t="s">
        <v>406</v>
      </c>
      <c r="D262" s="477" t="s">
        <v>1664</v>
      </c>
      <c r="E262" s="71">
        <v>197548</v>
      </c>
      <c r="J262" s="71" t="s">
        <v>796</v>
      </c>
      <c r="K262" s="566" t="s">
        <v>796</v>
      </c>
      <c r="L262" s="566" t="s">
        <v>796</v>
      </c>
      <c r="M262" s="71" t="s">
        <v>793</v>
      </c>
      <c r="N262" s="71">
        <v>20.0641</v>
      </c>
      <c r="O262" s="566">
        <v>92.994600000000005</v>
      </c>
      <c r="P262" s="561" t="s">
        <v>797</v>
      </c>
      <c r="Q262" s="71" t="s">
        <v>778</v>
      </c>
      <c r="R262" s="568"/>
      <c r="S262" s="439"/>
      <c r="T262" s="109"/>
      <c r="U262" s="570"/>
      <c r="V262" s="71" t="s">
        <v>406</v>
      </c>
      <c r="W262" s="561"/>
    </row>
    <row r="263" spans="1:23" s="71" customFormat="1" ht="14.25" customHeight="1">
      <c r="A263" s="439" t="s">
        <v>2687</v>
      </c>
      <c r="B263" s="436" t="s">
        <v>404</v>
      </c>
      <c r="C263" s="436" t="s">
        <v>405</v>
      </c>
      <c r="D263" s="477" t="s">
        <v>1664</v>
      </c>
      <c r="E263" s="71">
        <v>197550</v>
      </c>
      <c r="F263" s="561"/>
      <c r="J263" s="71" t="s">
        <v>796</v>
      </c>
      <c r="K263" s="436" t="s">
        <v>796</v>
      </c>
      <c r="L263" s="436" t="s">
        <v>796</v>
      </c>
      <c r="M263" s="71" t="s">
        <v>296</v>
      </c>
      <c r="N263" s="71">
        <v>20.057860999999999</v>
      </c>
      <c r="O263" s="566">
        <v>92.995181000000002</v>
      </c>
      <c r="P263" s="71" t="s">
        <v>797</v>
      </c>
      <c r="Q263" s="71" t="s">
        <v>778</v>
      </c>
      <c r="R263" s="568"/>
      <c r="S263" s="569"/>
      <c r="T263" s="109"/>
      <c r="U263" s="105"/>
      <c r="V263" s="71" t="s">
        <v>405</v>
      </c>
      <c r="W263" s="438"/>
    </row>
    <row r="264" spans="1:23" s="71" customFormat="1" ht="14.25" customHeight="1">
      <c r="A264" s="569" t="s">
        <v>2687</v>
      </c>
      <c r="B264" s="566" t="s">
        <v>404</v>
      </c>
      <c r="C264" s="566" t="s">
        <v>1143</v>
      </c>
      <c r="D264" s="477" t="s">
        <v>1664</v>
      </c>
      <c r="E264" s="71">
        <v>220691</v>
      </c>
      <c r="F264" s="566"/>
      <c r="J264" s="71" t="s">
        <v>796</v>
      </c>
      <c r="K264" s="566" t="s">
        <v>796</v>
      </c>
      <c r="L264" s="566" t="s">
        <v>796</v>
      </c>
      <c r="O264" s="435"/>
      <c r="P264" s="561" t="s">
        <v>797</v>
      </c>
      <c r="R264" s="572"/>
      <c r="S264" s="573"/>
      <c r="T264" s="109"/>
      <c r="U264" s="570"/>
      <c r="V264" s="71" t="s">
        <v>1143</v>
      </c>
      <c r="W264" s="568"/>
    </row>
    <row r="265" spans="1:23" s="71" customFormat="1" ht="14.25" customHeight="1">
      <c r="A265" s="439" t="s">
        <v>2687</v>
      </c>
      <c r="B265" s="436" t="s">
        <v>404</v>
      </c>
      <c r="C265" s="436" t="s">
        <v>2589</v>
      </c>
      <c r="D265" s="477" t="s">
        <v>1664</v>
      </c>
      <c r="E265" s="71">
        <v>197403</v>
      </c>
      <c r="F265" s="561"/>
      <c r="J265" s="71" t="s">
        <v>796</v>
      </c>
      <c r="K265" s="561" t="s">
        <v>796</v>
      </c>
      <c r="L265" s="186" t="s">
        <v>796</v>
      </c>
      <c r="M265" s="71" t="s">
        <v>296</v>
      </c>
      <c r="P265" s="71" t="s">
        <v>797</v>
      </c>
      <c r="R265" s="438"/>
      <c r="S265" s="439"/>
      <c r="T265" s="109"/>
      <c r="U265" s="105"/>
      <c r="W265" s="561"/>
    </row>
    <row r="266" spans="1:23" s="71" customFormat="1" ht="14.25" customHeight="1">
      <c r="A266" s="569" t="s">
        <v>2687</v>
      </c>
      <c r="B266" s="566" t="s">
        <v>404</v>
      </c>
      <c r="C266" s="566" t="s">
        <v>2588</v>
      </c>
      <c r="D266" s="477" t="s">
        <v>1664</v>
      </c>
      <c r="E266" s="71">
        <v>197401</v>
      </c>
      <c r="F266" s="561" t="s">
        <v>2588</v>
      </c>
      <c r="J266" s="71" t="s">
        <v>796</v>
      </c>
      <c r="K266" s="561" t="s">
        <v>796</v>
      </c>
      <c r="L266" s="186" t="s">
        <v>796</v>
      </c>
      <c r="M266" s="71" t="s">
        <v>296</v>
      </c>
      <c r="N266" s="71">
        <v>20.260679244995099</v>
      </c>
      <c r="O266" s="71">
        <v>93.051597595214801</v>
      </c>
      <c r="P266" s="561" t="s">
        <v>797</v>
      </c>
      <c r="R266" s="568"/>
      <c r="S266" s="439"/>
      <c r="T266" s="109"/>
      <c r="U266" s="570"/>
      <c r="W266" s="561"/>
    </row>
    <row r="267" spans="1:23" s="71" customFormat="1" ht="14.25" customHeight="1">
      <c r="A267" s="439" t="s">
        <v>2687</v>
      </c>
      <c r="B267" s="436" t="s">
        <v>404</v>
      </c>
      <c r="C267" s="436" t="s">
        <v>827</v>
      </c>
      <c r="D267" s="477" t="s">
        <v>1664</v>
      </c>
      <c r="E267" s="435">
        <v>197562</v>
      </c>
      <c r="F267" s="566"/>
      <c r="G267" s="435"/>
      <c r="H267" s="435"/>
      <c r="J267" s="71" t="s">
        <v>796</v>
      </c>
      <c r="K267" s="566" t="s">
        <v>796</v>
      </c>
      <c r="L267" s="566" t="s">
        <v>796</v>
      </c>
      <c r="N267" s="435">
        <v>20.06903076</v>
      </c>
      <c r="O267" s="561">
        <v>92.930137630000004</v>
      </c>
      <c r="P267" s="435" t="s">
        <v>797</v>
      </c>
      <c r="R267" s="568"/>
      <c r="S267" s="569"/>
      <c r="T267" s="109"/>
      <c r="U267" s="440"/>
      <c r="V267" s="435" t="s">
        <v>828</v>
      </c>
      <c r="W267" s="568"/>
    </row>
    <row r="268" spans="1:23" s="71" customFormat="1" ht="14.25" customHeight="1">
      <c r="A268" s="439" t="s">
        <v>2687</v>
      </c>
      <c r="B268" s="436" t="s">
        <v>404</v>
      </c>
      <c r="C268" s="436" t="s">
        <v>2845</v>
      </c>
      <c r="D268" s="477"/>
      <c r="E268" s="71">
        <v>217986</v>
      </c>
      <c r="J268" s="71" t="s">
        <v>796</v>
      </c>
      <c r="K268" s="561" t="s">
        <v>796</v>
      </c>
      <c r="L268" s="561" t="s">
        <v>796</v>
      </c>
      <c r="N268" s="71">
        <v>19.9964408874512</v>
      </c>
      <c r="O268" s="566">
        <v>92.951683044433594</v>
      </c>
      <c r="P268" s="71" t="s">
        <v>797</v>
      </c>
      <c r="R268" s="572"/>
      <c r="S268" s="573"/>
      <c r="T268" s="109"/>
      <c r="U268" s="105"/>
      <c r="W268" s="561"/>
    </row>
    <row r="269" spans="1:23" s="71" customFormat="1" ht="14.25" customHeight="1">
      <c r="A269" s="569" t="s">
        <v>2687</v>
      </c>
      <c r="B269" s="566" t="s">
        <v>404</v>
      </c>
      <c r="C269" s="566" t="s">
        <v>2582</v>
      </c>
      <c r="D269" s="477" t="s">
        <v>1664</v>
      </c>
      <c r="E269" s="71">
        <v>197451</v>
      </c>
      <c r="F269" s="561"/>
      <c r="J269" s="71" t="s">
        <v>796</v>
      </c>
      <c r="K269" s="435" t="s">
        <v>796</v>
      </c>
      <c r="L269" s="186" t="s">
        <v>796</v>
      </c>
      <c r="M269" s="71" t="s">
        <v>296</v>
      </c>
      <c r="P269" s="561" t="s">
        <v>797</v>
      </c>
      <c r="R269" s="568"/>
      <c r="S269" s="569"/>
      <c r="T269" s="109"/>
      <c r="U269" s="570"/>
      <c r="W269" s="561"/>
    </row>
    <row r="270" spans="1:23" s="71" customFormat="1" ht="14.25" customHeight="1">
      <c r="A270" s="439" t="s">
        <v>2687</v>
      </c>
      <c r="B270" s="436" t="s">
        <v>404</v>
      </c>
      <c r="C270" s="436" t="s">
        <v>2969</v>
      </c>
      <c r="D270" s="477"/>
      <c r="E270" s="71">
        <v>197563</v>
      </c>
      <c r="F270" s="566" t="s">
        <v>2564</v>
      </c>
      <c r="J270" s="71" t="s">
        <v>796</v>
      </c>
      <c r="K270" s="71" t="s">
        <v>796</v>
      </c>
      <c r="L270" s="71" t="s">
        <v>796</v>
      </c>
      <c r="N270" s="71">
        <v>20.032600402831999</v>
      </c>
      <c r="O270" s="71">
        <v>92.931488037109403</v>
      </c>
      <c r="P270" s="71" t="s">
        <v>797</v>
      </c>
      <c r="R270" s="572"/>
      <c r="S270" s="573"/>
      <c r="T270" s="109"/>
      <c r="U270" s="105"/>
      <c r="W270" s="561"/>
    </row>
    <row r="271" spans="1:23" s="71" customFormat="1" ht="14.25" customHeight="1">
      <c r="A271" s="439" t="s">
        <v>2687</v>
      </c>
      <c r="B271" s="436" t="s">
        <v>404</v>
      </c>
      <c r="C271" s="436" t="s">
        <v>2970</v>
      </c>
      <c r="D271" s="477"/>
      <c r="E271" s="71">
        <v>197564</v>
      </c>
      <c r="F271" s="566" t="s">
        <v>2564</v>
      </c>
      <c r="J271" s="71" t="s">
        <v>796</v>
      </c>
      <c r="K271" s="435" t="s">
        <v>796</v>
      </c>
      <c r="L271" s="435" t="s">
        <v>796</v>
      </c>
      <c r="N271" s="71">
        <v>20.0275993347168</v>
      </c>
      <c r="O271" s="71">
        <v>92.936653137207003</v>
      </c>
      <c r="P271" s="71" t="s">
        <v>797</v>
      </c>
      <c r="R271" s="572"/>
      <c r="S271" s="573"/>
      <c r="T271" s="109"/>
      <c r="U271" s="105"/>
      <c r="W271" s="561"/>
    </row>
    <row r="272" spans="1:23" s="71" customFormat="1" ht="14.25" customHeight="1">
      <c r="A272" s="439" t="s">
        <v>2687</v>
      </c>
      <c r="B272" s="436" t="s">
        <v>404</v>
      </c>
      <c r="C272" s="436" t="s">
        <v>2567</v>
      </c>
      <c r="D272" s="477"/>
      <c r="E272" s="435">
        <v>197543</v>
      </c>
      <c r="F272" s="435" t="s">
        <v>523</v>
      </c>
      <c r="J272" s="71" t="s">
        <v>796</v>
      </c>
      <c r="K272" s="71" t="s">
        <v>796</v>
      </c>
      <c r="L272" s="71" t="s">
        <v>796</v>
      </c>
      <c r="N272" s="71">
        <v>19.9403591156006</v>
      </c>
      <c r="O272" s="561">
        <v>93.009452819824205</v>
      </c>
      <c r="P272" s="71" t="s">
        <v>797</v>
      </c>
      <c r="R272" s="572"/>
      <c r="S272" s="573"/>
      <c r="T272" s="109"/>
      <c r="U272" s="105"/>
      <c r="W272" s="561"/>
    </row>
    <row r="273" spans="1:23" s="71" customFormat="1" ht="14.25" customHeight="1">
      <c r="A273" s="439" t="s">
        <v>2687</v>
      </c>
      <c r="B273" s="436" t="s">
        <v>404</v>
      </c>
      <c r="C273" s="436" t="s">
        <v>2566</v>
      </c>
      <c r="D273" s="477"/>
      <c r="E273" s="561">
        <v>197574</v>
      </c>
      <c r="F273" s="561" t="s">
        <v>2735</v>
      </c>
      <c r="G273" s="561"/>
      <c r="H273" s="561"/>
      <c r="I273" s="561"/>
      <c r="J273" s="71" t="s">
        <v>796</v>
      </c>
      <c r="K273" s="71" t="s">
        <v>796</v>
      </c>
      <c r="L273" s="561" t="s">
        <v>796</v>
      </c>
      <c r="N273" s="71">
        <v>20.068620681762699</v>
      </c>
      <c r="O273" s="71">
        <v>92.934440612792997</v>
      </c>
      <c r="P273" s="71" t="s">
        <v>797</v>
      </c>
      <c r="R273" s="572"/>
      <c r="S273" s="573"/>
      <c r="T273" s="109"/>
      <c r="U273" s="105"/>
      <c r="W273" s="561"/>
    </row>
    <row r="274" spans="1:23" s="71" customFormat="1" ht="14.25" customHeight="1">
      <c r="A274" s="569" t="s">
        <v>2687</v>
      </c>
      <c r="B274" s="566" t="s">
        <v>404</v>
      </c>
      <c r="C274" s="566" t="s">
        <v>2580</v>
      </c>
      <c r="D274" s="437" t="s">
        <v>1664</v>
      </c>
      <c r="E274" s="575">
        <v>197447</v>
      </c>
      <c r="F274" s="575"/>
      <c r="G274" s="575"/>
      <c r="H274" s="575"/>
      <c r="I274" s="575"/>
      <c r="J274" s="71" t="s">
        <v>796</v>
      </c>
      <c r="K274" s="435" t="s">
        <v>796</v>
      </c>
      <c r="L274" s="186" t="s">
        <v>796</v>
      </c>
      <c r="M274" s="71" t="s">
        <v>296</v>
      </c>
      <c r="P274" s="561" t="s">
        <v>797</v>
      </c>
      <c r="R274" s="566"/>
      <c r="S274" s="566"/>
      <c r="T274" s="109"/>
      <c r="U274" s="570"/>
      <c r="V274" s="435"/>
      <c r="W274" s="561"/>
    </row>
    <row r="275" spans="1:23" s="71" customFormat="1" ht="14.25" customHeight="1">
      <c r="A275" s="569" t="s">
        <v>2687</v>
      </c>
      <c r="B275" s="572" t="s">
        <v>454</v>
      </c>
      <c r="C275" s="573" t="s">
        <v>2766</v>
      </c>
      <c r="D275" s="567"/>
      <c r="E275" s="435">
        <v>196217</v>
      </c>
      <c r="F275" s="561"/>
      <c r="J275" s="71" t="s">
        <v>2692</v>
      </c>
      <c r="K275" s="435" t="s">
        <v>2658</v>
      </c>
      <c r="L275" s="71" t="s">
        <v>2658</v>
      </c>
      <c r="N275" s="435">
        <v>20.643140792846701</v>
      </c>
      <c r="O275" s="561">
        <v>92.851875305175795</v>
      </c>
      <c r="P275" s="71" t="s">
        <v>1989</v>
      </c>
      <c r="R275" s="576"/>
      <c r="S275" s="569"/>
      <c r="T275" s="109">
        <v>43591</v>
      </c>
      <c r="U275" s="576"/>
      <c r="W275" s="438"/>
    </row>
    <row r="276" spans="1:23" s="71" customFormat="1" ht="14.25" customHeight="1">
      <c r="A276" s="572" t="s">
        <v>2687</v>
      </c>
      <c r="B276" s="572" t="s">
        <v>454</v>
      </c>
      <c r="C276" s="573" t="s">
        <v>2849</v>
      </c>
      <c r="D276" s="567"/>
      <c r="E276" s="71">
        <v>196309</v>
      </c>
      <c r="F276" s="561"/>
      <c r="J276" s="71" t="s">
        <v>2692</v>
      </c>
      <c r="K276" s="71" t="s">
        <v>2658</v>
      </c>
      <c r="L276" s="71" t="s">
        <v>2658</v>
      </c>
      <c r="N276" s="71">
        <v>20.623949050903299</v>
      </c>
      <c r="O276" s="71">
        <v>92.950813293457003</v>
      </c>
      <c r="P276" s="71" t="s">
        <v>1989</v>
      </c>
      <c r="R276" s="576"/>
      <c r="S276" s="439"/>
      <c r="T276" s="109">
        <v>43591</v>
      </c>
      <c r="U276" s="576"/>
      <c r="V276" s="71" t="s">
        <v>2801</v>
      </c>
      <c r="W276" s="438"/>
    </row>
    <row r="277" spans="1:23" s="71" customFormat="1" ht="14.25" customHeight="1">
      <c r="A277" s="572" t="s">
        <v>2687</v>
      </c>
      <c r="B277" s="572" t="s">
        <v>454</v>
      </c>
      <c r="C277" s="573" t="s">
        <v>2800</v>
      </c>
      <c r="D277" s="567"/>
      <c r="F277" s="561"/>
      <c r="J277" s="71" t="s">
        <v>2692</v>
      </c>
      <c r="K277" s="435" t="s">
        <v>2658</v>
      </c>
      <c r="L277" s="71" t="s">
        <v>2658</v>
      </c>
      <c r="P277" s="71" t="s">
        <v>1989</v>
      </c>
      <c r="R277" s="576"/>
      <c r="S277" s="569"/>
      <c r="T277" s="109">
        <v>43591</v>
      </c>
      <c r="U277" s="576"/>
      <c r="W277" s="438"/>
    </row>
    <row r="278" spans="1:23" s="71" customFormat="1" ht="14.25" customHeight="1">
      <c r="A278" s="572" t="s">
        <v>2687</v>
      </c>
      <c r="B278" s="572" t="s">
        <v>454</v>
      </c>
      <c r="C278" s="573" t="s">
        <v>2804</v>
      </c>
      <c r="D278" s="567"/>
      <c r="E278" s="71">
        <v>196329</v>
      </c>
      <c r="F278" s="561"/>
      <c r="J278" s="71" t="s">
        <v>2692</v>
      </c>
      <c r="K278" s="561" t="s">
        <v>2658</v>
      </c>
      <c r="L278" s="561" t="s">
        <v>2658</v>
      </c>
      <c r="N278" s="71">
        <v>20.5511798858643</v>
      </c>
      <c r="O278" s="71">
        <v>93.065322875976605</v>
      </c>
      <c r="P278" s="561" t="s">
        <v>1989</v>
      </c>
      <c r="R278" s="576"/>
      <c r="S278" s="104"/>
      <c r="T278" s="109">
        <v>43591</v>
      </c>
      <c r="U278" s="576"/>
      <c r="W278" s="438"/>
    </row>
    <row r="279" spans="1:23" s="71" customFormat="1" ht="14.25" customHeight="1">
      <c r="A279" s="569" t="s">
        <v>2687</v>
      </c>
      <c r="B279" s="566" t="s">
        <v>454</v>
      </c>
      <c r="C279" s="566" t="s">
        <v>486</v>
      </c>
      <c r="D279" s="477" t="s">
        <v>1664</v>
      </c>
      <c r="E279" s="435">
        <v>196350</v>
      </c>
      <c r="F279" s="566"/>
      <c r="G279" s="435"/>
      <c r="H279" s="435"/>
      <c r="I279" s="435"/>
      <c r="J279" s="435" t="s">
        <v>796</v>
      </c>
      <c r="K279" s="566" t="s">
        <v>796</v>
      </c>
      <c r="L279" s="566" t="s">
        <v>796</v>
      </c>
      <c r="M279" s="435" t="s">
        <v>793</v>
      </c>
      <c r="N279" s="435">
        <v>20.494340900000001</v>
      </c>
      <c r="O279" s="435">
        <v>93.054298399999993</v>
      </c>
      <c r="P279" s="435" t="s">
        <v>797</v>
      </c>
      <c r="Q279" s="435" t="s">
        <v>778</v>
      </c>
      <c r="R279" s="568"/>
      <c r="S279" s="439"/>
      <c r="T279" s="452"/>
      <c r="U279" s="570"/>
      <c r="V279" s="435" t="s">
        <v>899</v>
      </c>
      <c r="W279" s="438"/>
    </row>
    <row r="280" spans="1:23" s="71" customFormat="1" ht="14.25" customHeight="1">
      <c r="A280" s="572" t="s">
        <v>2687</v>
      </c>
      <c r="B280" s="572" t="s">
        <v>454</v>
      </c>
      <c r="C280" s="573" t="s">
        <v>2797</v>
      </c>
      <c r="D280" s="567"/>
      <c r="E280" s="71">
        <v>196218</v>
      </c>
      <c r="F280" s="561"/>
      <c r="J280" s="71" t="s">
        <v>2692</v>
      </c>
      <c r="K280" s="561" t="s">
        <v>2658</v>
      </c>
      <c r="L280" s="561" t="s">
        <v>2658</v>
      </c>
      <c r="N280" s="71">
        <v>20.709392547607401</v>
      </c>
      <c r="O280" s="71">
        <v>92.815086364746094</v>
      </c>
      <c r="P280" s="71" t="s">
        <v>1989</v>
      </c>
      <c r="R280" s="576"/>
      <c r="S280" s="439"/>
      <c r="T280" s="109">
        <v>43591</v>
      </c>
      <c r="U280" s="576"/>
      <c r="W280" s="438"/>
    </row>
    <row r="281" spans="1:23" s="71" customFormat="1" ht="14.25" customHeight="1">
      <c r="A281" s="569" t="s">
        <v>2687</v>
      </c>
      <c r="B281" s="566" t="s">
        <v>454</v>
      </c>
      <c r="C281" s="566" t="s">
        <v>510</v>
      </c>
      <c r="D281" s="477" t="s">
        <v>1664</v>
      </c>
      <c r="E281" s="71">
        <v>196318</v>
      </c>
      <c r="F281" s="594" t="s">
        <v>510</v>
      </c>
      <c r="J281" s="71" t="s">
        <v>796</v>
      </c>
      <c r="K281" s="566" t="s">
        <v>796</v>
      </c>
      <c r="L281" s="566" t="s">
        <v>796</v>
      </c>
      <c r="M281" s="71" t="s">
        <v>793</v>
      </c>
      <c r="N281" s="71">
        <v>20.608819960000002</v>
      </c>
      <c r="O281" s="71">
        <v>93.022407529999995</v>
      </c>
      <c r="P281" s="71" t="s">
        <v>797</v>
      </c>
      <c r="Q281" s="71" t="s">
        <v>778</v>
      </c>
      <c r="R281" s="568"/>
      <c r="S281" s="439"/>
      <c r="T281" s="109"/>
      <c r="U281" s="570"/>
      <c r="V281" s="71" t="s">
        <v>914</v>
      </c>
      <c r="W281" s="438"/>
    </row>
    <row r="282" spans="1:23" s="71" customFormat="1" ht="14.25" customHeight="1">
      <c r="A282" s="572" t="s">
        <v>2687</v>
      </c>
      <c r="B282" s="572" t="s">
        <v>454</v>
      </c>
      <c r="C282" s="573" t="s">
        <v>2798</v>
      </c>
      <c r="D282" s="567"/>
      <c r="E282" s="71">
        <v>196403</v>
      </c>
      <c r="J282" s="71" t="s">
        <v>2692</v>
      </c>
      <c r="K282" s="561" t="s">
        <v>2658</v>
      </c>
      <c r="L282" s="561" t="s">
        <v>2658</v>
      </c>
      <c r="N282" s="435">
        <v>20.303350448608398</v>
      </c>
      <c r="O282" s="435">
        <v>92.927062988281307</v>
      </c>
      <c r="P282" s="561" t="s">
        <v>1989</v>
      </c>
      <c r="R282" s="576"/>
      <c r="S282" s="104"/>
      <c r="T282" s="109">
        <v>43591</v>
      </c>
      <c r="U282" s="576"/>
      <c r="W282" s="438"/>
    </row>
    <row r="283" spans="1:23" s="71" customFormat="1" ht="14.25" customHeight="1">
      <c r="A283" s="569" t="s">
        <v>2687</v>
      </c>
      <c r="B283" s="566" t="s">
        <v>454</v>
      </c>
      <c r="C283" s="566" t="s">
        <v>883</v>
      </c>
      <c r="D283" s="477" t="s">
        <v>1664</v>
      </c>
      <c r="E283" s="435">
        <v>196357</v>
      </c>
      <c r="F283" s="71" t="s">
        <v>883</v>
      </c>
      <c r="J283" s="71" t="s">
        <v>796</v>
      </c>
      <c r="K283" s="566" t="s">
        <v>796</v>
      </c>
      <c r="L283" s="566" t="s">
        <v>796</v>
      </c>
      <c r="M283" s="71" t="s">
        <v>296</v>
      </c>
      <c r="N283" s="435">
        <v>20.369959999999999</v>
      </c>
      <c r="O283" s="435">
        <v>93.019220000000004</v>
      </c>
      <c r="P283" s="561" t="s">
        <v>797</v>
      </c>
      <c r="R283" s="568"/>
      <c r="S283" s="104"/>
      <c r="T283" s="109"/>
      <c r="U283" s="570"/>
      <c r="V283" s="71" t="s">
        <v>883</v>
      </c>
      <c r="W283" s="438"/>
    </row>
    <row r="284" spans="1:23" s="71" customFormat="1" ht="14.25" customHeight="1">
      <c r="A284" s="569" t="s">
        <v>2687</v>
      </c>
      <c r="B284" s="566" t="s">
        <v>454</v>
      </c>
      <c r="C284" s="566" t="s">
        <v>511</v>
      </c>
      <c r="D284" s="477" t="s">
        <v>1664</v>
      </c>
      <c r="E284" s="71">
        <v>196316</v>
      </c>
      <c r="F284" s="435"/>
      <c r="J284" s="71" t="s">
        <v>796</v>
      </c>
      <c r="K284" s="566" t="s">
        <v>796</v>
      </c>
      <c r="L284" s="566" t="s">
        <v>796</v>
      </c>
      <c r="M284" s="71" t="s">
        <v>296</v>
      </c>
      <c r="N284" s="435">
        <v>20.630609509999999</v>
      </c>
      <c r="O284" s="435">
        <v>92.998641969999994</v>
      </c>
      <c r="P284" s="71" t="s">
        <v>797</v>
      </c>
      <c r="Q284" s="71" t="s">
        <v>778</v>
      </c>
      <c r="R284" s="568"/>
      <c r="S284" s="439"/>
      <c r="T284" s="109"/>
      <c r="U284" s="570"/>
      <c r="V284" s="71" t="s">
        <v>916</v>
      </c>
      <c r="W284" s="438"/>
    </row>
    <row r="285" spans="1:23" s="71" customFormat="1" ht="14.25" customHeight="1">
      <c r="A285" s="572" t="s">
        <v>2687</v>
      </c>
      <c r="B285" s="572" t="s">
        <v>454</v>
      </c>
      <c r="C285" s="573" t="s">
        <v>2802</v>
      </c>
      <c r="D285" s="567"/>
      <c r="E285" s="71">
        <v>196317</v>
      </c>
      <c r="F285" s="435"/>
      <c r="J285" s="71" t="s">
        <v>2692</v>
      </c>
      <c r="K285" s="435" t="s">
        <v>2658</v>
      </c>
      <c r="L285" s="435" t="s">
        <v>2658</v>
      </c>
      <c r="N285" s="435">
        <v>20.616569519043001</v>
      </c>
      <c r="O285" s="435">
        <v>92.991638183593807</v>
      </c>
      <c r="P285" s="71" t="s">
        <v>1989</v>
      </c>
      <c r="R285" s="576"/>
      <c r="S285" s="439"/>
      <c r="T285" s="109">
        <v>43591</v>
      </c>
      <c r="U285" s="576"/>
      <c r="W285" s="438"/>
    </row>
    <row r="286" spans="1:23" s="71" customFormat="1" ht="14.25" customHeight="1">
      <c r="A286" s="439" t="s">
        <v>2687</v>
      </c>
      <c r="B286" s="436" t="s">
        <v>454</v>
      </c>
      <c r="C286" s="436" t="s">
        <v>517</v>
      </c>
      <c r="D286" s="477" t="s">
        <v>1664</v>
      </c>
      <c r="E286" s="71">
        <v>196313</v>
      </c>
      <c r="F286" s="71" t="s">
        <v>512</v>
      </c>
      <c r="J286" s="71" t="s">
        <v>796</v>
      </c>
      <c r="K286" s="71" t="s">
        <v>796</v>
      </c>
      <c r="L286" s="71" t="s">
        <v>796</v>
      </c>
      <c r="M286" s="71" t="s">
        <v>296</v>
      </c>
      <c r="N286" s="435">
        <v>20.645240780000002</v>
      </c>
      <c r="O286" s="435">
        <v>92.939758299999994</v>
      </c>
      <c r="P286" s="71" t="s">
        <v>797</v>
      </c>
      <c r="Q286" s="71" t="s">
        <v>778</v>
      </c>
      <c r="R286" s="438"/>
      <c r="S286" s="439"/>
      <c r="T286" s="109"/>
      <c r="U286" s="105"/>
      <c r="V286" s="71" t="s">
        <v>517</v>
      </c>
      <c r="W286" s="438"/>
    </row>
    <row r="287" spans="1:23" s="71" customFormat="1" ht="14.25" customHeight="1">
      <c r="A287" s="439" t="s">
        <v>2687</v>
      </c>
      <c r="B287" s="436" t="s">
        <v>454</v>
      </c>
      <c r="C287" s="436" t="s">
        <v>880</v>
      </c>
      <c r="D287" s="477" t="s">
        <v>1664</v>
      </c>
      <c r="E287" s="71">
        <v>196401</v>
      </c>
      <c r="J287" s="71" t="s">
        <v>796</v>
      </c>
      <c r="K287" s="71" t="s">
        <v>796</v>
      </c>
      <c r="L287" s="71" t="s">
        <v>796</v>
      </c>
      <c r="M287" s="71" t="s">
        <v>296</v>
      </c>
      <c r="N287" s="71">
        <v>20.327500000000001</v>
      </c>
      <c r="O287" s="561">
        <v>92.8947</v>
      </c>
      <c r="P287" s="71" t="s">
        <v>797</v>
      </c>
      <c r="R287" s="438"/>
      <c r="S287" s="439"/>
      <c r="T287" s="109"/>
      <c r="U287" s="105"/>
      <c r="V287" s="71" t="s">
        <v>880</v>
      </c>
      <c r="W287" s="438"/>
    </row>
    <row r="288" spans="1:23" s="71" customFormat="1" ht="14.25" customHeight="1">
      <c r="A288" s="439" t="s">
        <v>2687</v>
      </c>
      <c r="B288" s="566" t="s">
        <v>454</v>
      </c>
      <c r="C288" s="566" t="s">
        <v>483</v>
      </c>
      <c r="D288" s="477" t="s">
        <v>1664</v>
      </c>
      <c r="E288" s="71">
        <v>196349</v>
      </c>
      <c r="F288" s="435"/>
      <c r="J288" s="71" t="s">
        <v>796</v>
      </c>
      <c r="K288" s="435" t="s">
        <v>796</v>
      </c>
      <c r="L288" s="435" t="s">
        <v>796</v>
      </c>
      <c r="M288" s="71" t="s">
        <v>296</v>
      </c>
      <c r="N288" s="71">
        <v>20.482030869999999</v>
      </c>
      <c r="O288" s="566">
        <v>93.045410160000003</v>
      </c>
      <c r="P288" s="561" t="s">
        <v>797</v>
      </c>
      <c r="Q288" s="71" t="s">
        <v>778</v>
      </c>
      <c r="R288" s="568"/>
      <c r="S288" s="439"/>
      <c r="T288" s="109"/>
      <c r="U288" s="570"/>
      <c r="V288" s="571" t="s">
        <v>483</v>
      </c>
      <c r="W288" s="438"/>
    </row>
    <row r="289" spans="1:23" s="71" customFormat="1" ht="14.25" customHeight="1">
      <c r="A289" s="569" t="s">
        <v>2687</v>
      </c>
      <c r="B289" s="566" t="s">
        <v>454</v>
      </c>
      <c r="C289" s="566" t="s">
        <v>879</v>
      </c>
      <c r="D289" s="477" t="s">
        <v>1664</v>
      </c>
      <c r="E289" s="71">
        <v>196375</v>
      </c>
      <c r="F289" s="435" t="s">
        <v>879</v>
      </c>
      <c r="J289" s="71" t="s">
        <v>796</v>
      </c>
      <c r="K289" s="435" t="s">
        <v>796</v>
      </c>
      <c r="L289" s="435" t="s">
        <v>796</v>
      </c>
      <c r="M289" s="71" t="s">
        <v>296</v>
      </c>
      <c r="N289" s="71">
        <v>20.308</v>
      </c>
      <c r="O289" s="71">
        <v>93.01</v>
      </c>
      <c r="P289" s="71" t="s">
        <v>797</v>
      </c>
      <c r="R289" s="568"/>
      <c r="S289" s="439"/>
      <c r="T289" s="109"/>
      <c r="U289" s="570"/>
      <c r="V289" s="566" t="s">
        <v>879</v>
      </c>
      <c r="W289" s="438"/>
    </row>
    <row r="290" spans="1:23" s="71" customFormat="1" ht="14.25" customHeight="1">
      <c r="A290" s="572" t="s">
        <v>2687</v>
      </c>
      <c r="B290" s="572" t="s">
        <v>454</v>
      </c>
      <c r="C290" s="573" t="s">
        <v>2803</v>
      </c>
      <c r="D290" s="567"/>
      <c r="E290" s="71">
        <v>196315</v>
      </c>
      <c r="F290" s="561"/>
      <c r="J290" s="71" t="s">
        <v>2692</v>
      </c>
      <c r="K290" s="71" t="s">
        <v>2658</v>
      </c>
      <c r="L290" s="71" t="s">
        <v>2658</v>
      </c>
      <c r="N290" s="71">
        <v>20.622760772705099</v>
      </c>
      <c r="O290" s="561">
        <v>92.954826354980497</v>
      </c>
      <c r="P290" s="71" t="s">
        <v>1989</v>
      </c>
      <c r="R290" s="576"/>
      <c r="S290" s="569"/>
      <c r="T290" s="109">
        <v>43591</v>
      </c>
      <c r="U290" s="576"/>
      <c r="W290" s="438"/>
    </row>
    <row r="291" spans="1:23" s="71" customFormat="1" ht="14.25" customHeight="1">
      <c r="A291" s="439" t="s">
        <v>2687</v>
      </c>
      <c r="B291" s="566" t="s">
        <v>454</v>
      </c>
      <c r="C291" s="566" t="s">
        <v>512</v>
      </c>
      <c r="D291" s="477" t="s">
        <v>1664</v>
      </c>
      <c r="E291" s="71">
        <v>196312</v>
      </c>
      <c r="F291" s="566"/>
      <c r="J291" s="71" t="s">
        <v>796</v>
      </c>
      <c r="K291" s="71" t="s">
        <v>796</v>
      </c>
      <c r="L291" s="71" t="s">
        <v>796</v>
      </c>
      <c r="M291" s="71" t="s">
        <v>296</v>
      </c>
      <c r="N291" s="71">
        <v>20.63272095</v>
      </c>
      <c r="O291" s="566">
        <v>92.940132140000003</v>
      </c>
      <c r="P291" s="71" t="s">
        <v>797</v>
      </c>
      <c r="Q291" s="71" t="s">
        <v>778</v>
      </c>
      <c r="R291" s="572"/>
      <c r="S291" s="573"/>
      <c r="T291" s="109"/>
      <c r="U291" s="105"/>
      <c r="V291" s="71" t="s">
        <v>917</v>
      </c>
      <c r="W291" s="438"/>
    </row>
    <row r="292" spans="1:23" s="71" customFormat="1" ht="14.25" customHeight="1">
      <c r="A292" s="439" t="s">
        <v>2687</v>
      </c>
      <c r="B292" s="566" t="s">
        <v>454</v>
      </c>
      <c r="C292" s="566" t="s">
        <v>509</v>
      </c>
      <c r="D292" s="477" t="s">
        <v>1664</v>
      </c>
      <c r="E292" s="71">
        <v>196321</v>
      </c>
      <c r="F292" s="566"/>
      <c r="J292" s="71" t="s">
        <v>796</v>
      </c>
      <c r="K292" s="71" t="s">
        <v>796</v>
      </c>
      <c r="L292" s="71" t="s">
        <v>796</v>
      </c>
      <c r="M292" s="71" t="s">
        <v>296</v>
      </c>
      <c r="N292" s="71">
        <v>20.59627914</v>
      </c>
      <c r="O292" s="71">
        <v>92.987480160000004</v>
      </c>
      <c r="P292" s="71" t="s">
        <v>797</v>
      </c>
      <c r="Q292" s="71" t="s">
        <v>778</v>
      </c>
      <c r="R292" s="568"/>
      <c r="S292" s="569"/>
      <c r="T292" s="109"/>
      <c r="U292" s="105"/>
      <c r="V292" s="71" t="s">
        <v>509</v>
      </c>
      <c r="W292" s="438"/>
    </row>
    <row r="293" spans="1:23" s="71" customFormat="1" ht="14.25" customHeight="1">
      <c r="A293" s="439" t="s">
        <v>2687</v>
      </c>
      <c r="B293" s="566" t="s">
        <v>454</v>
      </c>
      <c r="C293" s="566" t="s">
        <v>878</v>
      </c>
      <c r="D293" s="477" t="s">
        <v>1664</v>
      </c>
      <c r="E293" s="71">
        <v>196412</v>
      </c>
      <c r="F293" s="566" t="s">
        <v>878</v>
      </c>
      <c r="J293" s="71" t="s">
        <v>796</v>
      </c>
      <c r="K293" s="71" t="s">
        <v>796</v>
      </c>
      <c r="L293" s="71" t="s">
        <v>796</v>
      </c>
      <c r="M293" s="71" t="s">
        <v>296</v>
      </c>
      <c r="N293" s="71">
        <v>20.242139999999999</v>
      </c>
      <c r="O293" s="71">
        <v>92.921729999999997</v>
      </c>
      <c r="P293" s="71" t="s">
        <v>797</v>
      </c>
      <c r="R293" s="572"/>
      <c r="S293" s="573"/>
      <c r="T293" s="109"/>
      <c r="U293" s="570"/>
      <c r="V293" s="71" t="s">
        <v>878</v>
      </c>
      <c r="W293" s="438"/>
    </row>
    <row r="294" spans="1:23" s="71" customFormat="1" ht="14.25" customHeight="1">
      <c r="A294" s="439" t="s">
        <v>2687</v>
      </c>
      <c r="B294" s="572" t="s">
        <v>454</v>
      </c>
      <c r="C294" s="573" t="s">
        <v>2851</v>
      </c>
      <c r="D294" s="567"/>
      <c r="E294" s="435">
        <v>196234</v>
      </c>
      <c r="F294" s="561"/>
      <c r="J294" s="71" t="s">
        <v>2692</v>
      </c>
      <c r="K294" s="435" t="s">
        <v>2658</v>
      </c>
      <c r="L294" s="435" t="s">
        <v>2658</v>
      </c>
      <c r="N294" s="71">
        <v>20.580810546875</v>
      </c>
      <c r="O294" s="435">
        <v>92.869346618652301</v>
      </c>
      <c r="P294" s="71" t="s">
        <v>1989</v>
      </c>
      <c r="R294" s="576"/>
      <c r="S294" s="439"/>
      <c r="T294" s="109">
        <v>43591</v>
      </c>
      <c r="U294" s="576"/>
      <c r="V294" s="71" t="s">
        <v>2768</v>
      </c>
      <c r="W294" s="438"/>
    </row>
    <row r="295" spans="1:23" s="71" customFormat="1" ht="14.25" customHeight="1">
      <c r="A295" s="439" t="s">
        <v>2687</v>
      </c>
      <c r="B295" s="566" t="s">
        <v>454</v>
      </c>
      <c r="C295" s="566" t="s">
        <v>455</v>
      </c>
      <c r="D295" s="477" t="s">
        <v>1664</v>
      </c>
      <c r="E295" s="71">
        <v>196408</v>
      </c>
      <c r="F295" s="566"/>
      <c r="J295" s="71" t="s">
        <v>796</v>
      </c>
      <c r="K295" s="71" t="s">
        <v>796</v>
      </c>
      <c r="L295" s="71" t="s">
        <v>796</v>
      </c>
      <c r="M295" s="71" t="s">
        <v>296</v>
      </c>
      <c r="N295" s="71">
        <v>20.268000000000001</v>
      </c>
      <c r="O295" s="71">
        <v>92.977999999999994</v>
      </c>
      <c r="P295" s="71" t="s">
        <v>797</v>
      </c>
      <c r="Q295" s="71" t="s">
        <v>778</v>
      </c>
      <c r="R295" s="568"/>
      <c r="S295" s="104"/>
      <c r="T295" s="109"/>
      <c r="U295" s="105"/>
      <c r="V295" s="71" t="s">
        <v>455</v>
      </c>
      <c r="W295" s="438"/>
    </row>
    <row r="296" spans="1:23" s="71" customFormat="1" ht="14.25" customHeight="1">
      <c r="A296" s="439" t="s">
        <v>2687</v>
      </c>
      <c r="B296" s="572" t="s">
        <v>454</v>
      </c>
      <c r="C296" s="573" t="s">
        <v>458</v>
      </c>
      <c r="D296" s="567" t="s">
        <v>1664</v>
      </c>
      <c r="E296" s="435">
        <v>196377</v>
      </c>
      <c r="F296" s="435"/>
      <c r="J296" s="71" t="s">
        <v>796</v>
      </c>
      <c r="K296" s="435" t="s">
        <v>796</v>
      </c>
      <c r="L296" s="435" t="s">
        <v>796</v>
      </c>
      <c r="M296" s="71" t="s">
        <v>296</v>
      </c>
      <c r="N296" s="71">
        <v>20.292100000000001</v>
      </c>
      <c r="O296" s="71">
        <v>92.994100000000003</v>
      </c>
      <c r="P296" s="71" t="s">
        <v>797</v>
      </c>
      <c r="Q296" s="71" t="s">
        <v>778</v>
      </c>
      <c r="R296" s="576"/>
      <c r="S296" s="104"/>
      <c r="T296" s="109"/>
      <c r="U296" s="105"/>
      <c r="V296" s="71" t="s">
        <v>458</v>
      </c>
      <c r="W296" s="438"/>
    </row>
    <row r="297" spans="1:23" s="71" customFormat="1" ht="14.25" customHeight="1">
      <c r="A297" s="569" t="s">
        <v>2687</v>
      </c>
      <c r="B297" s="566" t="s">
        <v>454</v>
      </c>
      <c r="C297" s="566" t="s">
        <v>489</v>
      </c>
      <c r="D297" s="477" t="s">
        <v>1664</v>
      </c>
      <c r="E297" s="71">
        <v>196337</v>
      </c>
      <c r="J297" s="71" t="s">
        <v>796</v>
      </c>
      <c r="K297" s="435" t="s">
        <v>796</v>
      </c>
      <c r="L297" s="435" t="s">
        <v>796</v>
      </c>
      <c r="M297" s="71" t="s">
        <v>296</v>
      </c>
      <c r="N297" s="71">
        <v>20.509660719999999</v>
      </c>
      <c r="O297" s="71">
        <v>92.997230529999996</v>
      </c>
      <c r="P297" s="71" t="s">
        <v>797</v>
      </c>
      <c r="Q297" s="71" t="s">
        <v>778</v>
      </c>
      <c r="R297" s="568"/>
      <c r="S297" s="439"/>
      <c r="T297" s="109"/>
      <c r="U297" s="570"/>
      <c r="V297" s="71" t="s">
        <v>489</v>
      </c>
      <c r="W297" s="438"/>
    </row>
    <row r="298" spans="1:23" s="71" customFormat="1" ht="14.25" customHeight="1">
      <c r="A298" s="572" t="s">
        <v>2687</v>
      </c>
      <c r="B298" s="442" t="s">
        <v>454</v>
      </c>
      <c r="C298" s="443" t="s">
        <v>1743</v>
      </c>
      <c r="D298" s="567"/>
      <c r="E298" s="71">
        <v>196369</v>
      </c>
      <c r="J298" s="71" t="s">
        <v>2692</v>
      </c>
      <c r="K298" s="71" t="s">
        <v>2658</v>
      </c>
      <c r="L298" s="71" t="s">
        <v>2658</v>
      </c>
      <c r="N298" s="71">
        <v>20.337610244751001</v>
      </c>
      <c r="O298" s="71">
        <v>92.969711303710895</v>
      </c>
      <c r="P298" s="71" t="s">
        <v>1989</v>
      </c>
      <c r="R298" s="576"/>
      <c r="S298" s="439"/>
      <c r="T298" s="109">
        <v>43591</v>
      </c>
      <c r="U298" s="576"/>
      <c r="W298" s="438"/>
    </row>
    <row r="299" spans="1:23" s="71" customFormat="1" ht="14.25" customHeight="1">
      <c r="A299" s="572" t="s">
        <v>2687</v>
      </c>
      <c r="B299" s="572" t="s">
        <v>454</v>
      </c>
      <c r="C299" s="573" t="s">
        <v>2799</v>
      </c>
      <c r="D299" s="567"/>
      <c r="E299" s="435">
        <v>196369</v>
      </c>
      <c r="F299" s="435"/>
      <c r="J299" s="71" t="s">
        <v>2692</v>
      </c>
      <c r="K299" s="435" t="s">
        <v>2658</v>
      </c>
      <c r="L299" s="435" t="s">
        <v>2658</v>
      </c>
      <c r="N299" s="71">
        <v>20.337610244751001</v>
      </c>
      <c r="O299" s="71">
        <v>92.969711303710895</v>
      </c>
      <c r="P299" s="71" t="s">
        <v>1989</v>
      </c>
      <c r="R299" s="576"/>
      <c r="S299" s="439"/>
      <c r="T299" s="109">
        <v>43591</v>
      </c>
      <c r="U299" s="576"/>
      <c r="W299" s="438"/>
    </row>
    <row r="300" spans="1:23" s="71" customFormat="1" ht="14.25" customHeight="1">
      <c r="A300" s="439" t="s">
        <v>2687</v>
      </c>
      <c r="B300" s="566" t="s">
        <v>454</v>
      </c>
      <c r="C300" s="566" t="s">
        <v>461</v>
      </c>
      <c r="D300" s="477" t="s">
        <v>1664</v>
      </c>
      <c r="E300" s="71">
        <v>196359</v>
      </c>
      <c r="F300" s="71" t="s">
        <v>461</v>
      </c>
      <c r="J300" s="71" t="s">
        <v>796</v>
      </c>
      <c r="K300" s="435" t="s">
        <v>796</v>
      </c>
      <c r="L300" s="435" t="s">
        <v>796</v>
      </c>
      <c r="M300" s="71" t="s">
        <v>296</v>
      </c>
      <c r="N300" s="71">
        <v>20.361530299999998</v>
      </c>
      <c r="O300" s="71">
        <v>92.992073059999996</v>
      </c>
      <c r="P300" s="71" t="s">
        <v>797</v>
      </c>
      <c r="Q300" s="71" t="s">
        <v>778</v>
      </c>
      <c r="R300" s="568"/>
      <c r="S300" s="439"/>
      <c r="T300" s="109"/>
      <c r="U300" s="105"/>
      <c r="V300" s="71" t="s">
        <v>461</v>
      </c>
      <c r="W300" s="438"/>
    </row>
    <row r="301" spans="1:23" s="71" customFormat="1" ht="14.25" customHeight="1">
      <c r="A301" s="439" t="s">
        <v>2687</v>
      </c>
      <c r="B301" s="566" t="s">
        <v>454</v>
      </c>
      <c r="C301" s="566" t="s">
        <v>488</v>
      </c>
      <c r="D301" s="477" t="s">
        <v>1664</v>
      </c>
      <c r="E301" s="71">
        <v>196351</v>
      </c>
      <c r="J301" s="71" t="s">
        <v>796</v>
      </c>
      <c r="K301" s="435" t="s">
        <v>796</v>
      </c>
      <c r="L301" s="435" t="s">
        <v>796</v>
      </c>
      <c r="M301" s="71" t="s">
        <v>296</v>
      </c>
      <c r="N301" s="71">
        <v>20.50658035</v>
      </c>
      <c r="O301" s="71">
        <v>93.0434494</v>
      </c>
      <c r="P301" s="71" t="s">
        <v>797</v>
      </c>
      <c r="Q301" s="71" t="s">
        <v>778</v>
      </c>
      <c r="R301" s="438"/>
      <c r="S301" s="439"/>
      <c r="T301" s="109"/>
      <c r="U301" s="105"/>
      <c r="V301" s="435" t="s">
        <v>488</v>
      </c>
      <c r="W301" s="438"/>
    </row>
    <row r="302" spans="1:23" s="71" customFormat="1" ht="14.25" customHeight="1">
      <c r="A302" s="439" t="s">
        <v>2687</v>
      </c>
      <c r="B302" s="566" t="s">
        <v>454</v>
      </c>
      <c r="C302" s="566" t="s">
        <v>502</v>
      </c>
      <c r="D302" s="477" t="s">
        <v>1664</v>
      </c>
      <c r="E302" s="71">
        <v>196331</v>
      </c>
      <c r="F302" s="71" t="s">
        <v>502</v>
      </c>
      <c r="J302" s="71" t="s">
        <v>796</v>
      </c>
      <c r="K302" s="71" t="s">
        <v>796</v>
      </c>
      <c r="L302" s="71" t="s">
        <v>796</v>
      </c>
      <c r="M302" s="71" t="s">
        <v>296</v>
      </c>
      <c r="N302" s="71">
        <v>20.564739230000001</v>
      </c>
      <c r="O302" s="71">
        <v>93.064781190000005</v>
      </c>
      <c r="P302" s="71" t="s">
        <v>797</v>
      </c>
      <c r="Q302" s="71" t="s">
        <v>778</v>
      </c>
      <c r="R302" s="568"/>
      <c r="S302" s="439"/>
      <c r="T302" s="109"/>
      <c r="U302" s="105"/>
      <c r="V302" s="71" t="s">
        <v>502</v>
      </c>
      <c r="W302" s="438"/>
    </row>
    <row r="303" spans="1:23" s="71" customFormat="1" ht="14.25" customHeight="1">
      <c r="A303" s="439" t="s">
        <v>2687</v>
      </c>
      <c r="B303" s="566" t="s">
        <v>454</v>
      </c>
      <c r="C303" s="566" t="s">
        <v>470</v>
      </c>
      <c r="D303" s="477" t="s">
        <v>1664</v>
      </c>
      <c r="E303" s="71">
        <v>196356</v>
      </c>
      <c r="F303" s="561"/>
      <c r="J303" s="71" t="s">
        <v>796</v>
      </c>
      <c r="K303" s="561" t="s">
        <v>796</v>
      </c>
      <c r="L303" s="561" t="s">
        <v>796</v>
      </c>
      <c r="M303" s="71" t="s">
        <v>296</v>
      </c>
      <c r="N303" s="71">
        <v>20.424389999999999</v>
      </c>
      <c r="O303" s="71">
        <v>93.012960000000007</v>
      </c>
      <c r="P303" s="561" t="s">
        <v>797</v>
      </c>
      <c r="Q303" s="71" t="s">
        <v>778</v>
      </c>
      <c r="R303" s="568"/>
      <c r="S303" s="569"/>
      <c r="T303" s="109"/>
      <c r="U303" s="570"/>
      <c r="V303" s="561" t="s">
        <v>470</v>
      </c>
      <c r="W303" s="438"/>
    </row>
    <row r="304" spans="1:23" s="71" customFormat="1" ht="14.25" customHeight="1">
      <c r="A304" s="439" t="s">
        <v>2687</v>
      </c>
      <c r="B304" s="572" t="s">
        <v>454</v>
      </c>
      <c r="C304" s="573" t="s">
        <v>2850</v>
      </c>
      <c r="D304" s="567"/>
      <c r="E304" s="71">
        <v>196302</v>
      </c>
      <c r="J304" s="71" t="s">
        <v>2692</v>
      </c>
      <c r="K304" s="435" t="s">
        <v>2658</v>
      </c>
      <c r="L304" s="435" t="s">
        <v>2658</v>
      </c>
      <c r="N304" s="71">
        <v>20.5702304840088</v>
      </c>
      <c r="O304" s="71">
        <v>92.977378845214801</v>
      </c>
      <c r="P304" s="561" t="s">
        <v>1989</v>
      </c>
      <c r="R304" s="576"/>
      <c r="S304" s="569"/>
      <c r="T304" s="109">
        <v>43591</v>
      </c>
      <c r="U304" s="576"/>
      <c r="V304" s="594" t="s">
        <v>2767</v>
      </c>
      <c r="W304" s="438"/>
    </row>
    <row r="305" spans="1:23" s="71" customFormat="1" ht="14.25" customHeight="1">
      <c r="A305" s="439" t="s">
        <v>2687</v>
      </c>
      <c r="B305" s="566" t="s">
        <v>356</v>
      </c>
      <c r="C305" s="566" t="s">
        <v>358</v>
      </c>
      <c r="D305" s="477" t="s">
        <v>1665</v>
      </c>
      <c r="E305" s="71" t="s">
        <v>1349</v>
      </c>
      <c r="F305" s="71" t="s">
        <v>1668</v>
      </c>
      <c r="G305" s="71" t="s">
        <v>1670</v>
      </c>
      <c r="H305" s="71" t="s">
        <v>41</v>
      </c>
      <c r="J305" s="561" t="s">
        <v>43</v>
      </c>
      <c r="K305" s="71" t="s">
        <v>43</v>
      </c>
      <c r="L305" s="561" t="s">
        <v>758</v>
      </c>
      <c r="M305" s="71" t="s">
        <v>296</v>
      </c>
      <c r="N305" s="71">
        <v>19.091054</v>
      </c>
      <c r="O305" s="71">
        <v>93.865170000000006</v>
      </c>
      <c r="P305" s="561" t="s">
        <v>759</v>
      </c>
      <c r="Q305" s="71" t="s">
        <v>778</v>
      </c>
      <c r="R305" s="568"/>
      <c r="S305" s="439"/>
      <c r="T305" s="109"/>
      <c r="U305" s="105"/>
      <c r="V305" s="435" t="s">
        <v>358</v>
      </c>
      <c r="W305" s="438"/>
    </row>
    <row r="306" spans="1:23" s="71" customFormat="1" ht="14.25" customHeight="1">
      <c r="A306" s="439" t="s">
        <v>2687</v>
      </c>
      <c r="B306" s="566" t="s">
        <v>356</v>
      </c>
      <c r="C306" s="566" t="s">
        <v>357</v>
      </c>
      <c r="D306" s="477" t="s">
        <v>1665</v>
      </c>
      <c r="E306" s="71" t="s">
        <v>1348</v>
      </c>
      <c r="F306" s="71" t="s">
        <v>1668</v>
      </c>
      <c r="G306" s="71" t="s">
        <v>1669</v>
      </c>
      <c r="H306" s="71" t="s">
        <v>41</v>
      </c>
      <c r="J306" s="71" t="s">
        <v>43</v>
      </c>
      <c r="K306" s="71" t="s">
        <v>43</v>
      </c>
      <c r="L306" s="71" t="s">
        <v>758</v>
      </c>
      <c r="M306" s="71" t="s">
        <v>793</v>
      </c>
      <c r="N306" s="71">
        <v>19.088283000000001</v>
      </c>
      <c r="O306" s="71">
        <v>93.857592999999994</v>
      </c>
      <c r="P306" s="71" t="s">
        <v>759</v>
      </c>
      <c r="Q306" s="71" t="s">
        <v>778</v>
      </c>
      <c r="R306" s="568"/>
      <c r="S306" s="104"/>
      <c r="T306" s="109"/>
      <c r="U306" s="105" t="s">
        <v>1665</v>
      </c>
      <c r="V306" s="71" t="s">
        <v>794</v>
      </c>
      <c r="W306" s="438"/>
    </row>
    <row r="307" spans="1:23" s="71" customFormat="1" ht="14.25" customHeight="1">
      <c r="A307" s="439" t="s">
        <v>2687</v>
      </c>
      <c r="B307" s="572" t="s">
        <v>297</v>
      </c>
      <c r="C307" s="573" t="s">
        <v>450</v>
      </c>
      <c r="D307" s="567" t="s">
        <v>1664</v>
      </c>
      <c r="E307" s="71">
        <v>196143</v>
      </c>
      <c r="F307" s="71" t="s">
        <v>1672</v>
      </c>
      <c r="J307" s="71" t="s">
        <v>796</v>
      </c>
      <c r="K307" s="71" t="s">
        <v>796</v>
      </c>
      <c r="L307" s="71" t="s">
        <v>796</v>
      </c>
      <c r="M307" s="71" t="s">
        <v>793</v>
      </c>
      <c r="N307" s="71">
        <v>20.235199999999999</v>
      </c>
      <c r="O307" s="71">
        <v>92.805000000000007</v>
      </c>
      <c r="P307" s="71" t="s">
        <v>797</v>
      </c>
      <c r="Q307" s="71" t="s">
        <v>778</v>
      </c>
      <c r="R307" s="576"/>
      <c r="S307" s="104"/>
      <c r="T307" s="109"/>
      <c r="U307" s="570"/>
      <c r="V307" s="71" t="s">
        <v>450</v>
      </c>
      <c r="W307" s="438"/>
    </row>
    <row r="308" spans="1:23" s="71" customFormat="1" ht="14.25" customHeight="1">
      <c r="A308" s="439" t="s">
        <v>2687</v>
      </c>
      <c r="B308" s="442" t="s">
        <v>297</v>
      </c>
      <c r="C308" s="443" t="s">
        <v>1750</v>
      </c>
      <c r="D308" s="437"/>
      <c r="E308" s="71" t="s">
        <v>3020</v>
      </c>
      <c r="J308" s="435" t="s">
        <v>796</v>
      </c>
      <c r="K308" s="435" t="s">
        <v>796</v>
      </c>
      <c r="L308" s="71" t="s">
        <v>796</v>
      </c>
      <c r="P308" s="71" t="s">
        <v>797</v>
      </c>
      <c r="Q308" s="71" t="s">
        <v>3026</v>
      </c>
      <c r="R308" s="445"/>
      <c r="S308" s="439"/>
      <c r="T308" s="109">
        <v>43768</v>
      </c>
      <c r="U308" s="576"/>
      <c r="V308" s="435"/>
      <c r="W308" s="438"/>
    </row>
    <row r="309" spans="1:23" s="71" customFormat="1" ht="14.25" customHeight="1">
      <c r="A309" s="439" t="s">
        <v>2687</v>
      </c>
      <c r="B309" s="572" t="s">
        <v>297</v>
      </c>
      <c r="C309" s="443" t="s">
        <v>1672</v>
      </c>
      <c r="D309" s="437" t="s">
        <v>1884</v>
      </c>
      <c r="E309" s="71">
        <v>196138</v>
      </c>
      <c r="J309" s="71" t="s">
        <v>796</v>
      </c>
      <c r="K309" s="71" t="s">
        <v>796</v>
      </c>
      <c r="L309" s="561" t="s">
        <v>796</v>
      </c>
      <c r="N309" s="71">
        <v>20.2351894378662</v>
      </c>
      <c r="O309" s="71">
        <v>92.790191650390597</v>
      </c>
      <c r="P309" s="561" t="s">
        <v>797</v>
      </c>
      <c r="R309" s="445"/>
      <c r="S309" s="439"/>
      <c r="T309" s="109"/>
      <c r="U309" s="105"/>
      <c r="W309" s="438"/>
    </row>
    <row r="310" spans="1:23" s="71" customFormat="1" ht="14.25" customHeight="1">
      <c r="A310" s="439" t="s">
        <v>2687</v>
      </c>
      <c r="B310" s="572" t="s">
        <v>297</v>
      </c>
      <c r="C310" s="573" t="s">
        <v>451</v>
      </c>
      <c r="D310" s="567" t="s">
        <v>1664</v>
      </c>
      <c r="E310" s="71">
        <v>196152</v>
      </c>
      <c r="F310" s="561"/>
      <c r="J310" s="71" t="s">
        <v>796</v>
      </c>
      <c r="K310" s="561" t="s">
        <v>796</v>
      </c>
      <c r="L310" s="561" t="s">
        <v>796</v>
      </c>
      <c r="M310" s="71" t="s">
        <v>296</v>
      </c>
      <c r="N310" s="71">
        <v>20.235199999999999</v>
      </c>
      <c r="O310" s="71">
        <v>92.790199999999999</v>
      </c>
      <c r="P310" s="561" t="s">
        <v>797</v>
      </c>
      <c r="Q310" s="71" t="s">
        <v>778</v>
      </c>
      <c r="R310" s="576"/>
      <c r="S310" s="104"/>
      <c r="T310" s="109"/>
      <c r="U310" s="570"/>
      <c r="V310" s="435" t="s">
        <v>451</v>
      </c>
      <c r="W310" s="438"/>
    </row>
    <row r="311" spans="1:23" s="71" customFormat="1" ht="14.25" customHeight="1">
      <c r="A311" s="439" t="s">
        <v>2687</v>
      </c>
      <c r="B311" s="442" t="s">
        <v>297</v>
      </c>
      <c r="C311" s="443" t="s">
        <v>3021</v>
      </c>
      <c r="D311" s="437"/>
      <c r="E311" s="71" t="s">
        <v>3022</v>
      </c>
      <c r="J311" s="71" t="s">
        <v>796</v>
      </c>
      <c r="K311" s="71" t="s">
        <v>796</v>
      </c>
      <c r="L311" s="71" t="s">
        <v>796</v>
      </c>
      <c r="P311" s="71" t="s">
        <v>797</v>
      </c>
      <c r="Q311" s="71" t="s">
        <v>3026</v>
      </c>
      <c r="R311" s="445"/>
      <c r="S311" s="439"/>
      <c r="T311" s="109">
        <v>43768</v>
      </c>
      <c r="U311" s="576"/>
      <c r="W311" s="438"/>
    </row>
    <row r="312" spans="1:23" s="71" customFormat="1" ht="14.25" customHeight="1">
      <c r="A312" s="439" t="s">
        <v>2687</v>
      </c>
      <c r="B312" s="442" t="s">
        <v>297</v>
      </c>
      <c r="C312" s="443" t="s">
        <v>1889</v>
      </c>
      <c r="D312" s="437" t="s">
        <v>1884</v>
      </c>
      <c r="F312" s="435"/>
      <c r="J312" s="71" t="s">
        <v>796</v>
      </c>
      <c r="K312" s="435" t="s">
        <v>796</v>
      </c>
      <c r="L312" s="435" t="s">
        <v>796</v>
      </c>
      <c r="P312" s="71" t="s">
        <v>797</v>
      </c>
      <c r="R312" s="445"/>
      <c r="S312" s="104"/>
      <c r="T312" s="109"/>
      <c r="U312" s="105"/>
      <c r="W312" s="438"/>
    </row>
    <row r="313" spans="1:23" s="71" customFormat="1" ht="14.25" customHeight="1">
      <c r="A313" s="439" t="s">
        <v>2687</v>
      </c>
      <c r="B313" s="442" t="s">
        <v>297</v>
      </c>
      <c r="C313" s="443" t="s">
        <v>415</v>
      </c>
      <c r="D313" s="567" t="s">
        <v>1664</v>
      </c>
      <c r="J313" s="71" t="s">
        <v>796</v>
      </c>
      <c r="K313" s="71" t="s">
        <v>796</v>
      </c>
      <c r="L313" s="71" t="s">
        <v>796</v>
      </c>
      <c r="M313" s="71" t="s">
        <v>793</v>
      </c>
      <c r="P313" s="71" t="s">
        <v>797</v>
      </c>
      <c r="Q313" s="71" t="s">
        <v>778</v>
      </c>
      <c r="R313" s="576"/>
      <c r="S313" s="104"/>
      <c r="T313" s="109"/>
      <c r="U313" s="105"/>
      <c r="V313" s="71" t="s">
        <v>415</v>
      </c>
      <c r="W313" s="438"/>
    </row>
    <row r="314" spans="1:23" s="71" customFormat="1" ht="14.25" customHeight="1">
      <c r="A314" s="439" t="s">
        <v>2687</v>
      </c>
      <c r="B314" s="572" t="s">
        <v>297</v>
      </c>
      <c r="C314" s="573" t="s">
        <v>416</v>
      </c>
      <c r="D314" s="477" t="s">
        <v>2763</v>
      </c>
      <c r="E314" s="561" t="s">
        <v>1359</v>
      </c>
      <c r="F314" s="71" t="s">
        <v>1749</v>
      </c>
      <c r="G314" s="71" t="s">
        <v>1750</v>
      </c>
      <c r="H314" s="71" t="s">
        <v>41</v>
      </c>
      <c r="J314" s="71" t="s">
        <v>43</v>
      </c>
      <c r="K314" s="561" t="s">
        <v>43</v>
      </c>
      <c r="L314" s="561" t="s">
        <v>792</v>
      </c>
      <c r="M314" s="71" t="s">
        <v>793</v>
      </c>
      <c r="N314" s="435">
        <v>20.128488999999998</v>
      </c>
      <c r="O314" s="435">
        <v>92.875814000000005</v>
      </c>
      <c r="P314" s="561" t="s">
        <v>759</v>
      </c>
      <c r="Q314" s="71" t="s">
        <v>778</v>
      </c>
      <c r="R314" s="568">
        <v>396</v>
      </c>
      <c r="S314" s="104">
        <v>2285</v>
      </c>
      <c r="T314" s="109"/>
      <c r="U314" s="105"/>
      <c r="V314" s="71" t="s">
        <v>838</v>
      </c>
      <c r="W314" s="438"/>
    </row>
    <row r="315" spans="1:23" s="71" customFormat="1" ht="14.25" customHeight="1">
      <c r="A315" s="439" t="s">
        <v>2687</v>
      </c>
      <c r="B315" s="572" t="s">
        <v>297</v>
      </c>
      <c r="C315" s="573" t="s">
        <v>863</v>
      </c>
      <c r="D315" s="567" t="s">
        <v>1665</v>
      </c>
      <c r="E315" s="71" t="s">
        <v>1373</v>
      </c>
      <c r="F315" s="435" t="s">
        <v>1671</v>
      </c>
      <c r="G315" s="71" t="s">
        <v>1697</v>
      </c>
      <c r="J315" s="71" t="s">
        <v>43</v>
      </c>
      <c r="K315" s="561" t="s">
        <v>43</v>
      </c>
      <c r="L315" s="561" t="s">
        <v>758</v>
      </c>
      <c r="M315" s="71" t="s">
        <v>793</v>
      </c>
      <c r="N315" s="71">
        <v>20.181238</v>
      </c>
      <c r="O315" s="71">
        <v>92.807418999999996</v>
      </c>
      <c r="P315" s="561" t="s">
        <v>759</v>
      </c>
      <c r="Q315" s="71" t="s">
        <v>778</v>
      </c>
      <c r="R315" s="576"/>
      <c r="S315" s="569"/>
      <c r="T315" s="109"/>
      <c r="U315" s="105"/>
      <c r="V315" s="71" t="s">
        <v>863</v>
      </c>
      <c r="W315" s="438"/>
    </row>
    <row r="316" spans="1:23" s="71" customFormat="1" ht="14.25" customHeight="1">
      <c r="A316" s="439" t="s">
        <v>2687</v>
      </c>
      <c r="B316" s="442" t="s">
        <v>297</v>
      </c>
      <c r="C316" s="443" t="s">
        <v>427</v>
      </c>
      <c r="D316" s="477" t="s">
        <v>2763</v>
      </c>
      <c r="E316" s="561" t="s">
        <v>1371</v>
      </c>
      <c r="F316" s="435" t="s">
        <v>1671</v>
      </c>
      <c r="G316" s="71" t="s">
        <v>1697</v>
      </c>
      <c r="H316" s="71" t="s">
        <v>41</v>
      </c>
      <c r="J316" s="71" t="s">
        <v>43</v>
      </c>
      <c r="K316" s="71" t="s">
        <v>43</v>
      </c>
      <c r="L316" s="71" t="s">
        <v>792</v>
      </c>
      <c r="M316" s="71" t="s">
        <v>793</v>
      </c>
      <c r="N316" s="71">
        <v>20.179417000000001</v>
      </c>
      <c r="O316" s="71">
        <v>92.813028000000003</v>
      </c>
      <c r="P316" s="71" t="s">
        <v>759</v>
      </c>
      <c r="R316" s="568">
        <v>1013</v>
      </c>
      <c r="S316" s="104">
        <v>4774</v>
      </c>
      <c r="T316" s="109"/>
      <c r="U316" s="105" t="s">
        <v>860</v>
      </c>
      <c r="W316" s="438"/>
    </row>
    <row r="317" spans="1:23" s="71" customFormat="1" ht="14.25" customHeight="1">
      <c r="A317" s="439" t="s">
        <v>2687</v>
      </c>
      <c r="B317" s="442" t="s">
        <v>297</v>
      </c>
      <c r="C317" s="443" t="s">
        <v>429</v>
      </c>
      <c r="D317" s="477" t="s">
        <v>2763</v>
      </c>
      <c r="E317" s="71" t="s">
        <v>1374</v>
      </c>
      <c r="F317" s="71" t="s">
        <v>1671</v>
      </c>
      <c r="G317" s="71" t="s">
        <v>1697</v>
      </c>
      <c r="H317" s="71" t="s">
        <v>41</v>
      </c>
      <c r="J317" s="71" t="s">
        <v>43</v>
      </c>
      <c r="K317" s="71" t="s">
        <v>43</v>
      </c>
      <c r="L317" s="71" t="s">
        <v>792</v>
      </c>
      <c r="M317" s="71" t="s">
        <v>793</v>
      </c>
      <c r="N317" s="71">
        <v>20.181405999999999</v>
      </c>
      <c r="O317" s="71">
        <v>92.807552000000001</v>
      </c>
      <c r="P317" s="71" t="s">
        <v>759</v>
      </c>
      <c r="R317" s="568">
        <v>1334</v>
      </c>
      <c r="S317" s="104">
        <v>6643</v>
      </c>
      <c r="T317" s="109"/>
      <c r="U317" s="105" t="s">
        <v>860</v>
      </c>
      <c r="W317" s="438"/>
    </row>
    <row r="318" spans="1:23" s="71" customFormat="1" ht="14.25" customHeight="1">
      <c r="A318" s="439" t="s">
        <v>2687</v>
      </c>
      <c r="B318" s="572" t="s">
        <v>297</v>
      </c>
      <c r="C318" s="573" t="s">
        <v>1091</v>
      </c>
      <c r="D318" s="567" t="s">
        <v>1664</v>
      </c>
      <c r="J318" s="71" t="s">
        <v>796</v>
      </c>
      <c r="K318" s="71" t="s">
        <v>796</v>
      </c>
      <c r="L318" s="71" t="s">
        <v>796</v>
      </c>
      <c r="M318" s="71" t="s">
        <v>793</v>
      </c>
      <c r="P318" s="561" t="s">
        <v>797</v>
      </c>
      <c r="Q318" s="71" t="s">
        <v>760</v>
      </c>
      <c r="R318" s="576"/>
      <c r="S318" s="569"/>
      <c r="T318" s="109">
        <v>42804</v>
      </c>
      <c r="U318" s="105"/>
      <c r="V318" s="71" t="s">
        <v>1091</v>
      </c>
      <c r="W318" s="438"/>
    </row>
    <row r="319" spans="1:23" s="71" customFormat="1" ht="14.25" customHeight="1">
      <c r="A319" s="439" t="s">
        <v>2687</v>
      </c>
      <c r="B319" s="572" t="s">
        <v>297</v>
      </c>
      <c r="C319" s="573" t="s">
        <v>2682</v>
      </c>
      <c r="D319" s="477" t="s">
        <v>2763</v>
      </c>
      <c r="E319" s="71" t="s">
        <v>1377</v>
      </c>
      <c r="F319" s="71" t="s">
        <v>1671</v>
      </c>
      <c r="G319" s="71" t="s">
        <v>1697</v>
      </c>
      <c r="H319" s="71" t="s">
        <v>41</v>
      </c>
      <c r="J319" s="71" t="s">
        <v>43</v>
      </c>
      <c r="K319" s="71" t="s">
        <v>43</v>
      </c>
      <c r="L319" s="71" t="s">
        <v>770</v>
      </c>
      <c r="M319" s="71" t="s">
        <v>793</v>
      </c>
      <c r="N319" s="71">
        <v>20.182987000000001</v>
      </c>
      <c r="O319" s="71">
        <v>92.804803000000007</v>
      </c>
      <c r="P319" s="561" t="s">
        <v>771</v>
      </c>
      <c r="Q319" s="71" t="s">
        <v>778</v>
      </c>
      <c r="R319" s="568">
        <v>41</v>
      </c>
      <c r="S319" s="439">
        <v>226</v>
      </c>
      <c r="T319" s="109"/>
      <c r="U319" s="105"/>
      <c r="V319" s="71" t="s">
        <v>865</v>
      </c>
      <c r="W319" s="438"/>
    </row>
    <row r="320" spans="1:23" s="71" customFormat="1" ht="14.25" customHeight="1">
      <c r="A320" s="439" t="s">
        <v>2687</v>
      </c>
      <c r="B320" s="572" t="s">
        <v>297</v>
      </c>
      <c r="C320" s="573" t="s">
        <v>417</v>
      </c>
      <c r="D320" s="567" t="s">
        <v>1664</v>
      </c>
      <c r="E320" s="435">
        <v>196200</v>
      </c>
      <c r="F320" s="561"/>
      <c r="G320" s="435"/>
      <c r="H320" s="435"/>
      <c r="I320" s="435"/>
      <c r="J320" s="71" t="s">
        <v>802</v>
      </c>
      <c r="K320" s="561" t="s">
        <v>796</v>
      </c>
      <c r="L320" s="561" t="s">
        <v>802</v>
      </c>
      <c r="M320" s="435" t="s">
        <v>793</v>
      </c>
      <c r="N320" s="435">
        <v>20.143859859999999</v>
      </c>
      <c r="O320" s="435">
        <v>92.867576600000007</v>
      </c>
      <c r="P320" s="561" t="s">
        <v>921</v>
      </c>
      <c r="Q320" s="435" t="s">
        <v>760</v>
      </c>
      <c r="R320" s="576"/>
      <c r="S320" s="569"/>
      <c r="T320" s="452">
        <v>42811</v>
      </c>
      <c r="U320" s="440"/>
      <c r="V320" s="435"/>
      <c r="W320" s="438"/>
    </row>
    <row r="321" spans="1:23" s="71" customFormat="1" ht="14.25" customHeight="1">
      <c r="A321" s="439" t="s">
        <v>2687</v>
      </c>
      <c r="B321" s="566" t="s">
        <v>297</v>
      </c>
      <c r="C321" s="566" t="s">
        <v>2623</v>
      </c>
      <c r="D321" s="477"/>
      <c r="E321" s="435">
        <v>196203</v>
      </c>
      <c r="F321" s="566"/>
      <c r="I321" s="435"/>
      <c r="J321" s="71" t="s">
        <v>796</v>
      </c>
      <c r="K321" s="566" t="s">
        <v>796</v>
      </c>
      <c r="L321" s="566" t="s">
        <v>796</v>
      </c>
      <c r="N321" s="71">
        <v>20.142469406127901</v>
      </c>
      <c r="O321" s="435">
        <v>92.863967895507798</v>
      </c>
      <c r="P321" s="71" t="s">
        <v>797</v>
      </c>
      <c r="R321" s="572"/>
      <c r="S321" s="573"/>
      <c r="T321" s="109"/>
      <c r="U321" s="105"/>
      <c r="W321" s="438"/>
    </row>
    <row r="322" spans="1:23" s="71" customFormat="1" ht="14.25" customHeight="1">
      <c r="A322" s="439" t="s">
        <v>2687</v>
      </c>
      <c r="B322" s="566" t="s">
        <v>297</v>
      </c>
      <c r="C322" s="566" t="s">
        <v>2610</v>
      </c>
      <c r="D322" s="477"/>
      <c r="E322" s="71">
        <v>196132</v>
      </c>
      <c r="J322" s="71" t="s">
        <v>796</v>
      </c>
      <c r="K322" s="71" t="s">
        <v>796</v>
      </c>
      <c r="L322" s="71" t="s">
        <v>796</v>
      </c>
      <c r="P322" s="561" t="s">
        <v>797</v>
      </c>
      <c r="R322" s="568"/>
      <c r="S322" s="568"/>
      <c r="T322" s="109"/>
      <c r="U322" s="105"/>
      <c r="W322" s="438"/>
    </row>
    <row r="323" spans="1:23" s="71" customFormat="1" ht="14.25" customHeight="1">
      <c r="A323" s="439" t="s">
        <v>2687</v>
      </c>
      <c r="B323" s="442" t="s">
        <v>297</v>
      </c>
      <c r="C323" s="443" t="s">
        <v>457</v>
      </c>
      <c r="D323" s="567" t="s">
        <v>1664</v>
      </c>
      <c r="E323" s="71">
        <v>196172</v>
      </c>
      <c r="J323" s="71" t="s">
        <v>796</v>
      </c>
      <c r="K323" s="71" t="s">
        <v>796</v>
      </c>
      <c r="L323" s="71" t="s">
        <v>796</v>
      </c>
      <c r="M323" s="71" t="s">
        <v>296</v>
      </c>
      <c r="N323" s="435">
        <v>20.286720280000001</v>
      </c>
      <c r="O323" s="435">
        <v>92.882843019999996</v>
      </c>
      <c r="P323" s="760" t="s">
        <v>797</v>
      </c>
      <c r="Q323" s="71" t="s">
        <v>760</v>
      </c>
      <c r="R323" s="576"/>
      <c r="S323" s="104"/>
      <c r="T323" s="109">
        <v>42811</v>
      </c>
      <c r="U323" s="105"/>
      <c r="W323" s="438"/>
    </row>
    <row r="324" spans="1:23" s="71" customFormat="1" ht="14.25" customHeight="1">
      <c r="A324" s="439" t="s">
        <v>2687</v>
      </c>
      <c r="B324" s="442" t="s">
        <v>297</v>
      </c>
      <c r="C324" s="443" t="s">
        <v>426</v>
      </c>
      <c r="D324" s="477" t="s">
        <v>2763</v>
      </c>
      <c r="E324" s="71" t="s">
        <v>1369</v>
      </c>
      <c r="F324" s="71" t="s">
        <v>417</v>
      </c>
      <c r="G324" s="71" t="s">
        <v>1751</v>
      </c>
      <c r="H324" s="71" t="s">
        <v>41</v>
      </c>
      <c r="J324" s="71" t="s">
        <v>43</v>
      </c>
      <c r="K324" s="435" t="s">
        <v>43</v>
      </c>
      <c r="L324" s="71" t="s">
        <v>792</v>
      </c>
      <c r="M324" s="71" t="s">
        <v>793</v>
      </c>
      <c r="N324" s="71">
        <v>20.16846</v>
      </c>
      <c r="O324" s="435">
        <v>92.827427</v>
      </c>
      <c r="P324" s="561" t="s">
        <v>759</v>
      </c>
      <c r="Q324" s="71" t="s">
        <v>778</v>
      </c>
      <c r="R324" s="568">
        <v>1983</v>
      </c>
      <c r="S324" s="439">
        <v>11391</v>
      </c>
      <c r="T324" s="109"/>
      <c r="U324" s="105"/>
      <c r="V324" s="71" t="s">
        <v>426</v>
      </c>
      <c r="W324" s="438"/>
    </row>
    <row r="325" spans="1:23" s="71" customFormat="1" ht="14.25" customHeight="1">
      <c r="A325" s="439" t="s">
        <v>2687</v>
      </c>
      <c r="B325" s="442" t="s">
        <v>297</v>
      </c>
      <c r="C325" s="443" t="s">
        <v>425</v>
      </c>
      <c r="D325" s="477" t="s">
        <v>2763</v>
      </c>
      <c r="E325" s="71" t="s">
        <v>1368</v>
      </c>
      <c r="F325" s="71" t="s">
        <v>417</v>
      </c>
      <c r="G325" s="71" t="s">
        <v>1751</v>
      </c>
      <c r="H325" s="71" t="s">
        <v>41</v>
      </c>
      <c r="J325" s="71" t="s">
        <v>43</v>
      </c>
      <c r="K325" s="71" t="s">
        <v>43</v>
      </c>
      <c r="L325" s="71" t="s">
        <v>770</v>
      </c>
      <c r="M325" s="71" t="s">
        <v>793</v>
      </c>
      <c r="N325" s="71">
        <v>20.167421999999998</v>
      </c>
      <c r="O325" s="71">
        <v>92.830074999999994</v>
      </c>
      <c r="P325" s="71" t="s">
        <v>771</v>
      </c>
      <c r="R325" s="568">
        <v>518</v>
      </c>
      <c r="S325" s="104">
        <v>2951</v>
      </c>
      <c r="T325" s="109"/>
      <c r="U325" s="105" t="s">
        <v>855</v>
      </c>
      <c r="V325" s="71" t="s">
        <v>856</v>
      </c>
      <c r="W325" s="438"/>
    </row>
    <row r="326" spans="1:23" s="71" customFormat="1" ht="14.25" customHeight="1">
      <c r="A326" s="439" t="s">
        <v>2687</v>
      </c>
      <c r="B326" s="572" t="s">
        <v>297</v>
      </c>
      <c r="C326" s="573" t="s">
        <v>300</v>
      </c>
      <c r="D326" s="567" t="s">
        <v>1664</v>
      </c>
      <c r="J326" s="71" t="s">
        <v>796</v>
      </c>
      <c r="K326" s="71" t="s">
        <v>796</v>
      </c>
      <c r="L326" s="561" t="s">
        <v>796</v>
      </c>
      <c r="M326" s="71" t="s">
        <v>793</v>
      </c>
      <c r="P326" s="561" t="s">
        <v>797</v>
      </c>
      <c r="Q326" s="71" t="s">
        <v>778</v>
      </c>
      <c r="R326" s="576"/>
      <c r="S326" s="104"/>
      <c r="T326" s="109"/>
      <c r="U326" s="105"/>
      <c r="V326" s="71" t="s">
        <v>300</v>
      </c>
      <c r="W326" s="438"/>
    </row>
    <row r="327" spans="1:23" s="71" customFormat="1" ht="14.25" customHeight="1">
      <c r="A327" s="439" t="s">
        <v>2687</v>
      </c>
      <c r="B327" s="436" t="s">
        <v>297</v>
      </c>
      <c r="C327" s="573" t="s">
        <v>2624</v>
      </c>
      <c r="D327" s="567"/>
      <c r="E327" s="435">
        <v>196202</v>
      </c>
      <c r="F327" s="561" t="s">
        <v>417</v>
      </c>
      <c r="G327" s="435"/>
      <c r="H327" s="435"/>
      <c r="I327" s="435"/>
      <c r="J327" s="71" t="s">
        <v>796</v>
      </c>
      <c r="K327" s="561" t="s">
        <v>796</v>
      </c>
      <c r="L327" s="566" t="s">
        <v>796</v>
      </c>
      <c r="M327" s="435"/>
      <c r="N327" s="435">
        <v>20.170469284057599</v>
      </c>
      <c r="O327" s="435">
        <v>92.8343505859375</v>
      </c>
      <c r="P327" s="561" t="s">
        <v>797</v>
      </c>
      <c r="Q327" s="435"/>
      <c r="R327" s="576"/>
      <c r="S327" s="439"/>
      <c r="T327" s="452"/>
      <c r="U327" s="440"/>
      <c r="V327" s="435"/>
      <c r="W327" s="438"/>
    </row>
    <row r="328" spans="1:23" s="71" customFormat="1" ht="14.25" customHeight="1">
      <c r="A328" s="439" t="s">
        <v>2687</v>
      </c>
      <c r="B328" s="566" t="s">
        <v>297</v>
      </c>
      <c r="C328" s="566" t="s">
        <v>1751</v>
      </c>
      <c r="D328" s="477"/>
      <c r="E328" s="435">
        <v>196206</v>
      </c>
      <c r="F328" s="566" t="s">
        <v>417</v>
      </c>
      <c r="J328" s="71" t="s">
        <v>796</v>
      </c>
      <c r="K328" s="566" t="s">
        <v>796</v>
      </c>
      <c r="L328" s="566" t="s">
        <v>796</v>
      </c>
      <c r="N328" s="71">
        <v>20.168970108032202</v>
      </c>
      <c r="O328" s="435">
        <v>92.826896667480497</v>
      </c>
      <c r="P328" s="561" t="s">
        <v>797</v>
      </c>
      <c r="Q328" s="435"/>
      <c r="R328" s="568"/>
      <c r="S328" s="439"/>
      <c r="T328" s="109"/>
      <c r="U328" s="105"/>
      <c r="V328" s="435"/>
      <c r="W328" s="438"/>
    </row>
    <row r="329" spans="1:23" s="71" customFormat="1" ht="14.25" customHeight="1">
      <c r="A329" s="439" t="s">
        <v>2687</v>
      </c>
      <c r="B329" s="442" t="s">
        <v>297</v>
      </c>
      <c r="C329" s="443" t="s">
        <v>1887</v>
      </c>
      <c r="D329" s="437" t="s">
        <v>1884</v>
      </c>
      <c r="F329" s="561"/>
      <c r="J329" s="71" t="s">
        <v>796</v>
      </c>
      <c r="K329" s="435" t="s">
        <v>796</v>
      </c>
      <c r="L329" s="435" t="s">
        <v>796</v>
      </c>
      <c r="P329" s="71" t="s">
        <v>797</v>
      </c>
      <c r="R329" s="445"/>
      <c r="S329" s="104"/>
      <c r="T329" s="109"/>
      <c r="U329" s="105"/>
      <c r="W329" s="438"/>
    </row>
    <row r="330" spans="1:23" s="71" customFormat="1" ht="14.25" customHeight="1">
      <c r="A330" s="439" t="s">
        <v>2687</v>
      </c>
      <c r="B330" s="442" t="s">
        <v>297</v>
      </c>
      <c r="C330" s="443" t="s">
        <v>445</v>
      </c>
      <c r="D330" s="437" t="s">
        <v>1664</v>
      </c>
      <c r="E330" s="435">
        <v>196140</v>
      </c>
      <c r="F330" s="435"/>
      <c r="G330" s="435"/>
      <c r="H330" s="435"/>
      <c r="I330" s="435"/>
      <c r="J330" s="435" t="s">
        <v>796</v>
      </c>
      <c r="K330" s="435" t="s">
        <v>796</v>
      </c>
      <c r="L330" s="435" t="s">
        <v>796</v>
      </c>
      <c r="M330" s="435" t="s">
        <v>296</v>
      </c>
      <c r="N330" s="435">
        <v>20.218299999999999</v>
      </c>
      <c r="O330" s="435">
        <v>92.805999999999997</v>
      </c>
      <c r="P330" s="435" t="s">
        <v>797</v>
      </c>
      <c r="Q330" s="435" t="s">
        <v>778</v>
      </c>
      <c r="R330" s="445"/>
      <c r="S330" s="439"/>
      <c r="T330" s="452"/>
      <c r="U330" s="440"/>
      <c r="V330" s="435" t="s">
        <v>445</v>
      </c>
      <c r="W330" s="438"/>
    </row>
    <row r="331" spans="1:23" s="71" customFormat="1" ht="14.25" customHeight="1">
      <c r="A331" s="439" t="s">
        <v>2687</v>
      </c>
      <c r="B331" s="572" t="s">
        <v>297</v>
      </c>
      <c r="C331" s="573" t="s">
        <v>848</v>
      </c>
      <c r="D331" s="567" t="s">
        <v>1665</v>
      </c>
      <c r="E331" s="561" t="s">
        <v>1364</v>
      </c>
      <c r="F331" s="435" t="s">
        <v>1696</v>
      </c>
      <c r="G331" s="71">
        <v>0</v>
      </c>
      <c r="J331" s="71" t="s">
        <v>43</v>
      </c>
      <c r="K331" s="561" t="s">
        <v>43</v>
      </c>
      <c r="L331" s="561" t="s">
        <v>758</v>
      </c>
      <c r="N331" s="71">
        <v>20.153129</v>
      </c>
      <c r="O331" s="435">
        <v>92.897177999999997</v>
      </c>
      <c r="P331" s="561" t="s">
        <v>759</v>
      </c>
      <c r="R331" s="576"/>
      <c r="S331" s="569"/>
      <c r="T331" s="109"/>
      <c r="U331" s="105"/>
      <c r="V331" s="71" t="s">
        <v>849</v>
      </c>
      <c r="W331" s="438"/>
    </row>
    <row r="332" spans="1:23" s="71" customFormat="1" ht="14.25" customHeight="1">
      <c r="A332" s="439" t="s">
        <v>2687</v>
      </c>
      <c r="B332" s="566" t="s">
        <v>297</v>
      </c>
      <c r="C332" s="566" t="s">
        <v>2617</v>
      </c>
      <c r="D332" s="477"/>
      <c r="E332" s="566">
        <v>196126</v>
      </c>
      <c r="F332" s="435" t="s">
        <v>2619</v>
      </c>
      <c r="G332" s="435"/>
      <c r="H332" s="435"/>
      <c r="I332" s="435"/>
      <c r="J332" s="435" t="s">
        <v>796</v>
      </c>
      <c r="K332" s="566" t="s">
        <v>796</v>
      </c>
      <c r="L332" s="566" t="s">
        <v>796</v>
      </c>
      <c r="M332" s="435"/>
      <c r="N332" s="435">
        <v>20.199499130248999</v>
      </c>
      <c r="O332" s="435">
        <v>92.834327697753906</v>
      </c>
      <c r="P332" s="435" t="s">
        <v>797</v>
      </c>
      <c r="Q332" s="435"/>
      <c r="R332" s="438"/>
      <c r="S332" s="569"/>
      <c r="T332" s="452"/>
      <c r="U332" s="440"/>
      <c r="V332" s="435"/>
      <c r="W332" s="438"/>
    </row>
    <row r="333" spans="1:23" s="71" customFormat="1" ht="14.25" customHeight="1">
      <c r="A333" s="439" t="s">
        <v>2687</v>
      </c>
      <c r="B333" s="566" t="s">
        <v>297</v>
      </c>
      <c r="C333" s="566" t="s">
        <v>2618</v>
      </c>
      <c r="D333" s="477"/>
      <c r="E333" s="561">
        <v>196128</v>
      </c>
      <c r="F333" s="71" t="s">
        <v>2619</v>
      </c>
      <c r="J333" s="71" t="s">
        <v>796</v>
      </c>
      <c r="K333" s="566" t="s">
        <v>796</v>
      </c>
      <c r="L333" s="566" t="s">
        <v>796</v>
      </c>
      <c r="N333" s="71">
        <v>20.194370269775401</v>
      </c>
      <c r="O333" s="71">
        <v>92.834007263183594</v>
      </c>
      <c r="P333" s="71" t="s">
        <v>797</v>
      </c>
      <c r="R333" s="568"/>
      <c r="S333" s="568"/>
      <c r="T333" s="109"/>
      <c r="U333" s="105"/>
      <c r="W333" s="438"/>
    </row>
    <row r="334" spans="1:23" s="71" customFormat="1" ht="14.25" customHeight="1">
      <c r="A334" s="439" t="s">
        <v>2687</v>
      </c>
      <c r="B334" s="442" t="s">
        <v>297</v>
      </c>
      <c r="C334" s="443" t="s">
        <v>437</v>
      </c>
      <c r="D334" s="437" t="s">
        <v>1664</v>
      </c>
      <c r="E334" s="566">
        <v>196128</v>
      </c>
      <c r="F334" s="435"/>
      <c r="J334" s="71" t="s">
        <v>802</v>
      </c>
      <c r="K334" s="435" t="s">
        <v>796</v>
      </c>
      <c r="L334" s="435" t="s">
        <v>802</v>
      </c>
      <c r="M334" s="71" t="s">
        <v>793</v>
      </c>
      <c r="N334" s="71">
        <v>20.19437027</v>
      </c>
      <c r="O334" s="71">
        <v>92.834007260000007</v>
      </c>
      <c r="P334" s="71" t="s">
        <v>921</v>
      </c>
      <c r="Q334" s="71" t="s">
        <v>760</v>
      </c>
      <c r="R334" s="445"/>
      <c r="S334" s="439"/>
      <c r="T334" s="109">
        <v>42811</v>
      </c>
      <c r="U334" s="105"/>
      <c r="W334" s="438"/>
    </row>
    <row r="335" spans="1:23" s="71" customFormat="1" ht="14.25" customHeight="1">
      <c r="A335" s="439" t="s">
        <v>2687</v>
      </c>
      <c r="B335" s="572" t="s">
        <v>297</v>
      </c>
      <c r="C335" s="573" t="s">
        <v>431</v>
      </c>
      <c r="D335" s="567" t="s">
        <v>1884</v>
      </c>
      <c r="E335" s="71">
        <v>196197</v>
      </c>
      <c r="J335" s="71" t="s">
        <v>796</v>
      </c>
      <c r="K335" s="71" t="s">
        <v>796</v>
      </c>
      <c r="L335" s="71" t="s">
        <v>796</v>
      </c>
      <c r="N335" s="71">
        <v>20.183790210000002</v>
      </c>
      <c r="O335" s="71">
        <v>92.864143369999994</v>
      </c>
      <c r="P335" s="71" t="s">
        <v>797</v>
      </c>
      <c r="R335" s="576"/>
      <c r="S335" s="569"/>
      <c r="T335" s="109"/>
      <c r="U335" s="105"/>
      <c r="W335" s="438"/>
    </row>
    <row r="336" spans="1:23" s="71" customFormat="1" ht="14.25" customHeight="1">
      <c r="A336" s="439" t="s">
        <v>2687</v>
      </c>
      <c r="B336" s="566" t="s">
        <v>297</v>
      </c>
      <c r="C336" s="566" t="s">
        <v>2611</v>
      </c>
      <c r="D336" s="477"/>
      <c r="E336" s="71">
        <v>196135</v>
      </c>
      <c r="J336" s="71" t="s">
        <v>796</v>
      </c>
      <c r="K336" s="435" t="s">
        <v>796</v>
      </c>
      <c r="L336" s="435" t="s">
        <v>796</v>
      </c>
      <c r="P336" s="71" t="s">
        <v>797</v>
      </c>
      <c r="R336" s="568"/>
      <c r="S336" s="568"/>
      <c r="T336" s="109"/>
      <c r="U336" s="105"/>
      <c r="W336" s="438"/>
    </row>
    <row r="337" spans="1:23" s="71" customFormat="1" ht="14.25" customHeight="1">
      <c r="A337" s="439" t="s">
        <v>2687</v>
      </c>
      <c r="B337" s="566" t="s">
        <v>297</v>
      </c>
      <c r="C337" s="566" t="s">
        <v>2612</v>
      </c>
      <c r="D337" s="477"/>
      <c r="E337" s="71">
        <v>196134</v>
      </c>
      <c r="F337" s="71" t="s">
        <v>2739</v>
      </c>
      <c r="J337" s="71" t="s">
        <v>796</v>
      </c>
      <c r="K337" s="561" t="s">
        <v>796</v>
      </c>
      <c r="L337" s="561" t="s">
        <v>796</v>
      </c>
      <c r="N337" s="71">
        <v>20.187860488891602</v>
      </c>
      <c r="O337" s="71">
        <v>92.903419494628906</v>
      </c>
      <c r="P337" s="71" t="s">
        <v>797</v>
      </c>
      <c r="R337" s="568"/>
      <c r="S337" s="439"/>
      <c r="T337" s="109"/>
      <c r="U337" s="105"/>
      <c r="W337" s="438"/>
    </row>
    <row r="338" spans="1:23" s="71" customFormat="1" ht="14.25" customHeight="1">
      <c r="A338" s="439" t="s">
        <v>2687</v>
      </c>
      <c r="B338" s="566" t="s">
        <v>297</v>
      </c>
      <c r="C338" s="566" t="s">
        <v>2023</v>
      </c>
      <c r="D338" s="477"/>
      <c r="E338" s="71">
        <v>196160</v>
      </c>
      <c r="F338" s="71" t="s">
        <v>2023</v>
      </c>
      <c r="J338" s="71" t="s">
        <v>796</v>
      </c>
      <c r="K338" s="566" t="s">
        <v>796</v>
      </c>
      <c r="L338" s="566" t="s">
        <v>796</v>
      </c>
      <c r="N338" s="71">
        <v>20.246250152587901</v>
      </c>
      <c r="O338" s="71">
        <v>92.822059631347699</v>
      </c>
      <c r="P338" s="71" t="s">
        <v>797</v>
      </c>
      <c r="R338" s="568"/>
      <c r="S338" s="439"/>
      <c r="T338" s="109"/>
      <c r="U338" s="105"/>
      <c r="V338" s="71" t="s">
        <v>2746</v>
      </c>
      <c r="W338" s="438"/>
    </row>
    <row r="339" spans="1:23" s="71" customFormat="1" ht="14.25" customHeight="1">
      <c r="A339" s="439" t="s">
        <v>2687</v>
      </c>
      <c r="B339" s="442" t="s">
        <v>297</v>
      </c>
      <c r="C339" s="443" t="s">
        <v>2310</v>
      </c>
      <c r="D339" s="477" t="s">
        <v>2763</v>
      </c>
      <c r="E339" s="71" t="s">
        <v>1376</v>
      </c>
      <c r="F339" s="71" t="s">
        <v>1671</v>
      </c>
      <c r="G339" s="71" t="s">
        <v>1671</v>
      </c>
      <c r="H339" s="71" t="s">
        <v>41</v>
      </c>
      <c r="J339" s="71" t="s">
        <v>43</v>
      </c>
      <c r="K339" s="71" t="s">
        <v>43</v>
      </c>
      <c r="L339" s="71" t="s">
        <v>792</v>
      </c>
      <c r="M339" s="71" t="s">
        <v>793</v>
      </c>
      <c r="N339" s="71">
        <v>20.181778000000001</v>
      </c>
      <c r="O339" s="71">
        <v>92.823166999999998</v>
      </c>
      <c r="P339" s="71" t="s">
        <v>759</v>
      </c>
      <c r="Q339" s="71" t="s">
        <v>778</v>
      </c>
      <c r="R339" s="568">
        <v>400</v>
      </c>
      <c r="S339" s="439">
        <v>2325</v>
      </c>
      <c r="T339" s="109"/>
      <c r="U339" s="105"/>
      <c r="V339" s="71" t="s">
        <v>864</v>
      </c>
      <c r="W339" s="438"/>
    </row>
    <row r="340" spans="1:23" s="71" customFormat="1" ht="14.25" customHeight="1">
      <c r="A340" s="439" t="s">
        <v>2687</v>
      </c>
      <c r="B340" s="442" t="s">
        <v>297</v>
      </c>
      <c r="C340" s="443" t="s">
        <v>2311</v>
      </c>
      <c r="D340" s="477" t="s">
        <v>2763</v>
      </c>
      <c r="E340" s="71" t="s">
        <v>1376</v>
      </c>
      <c r="F340" s="71" t="s">
        <v>1671</v>
      </c>
      <c r="G340" s="71">
        <v>0</v>
      </c>
      <c r="J340" s="71" t="s">
        <v>43</v>
      </c>
      <c r="K340" s="71" t="s">
        <v>43</v>
      </c>
      <c r="L340" s="71" t="s">
        <v>792</v>
      </c>
      <c r="M340" s="71" t="s">
        <v>793</v>
      </c>
      <c r="N340" s="71">
        <v>20.180194</v>
      </c>
      <c r="O340" s="71">
        <v>92.816638999999995</v>
      </c>
      <c r="P340" s="71" t="s">
        <v>759</v>
      </c>
      <c r="Q340" s="71" t="s">
        <v>778</v>
      </c>
      <c r="R340" s="568">
        <v>399</v>
      </c>
      <c r="S340" s="439">
        <v>2230</v>
      </c>
      <c r="T340" s="109">
        <v>43488</v>
      </c>
      <c r="U340" s="105"/>
      <c r="V340" s="71" t="s">
        <v>862</v>
      </c>
      <c r="W340" s="438"/>
    </row>
    <row r="341" spans="1:23" s="71" customFormat="1" ht="14.25" customHeight="1">
      <c r="A341" s="439" t="s">
        <v>2687</v>
      </c>
      <c r="B341" s="442" t="s">
        <v>297</v>
      </c>
      <c r="C341" s="443" t="s">
        <v>2626</v>
      </c>
      <c r="D341" s="437"/>
      <c r="E341" s="71">
        <v>196195</v>
      </c>
      <c r="J341" s="71" t="s">
        <v>796</v>
      </c>
      <c r="K341" s="71" t="s">
        <v>796</v>
      </c>
      <c r="L341" s="71" t="s">
        <v>796</v>
      </c>
      <c r="N341" s="71">
        <v>20.172649383544901</v>
      </c>
      <c r="O341" s="71">
        <v>92.874351501464801</v>
      </c>
      <c r="P341" s="71" t="s">
        <v>797</v>
      </c>
      <c r="R341" s="445"/>
      <c r="S341" s="439"/>
      <c r="T341" s="109"/>
      <c r="U341" s="105"/>
      <c r="W341" s="438"/>
    </row>
    <row r="342" spans="1:23" s="71" customFormat="1" ht="14.25" customHeight="1">
      <c r="A342" s="439" t="s">
        <v>2687</v>
      </c>
      <c r="B342" s="442" t="s">
        <v>297</v>
      </c>
      <c r="C342" s="443" t="s">
        <v>2627</v>
      </c>
      <c r="D342" s="567"/>
      <c r="J342" s="71" t="s">
        <v>796</v>
      </c>
      <c r="K342" s="71" t="s">
        <v>796</v>
      </c>
      <c r="L342" s="71" t="s">
        <v>796</v>
      </c>
      <c r="P342" s="71" t="s">
        <v>797</v>
      </c>
      <c r="R342" s="576"/>
      <c r="S342" s="439"/>
      <c r="T342" s="109"/>
      <c r="U342" s="105"/>
      <c r="W342" s="438"/>
    </row>
    <row r="343" spans="1:23" s="71" customFormat="1" ht="14.25" customHeight="1">
      <c r="A343" s="439" t="s">
        <v>2687</v>
      </c>
      <c r="B343" s="572" t="s">
        <v>297</v>
      </c>
      <c r="C343" s="573" t="s">
        <v>2019</v>
      </c>
      <c r="D343" s="567"/>
      <c r="E343" s="71">
        <v>196180</v>
      </c>
      <c r="F343" s="435" t="s">
        <v>2020</v>
      </c>
      <c r="J343" s="71" t="s">
        <v>796</v>
      </c>
      <c r="K343" s="71" t="s">
        <v>796</v>
      </c>
      <c r="L343" s="71" t="s">
        <v>796</v>
      </c>
      <c r="M343" s="71" t="s">
        <v>1917</v>
      </c>
      <c r="N343" s="71">
        <v>20.2315197</v>
      </c>
      <c r="O343" s="71">
        <v>92.876129149999997</v>
      </c>
      <c r="P343" s="71" t="s">
        <v>797</v>
      </c>
      <c r="R343" s="576"/>
      <c r="S343" s="439"/>
      <c r="T343" s="109">
        <v>43294</v>
      </c>
      <c r="U343" s="105"/>
      <c r="W343" s="438"/>
    </row>
    <row r="344" spans="1:23" s="71" customFormat="1" ht="14.25" customHeight="1">
      <c r="A344" s="439" t="s">
        <v>2687</v>
      </c>
      <c r="B344" s="566" t="s">
        <v>297</v>
      </c>
      <c r="C344" s="566" t="s">
        <v>2616</v>
      </c>
      <c r="D344" s="477"/>
      <c r="E344" s="435">
        <v>196169</v>
      </c>
      <c r="F344" s="435" t="s">
        <v>2616</v>
      </c>
      <c r="G344" s="435"/>
      <c r="H344" s="435"/>
      <c r="I344" s="435"/>
      <c r="J344" s="435" t="s">
        <v>796</v>
      </c>
      <c r="K344" s="71" t="s">
        <v>796</v>
      </c>
      <c r="L344" s="71" t="s">
        <v>796</v>
      </c>
      <c r="N344" s="435">
        <v>20.2375602722168</v>
      </c>
      <c r="O344" s="435">
        <v>92.861152648925795</v>
      </c>
      <c r="P344" s="71" t="s">
        <v>797</v>
      </c>
      <c r="Q344" s="435"/>
      <c r="R344" s="568"/>
      <c r="S344" s="439"/>
      <c r="T344" s="452"/>
      <c r="U344" s="440"/>
      <c r="V344" s="435"/>
      <c r="W344" s="438"/>
    </row>
    <row r="345" spans="1:23" s="71" customFormat="1" ht="14.25" customHeight="1">
      <c r="A345" s="439" t="s">
        <v>2687</v>
      </c>
      <c r="B345" s="436" t="s">
        <v>297</v>
      </c>
      <c r="C345" s="436" t="s">
        <v>2615</v>
      </c>
      <c r="D345" s="477"/>
      <c r="E345" s="435">
        <v>196170</v>
      </c>
      <c r="F345" s="561" t="s">
        <v>2616</v>
      </c>
      <c r="J345" s="71" t="s">
        <v>796</v>
      </c>
      <c r="K345" s="561" t="s">
        <v>796</v>
      </c>
      <c r="L345" s="561" t="s">
        <v>796</v>
      </c>
      <c r="N345" s="71">
        <v>20.248519897460898</v>
      </c>
      <c r="O345" s="71">
        <v>92.8621826171875</v>
      </c>
      <c r="P345" s="561" t="s">
        <v>797</v>
      </c>
      <c r="R345" s="103"/>
      <c r="S345" s="569"/>
      <c r="T345" s="109"/>
      <c r="U345" s="105"/>
      <c r="W345" s="438"/>
    </row>
    <row r="346" spans="1:23" s="71" customFormat="1" ht="14.25" customHeight="1">
      <c r="A346" s="439" t="s">
        <v>2687</v>
      </c>
      <c r="B346" s="566" t="s">
        <v>297</v>
      </c>
      <c r="C346" s="566" t="s">
        <v>2614</v>
      </c>
      <c r="D346" s="477"/>
      <c r="E346" s="435">
        <v>196166</v>
      </c>
      <c r="F346" s="561" t="s">
        <v>456</v>
      </c>
      <c r="J346" s="71" t="s">
        <v>796</v>
      </c>
      <c r="K346" s="435" t="s">
        <v>796</v>
      </c>
      <c r="L346" s="435" t="s">
        <v>796</v>
      </c>
      <c r="N346" s="71">
        <v>20.2630290985107</v>
      </c>
      <c r="O346" s="71">
        <v>92.858856201171903</v>
      </c>
      <c r="P346" s="71" t="s">
        <v>797</v>
      </c>
      <c r="R346" s="568"/>
      <c r="S346" s="439"/>
      <c r="T346" s="109"/>
      <c r="U346" s="105"/>
      <c r="W346" s="438"/>
    </row>
    <row r="347" spans="1:23" s="71" customFormat="1" ht="14.25" customHeight="1">
      <c r="A347" s="439" t="s">
        <v>2687</v>
      </c>
      <c r="B347" s="442" t="s">
        <v>297</v>
      </c>
      <c r="C347" s="443" t="s">
        <v>452</v>
      </c>
      <c r="D347" s="437" t="s">
        <v>1664</v>
      </c>
      <c r="E347" s="435">
        <v>196137</v>
      </c>
      <c r="F347" s="566" t="s">
        <v>452</v>
      </c>
      <c r="G347" s="435"/>
      <c r="H347" s="435"/>
      <c r="I347" s="435"/>
      <c r="J347" s="435" t="s">
        <v>796</v>
      </c>
      <c r="K347" s="71" t="s">
        <v>796</v>
      </c>
      <c r="L347" s="435" t="s">
        <v>796</v>
      </c>
      <c r="M347" s="71" t="s">
        <v>296</v>
      </c>
      <c r="N347" s="435">
        <v>20.245159149999999</v>
      </c>
      <c r="O347" s="435">
        <v>92.807418819999995</v>
      </c>
      <c r="P347" s="71" t="s">
        <v>797</v>
      </c>
      <c r="Q347" s="435" t="s">
        <v>778</v>
      </c>
      <c r="R347" s="445"/>
      <c r="S347" s="439"/>
      <c r="T347" s="452"/>
      <c r="U347" s="440"/>
      <c r="V347" s="435" t="s">
        <v>452</v>
      </c>
      <c r="W347" s="438"/>
    </row>
    <row r="348" spans="1:23" s="71" customFormat="1" ht="14.25" customHeight="1">
      <c r="A348" s="439" t="s">
        <v>2687</v>
      </c>
      <c r="B348" s="572" t="s">
        <v>297</v>
      </c>
      <c r="C348" s="573" t="s">
        <v>456</v>
      </c>
      <c r="D348" s="567" t="s">
        <v>1664</v>
      </c>
      <c r="E348" s="435">
        <v>196163</v>
      </c>
      <c r="F348" s="435"/>
      <c r="G348" s="435"/>
      <c r="H348" s="435"/>
      <c r="I348" s="435"/>
      <c r="J348" s="435" t="s">
        <v>802</v>
      </c>
      <c r="K348" s="561" t="s">
        <v>796</v>
      </c>
      <c r="L348" s="71" t="s">
        <v>802</v>
      </c>
      <c r="M348" s="71" t="s">
        <v>296</v>
      </c>
      <c r="N348" s="435">
        <v>20.27263069</v>
      </c>
      <c r="O348" s="435">
        <v>92.843261720000001</v>
      </c>
      <c r="P348" s="71" t="s">
        <v>921</v>
      </c>
      <c r="Q348" s="435" t="s">
        <v>760</v>
      </c>
      <c r="R348" s="576"/>
      <c r="S348" s="569"/>
      <c r="T348" s="452">
        <v>42811</v>
      </c>
      <c r="U348" s="440"/>
      <c r="V348" s="435"/>
      <c r="W348" s="438"/>
    </row>
    <row r="349" spans="1:23" s="71" customFormat="1" ht="14.25" customHeight="1">
      <c r="A349" s="439" t="s">
        <v>2687</v>
      </c>
      <c r="B349" s="566" t="s">
        <v>297</v>
      </c>
      <c r="C349" s="566" t="s">
        <v>2619</v>
      </c>
      <c r="D349" s="477"/>
      <c r="E349" s="435">
        <v>196125</v>
      </c>
      <c r="F349" s="71" t="s">
        <v>2619</v>
      </c>
      <c r="J349" s="435" t="s">
        <v>796</v>
      </c>
      <c r="K349" s="566" t="s">
        <v>796</v>
      </c>
      <c r="L349" s="435" t="s">
        <v>796</v>
      </c>
      <c r="N349" s="71">
        <v>20.2105598449707</v>
      </c>
      <c r="O349" s="71">
        <v>92.836456298828097</v>
      </c>
      <c r="P349" s="71" t="s">
        <v>797</v>
      </c>
      <c r="R349" s="568"/>
      <c r="S349" s="568"/>
      <c r="T349" s="109"/>
      <c r="U349" s="105"/>
      <c r="W349" s="438"/>
    </row>
    <row r="350" spans="1:23" s="71" customFormat="1" ht="14.25" customHeight="1">
      <c r="A350" s="439" t="s">
        <v>2687</v>
      </c>
      <c r="B350" s="442" t="s">
        <v>297</v>
      </c>
      <c r="C350" s="443" t="s">
        <v>433</v>
      </c>
      <c r="D350" s="477" t="s">
        <v>2763</v>
      </c>
      <c r="E350" s="435" t="s">
        <v>1379</v>
      </c>
      <c r="F350" s="71" t="s">
        <v>417</v>
      </c>
      <c r="G350" s="71" t="s">
        <v>417</v>
      </c>
      <c r="H350" s="71" t="s">
        <v>41</v>
      </c>
      <c r="J350" s="71" t="s">
        <v>43</v>
      </c>
      <c r="K350" s="71" t="s">
        <v>43</v>
      </c>
      <c r="L350" s="71" t="s">
        <v>792</v>
      </c>
      <c r="M350" s="71" t="s">
        <v>793</v>
      </c>
      <c r="N350" s="71">
        <v>20.185917</v>
      </c>
      <c r="O350" s="71">
        <v>92.831000000000003</v>
      </c>
      <c r="P350" s="71" t="s">
        <v>759</v>
      </c>
      <c r="Q350" s="71" t="s">
        <v>778</v>
      </c>
      <c r="R350" s="568">
        <v>621</v>
      </c>
      <c r="S350" s="439">
        <v>3379</v>
      </c>
      <c r="T350" s="109"/>
      <c r="U350" s="105"/>
      <c r="V350" s="71" t="s">
        <v>867</v>
      </c>
      <c r="W350" s="438"/>
    </row>
    <row r="351" spans="1:23" s="71" customFormat="1" ht="14.25" customHeight="1">
      <c r="A351" s="439" t="s">
        <v>2687</v>
      </c>
      <c r="B351" s="442" t="s">
        <v>297</v>
      </c>
      <c r="C351" s="443" t="s">
        <v>449</v>
      </c>
      <c r="D351" s="437" t="s">
        <v>1664</v>
      </c>
      <c r="E351" s="435">
        <v>196139</v>
      </c>
      <c r="J351" s="71" t="s">
        <v>796</v>
      </c>
      <c r="K351" s="71" t="s">
        <v>796</v>
      </c>
      <c r="L351" s="71" t="s">
        <v>796</v>
      </c>
      <c r="M351" s="71" t="s">
        <v>793</v>
      </c>
      <c r="N351" s="71">
        <v>20.2302</v>
      </c>
      <c r="O351" s="71">
        <v>92.817999999999998</v>
      </c>
      <c r="P351" s="71" t="s">
        <v>797</v>
      </c>
      <c r="Q351" s="71" t="s">
        <v>778</v>
      </c>
      <c r="R351" s="445"/>
      <c r="S351" s="439"/>
      <c r="T351" s="109"/>
      <c r="U351" s="105"/>
      <c r="V351" s="71" t="s">
        <v>449</v>
      </c>
      <c r="W351" s="438"/>
    </row>
    <row r="352" spans="1:23" s="71" customFormat="1" ht="14.25" customHeight="1">
      <c r="A352" s="439" t="s">
        <v>2687</v>
      </c>
      <c r="B352" s="572" t="s">
        <v>297</v>
      </c>
      <c r="C352" s="573" t="s">
        <v>1890</v>
      </c>
      <c r="D352" s="567" t="s">
        <v>1884</v>
      </c>
      <c r="E352" s="435"/>
      <c r="J352" s="71" t="s">
        <v>796</v>
      </c>
      <c r="K352" s="561" t="s">
        <v>796</v>
      </c>
      <c r="L352" s="561" t="s">
        <v>796</v>
      </c>
      <c r="M352" s="435"/>
      <c r="N352" s="435"/>
      <c r="O352" s="435"/>
      <c r="P352" s="435" t="s">
        <v>797</v>
      </c>
      <c r="R352" s="576"/>
      <c r="S352" s="569"/>
      <c r="T352" s="109"/>
      <c r="U352" s="570"/>
      <c r="W352" s="438"/>
    </row>
    <row r="353" spans="1:23" s="71" customFormat="1" ht="14.25" customHeight="1">
      <c r="A353" s="439" t="s">
        <v>2687</v>
      </c>
      <c r="B353" s="572" t="s">
        <v>297</v>
      </c>
      <c r="C353" s="573" t="s">
        <v>3016</v>
      </c>
      <c r="D353" s="437"/>
      <c r="E353" s="71" t="s">
        <v>3023</v>
      </c>
      <c r="J353" s="71" t="s">
        <v>796</v>
      </c>
      <c r="K353" s="71" t="s">
        <v>796</v>
      </c>
      <c r="L353" s="71" t="s">
        <v>796</v>
      </c>
      <c r="P353" s="71" t="s">
        <v>797</v>
      </c>
      <c r="Q353" s="71" t="s">
        <v>3026</v>
      </c>
      <c r="R353" s="445"/>
      <c r="S353" s="439"/>
      <c r="T353" s="109">
        <v>43768</v>
      </c>
      <c r="U353" s="576"/>
      <c r="W353" s="438"/>
    </row>
    <row r="354" spans="1:23" s="71" customFormat="1" ht="14.25" customHeight="1">
      <c r="A354" s="439" t="s">
        <v>2687</v>
      </c>
      <c r="B354" s="572" t="s">
        <v>297</v>
      </c>
      <c r="C354" s="573" t="s">
        <v>3014</v>
      </c>
      <c r="D354" s="567"/>
      <c r="E354" s="561">
        <v>196153</v>
      </c>
      <c r="F354" s="561" t="s">
        <v>3014</v>
      </c>
      <c r="J354" s="71" t="s">
        <v>796</v>
      </c>
      <c r="K354" s="561" t="s">
        <v>796</v>
      </c>
      <c r="L354" s="561" t="s">
        <v>796</v>
      </c>
      <c r="N354" s="71">
        <v>20.219699859619102</v>
      </c>
      <c r="O354" s="71">
        <v>92.851379394531307</v>
      </c>
      <c r="P354" s="561" t="s">
        <v>797</v>
      </c>
      <c r="Q354" s="71" t="s">
        <v>3026</v>
      </c>
      <c r="R354" s="576"/>
      <c r="S354" s="439"/>
      <c r="T354" s="109">
        <v>43768</v>
      </c>
      <c r="U354" s="576"/>
      <c r="W354" s="438"/>
    </row>
    <row r="355" spans="1:23" s="71" customFormat="1" ht="14.25" customHeight="1">
      <c r="A355" s="439" t="s">
        <v>2687</v>
      </c>
      <c r="B355" s="572" t="s">
        <v>297</v>
      </c>
      <c r="C355" s="573" t="s">
        <v>1888</v>
      </c>
      <c r="D355" s="437" t="s">
        <v>1884</v>
      </c>
      <c r="J355" s="71" t="s">
        <v>796</v>
      </c>
      <c r="K355" s="561" t="s">
        <v>796</v>
      </c>
      <c r="L355" s="561" t="s">
        <v>796</v>
      </c>
      <c r="P355" s="561" t="s">
        <v>797</v>
      </c>
      <c r="R355" s="576"/>
      <c r="S355" s="569"/>
      <c r="T355" s="109"/>
      <c r="U355" s="105"/>
      <c r="W355" s="438"/>
    </row>
    <row r="356" spans="1:23" s="71" customFormat="1" ht="14.25" customHeight="1">
      <c r="A356" s="439" t="s">
        <v>2687</v>
      </c>
      <c r="B356" s="442" t="s">
        <v>297</v>
      </c>
      <c r="C356" s="443" t="s">
        <v>2026</v>
      </c>
      <c r="D356" s="437"/>
      <c r="J356" s="71" t="s">
        <v>796</v>
      </c>
      <c r="K356" s="435" t="s">
        <v>796</v>
      </c>
      <c r="L356" s="435" t="s">
        <v>796</v>
      </c>
      <c r="P356" s="71" t="s">
        <v>797</v>
      </c>
      <c r="R356" s="445"/>
      <c r="S356" s="439"/>
      <c r="T356" s="109">
        <v>43297</v>
      </c>
      <c r="U356" s="105"/>
      <c r="W356" s="438"/>
    </row>
    <row r="357" spans="1:23" s="71" customFormat="1" ht="14.25" customHeight="1">
      <c r="A357" s="439" t="s">
        <v>2687</v>
      </c>
      <c r="B357" s="442" t="s">
        <v>297</v>
      </c>
      <c r="C357" s="443" t="s">
        <v>444</v>
      </c>
      <c r="D357" s="567" t="s">
        <v>1664</v>
      </c>
      <c r="E357" s="71">
        <v>196144</v>
      </c>
      <c r="J357" s="71" t="s">
        <v>796</v>
      </c>
      <c r="K357" s="71" t="s">
        <v>796</v>
      </c>
      <c r="L357" s="435" t="s">
        <v>796</v>
      </c>
      <c r="M357" s="71" t="s">
        <v>793</v>
      </c>
      <c r="N357" s="71">
        <v>20.212700000000002</v>
      </c>
      <c r="O357" s="71">
        <v>92.820800000000006</v>
      </c>
      <c r="P357" s="435" t="s">
        <v>797</v>
      </c>
      <c r="Q357" s="71" t="s">
        <v>778</v>
      </c>
      <c r="R357" s="576"/>
      <c r="S357" s="439"/>
      <c r="T357" s="109"/>
      <c r="U357" s="105"/>
      <c r="V357" s="71" t="s">
        <v>444</v>
      </c>
      <c r="W357" s="438"/>
    </row>
    <row r="358" spans="1:23" s="71" customFormat="1" ht="14.25" customHeight="1">
      <c r="A358" s="439" t="s">
        <v>2687</v>
      </c>
      <c r="B358" s="442" t="s">
        <v>297</v>
      </c>
      <c r="C358" s="443" t="s">
        <v>873</v>
      </c>
      <c r="D358" s="567" t="s">
        <v>1664</v>
      </c>
      <c r="E358" s="71">
        <v>196145</v>
      </c>
      <c r="J358" s="71" t="s">
        <v>796</v>
      </c>
      <c r="K358" s="71" t="s">
        <v>796</v>
      </c>
      <c r="L358" s="71" t="s">
        <v>796</v>
      </c>
      <c r="M358" s="71" t="s">
        <v>793</v>
      </c>
      <c r="N358" s="71">
        <v>20.219509120000001</v>
      </c>
      <c r="O358" s="71">
        <v>92.811332699999994</v>
      </c>
      <c r="P358" s="71" t="s">
        <v>797</v>
      </c>
      <c r="Q358" s="71" t="s">
        <v>760</v>
      </c>
      <c r="R358" s="576"/>
      <c r="S358" s="439"/>
      <c r="T358" s="109">
        <v>42811</v>
      </c>
      <c r="U358" s="105"/>
      <c r="W358" s="438"/>
    </row>
    <row r="359" spans="1:23" s="71" customFormat="1" ht="14.25" customHeight="1">
      <c r="A359" s="439" t="s">
        <v>2687</v>
      </c>
      <c r="B359" s="572" t="s">
        <v>297</v>
      </c>
      <c r="C359" s="443" t="s">
        <v>453</v>
      </c>
      <c r="D359" s="567" t="s">
        <v>1664</v>
      </c>
      <c r="E359" s="435">
        <v>196178</v>
      </c>
      <c r="F359" s="435"/>
      <c r="G359" s="435"/>
      <c r="H359" s="435"/>
      <c r="I359" s="435"/>
      <c r="J359" s="435" t="s">
        <v>802</v>
      </c>
      <c r="K359" s="561" t="s">
        <v>796</v>
      </c>
      <c r="L359" s="561" t="s">
        <v>802</v>
      </c>
      <c r="M359" s="435" t="s">
        <v>296</v>
      </c>
      <c r="N359" s="435">
        <v>20.26078987</v>
      </c>
      <c r="O359" s="435">
        <v>92.878593440000003</v>
      </c>
      <c r="P359" s="435" t="s">
        <v>921</v>
      </c>
      <c r="Q359" s="435" t="s">
        <v>760</v>
      </c>
      <c r="R359" s="576"/>
      <c r="S359" s="569"/>
      <c r="T359" s="452">
        <v>42811</v>
      </c>
      <c r="U359" s="440"/>
      <c r="V359" s="435"/>
      <c r="W359" s="438"/>
    </row>
    <row r="360" spans="1:23" s="71" customFormat="1" ht="14.25" customHeight="1">
      <c r="A360" s="439" t="s">
        <v>2687</v>
      </c>
      <c r="B360" s="572" t="s">
        <v>297</v>
      </c>
      <c r="C360" s="443" t="s">
        <v>443</v>
      </c>
      <c r="D360" s="477" t="s">
        <v>2763</v>
      </c>
      <c r="E360" s="71" t="s">
        <v>1382</v>
      </c>
      <c r="F360" s="71" t="s">
        <v>1753</v>
      </c>
      <c r="G360" s="71" t="s">
        <v>442</v>
      </c>
      <c r="H360" s="71" t="s">
        <v>41</v>
      </c>
      <c r="J360" s="71" t="s">
        <v>43</v>
      </c>
      <c r="K360" s="561" t="s">
        <v>43</v>
      </c>
      <c r="L360" s="561" t="s">
        <v>792</v>
      </c>
      <c r="M360" s="71" t="s">
        <v>793</v>
      </c>
      <c r="N360" s="71">
        <v>20.206778</v>
      </c>
      <c r="O360" s="71">
        <v>92.774193999999994</v>
      </c>
      <c r="P360" s="561" t="s">
        <v>759</v>
      </c>
      <c r="Q360" s="71" t="s">
        <v>778</v>
      </c>
      <c r="R360" s="568">
        <v>729</v>
      </c>
      <c r="S360" s="569">
        <v>4175</v>
      </c>
      <c r="T360" s="109"/>
      <c r="U360" s="105"/>
      <c r="V360" s="71" t="s">
        <v>443</v>
      </c>
      <c r="W360" s="438"/>
    </row>
    <row r="361" spans="1:23" s="71" customFormat="1" ht="14.25" customHeight="1">
      <c r="A361" s="439" t="s">
        <v>2687</v>
      </c>
      <c r="B361" s="442" t="s">
        <v>297</v>
      </c>
      <c r="C361" s="443" t="s">
        <v>438</v>
      </c>
      <c r="D361" s="567" t="s">
        <v>1664</v>
      </c>
      <c r="E361" s="71">
        <v>196156</v>
      </c>
      <c r="F361" s="71" t="s">
        <v>1753</v>
      </c>
      <c r="J361" s="71" t="s">
        <v>796</v>
      </c>
      <c r="K361" s="71" t="s">
        <v>796</v>
      </c>
      <c r="L361" s="71" t="s">
        <v>796</v>
      </c>
      <c r="M361" s="71" t="s">
        <v>793</v>
      </c>
      <c r="N361" s="71">
        <v>20.197549819999999</v>
      </c>
      <c r="O361" s="71">
        <v>92.785682679999994</v>
      </c>
      <c r="P361" s="71" t="s">
        <v>797</v>
      </c>
      <c r="Q361" s="71" t="s">
        <v>778</v>
      </c>
      <c r="R361" s="576"/>
      <c r="S361" s="439"/>
      <c r="T361" s="109"/>
      <c r="U361" s="105"/>
      <c r="V361" s="71" t="s">
        <v>438</v>
      </c>
      <c r="W361" s="438"/>
    </row>
    <row r="362" spans="1:23" s="71" customFormat="1" ht="14.25" customHeight="1">
      <c r="A362" s="439" t="s">
        <v>2687</v>
      </c>
      <c r="B362" s="442" t="s">
        <v>297</v>
      </c>
      <c r="C362" s="443" t="s">
        <v>434</v>
      </c>
      <c r="D362" s="477" t="s">
        <v>2763</v>
      </c>
      <c r="E362" s="71" t="s">
        <v>1380</v>
      </c>
      <c r="F362" s="71" t="s">
        <v>1671</v>
      </c>
      <c r="G362" s="71" t="s">
        <v>1697</v>
      </c>
      <c r="H362" s="71" t="s">
        <v>41</v>
      </c>
      <c r="J362" s="71" t="s">
        <v>43</v>
      </c>
      <c r="K362" s="71" t="s">
        <v>43</v>
      </c>
      <c r="L362" s="71" t="s">
        <v>792</v>
      </c>
      <c r="M362" s="71" t="s">
        <v>793</v>
      </c>
      <c r="N362" s="71">
        <v>20.18994</v>
      </c>
      <c r="O362" s="71">
        <v>92.798880999999994</v>
      </c>
      <c r="P362" s="71" t="s">
        <v>759</v>
      </c>
      <c r="Q362" s="71" t="s">
        <v>778</v>
      </c>
      <c r="R362" s="568">
        <v>2728</v>
      </c>
      <c r="S362" s="439">
        <v>13812</v>
      </c>
      <c r="T362" s="109"/>
      <c r="U362" s="105"/>
      <c r="V362" s="71" t="s">
        <v>868</v>
      </c>
      <c r="W362" s="438"/>
    </row>
    <row r="363" spans="1:23" s="71" customFormat="1" ht="14.25" customHeight="1">
      <c r="A363" s="439" t="s">
        <v>2687</v>
      </c>
      <c r="B363" s="442" t="s">
        <v>297</v>
      </c>
      <c r="C363" s="443" t="s">
        <v>432</v>
      </c>
      <c r="D363" s="477" t="s">
        <v>2763</v>
      </c>
      <c r="E363" s="435" t="s">
        <v>1378</v>
      </c>
      <c r="F363" s="435" t="s">
        <v>1671</v>
      </c>
      <c r="G363" s="435" t="s">
        <v>1697</v>
      </c>
      <c r="H363" s="435" t="s">
        <v>41</v>
      </c>
      <c r="I363" s="435"/>
      <c r="J363" s="435" t="s">
        <v>43</v>
      </c>
      <c r="K363" s="435" t="s">
        <v>43</v>
      </c>
      <c r="L363" s="435" t="s">
        <v>792</v>
      </c>
      <c r="M363" s="435" t="s">
        <v>793</v>
      </c>
      <c r="N363" s="435">
        <v>20.185092000000001</v>
      </c>
      <c r="O363" s="435">
        <v>92.802295999999998</v>
      </c>
      <c r="P363" s="435" t="s">
        <v>759</v>
      </c>
      <c r="Q363" s="435" t="s">
        <v>778</v>
      </c>
      <c r="R363" s="568">
        <v>2259</v>
      </c>
      <c r="S363" s="439">
        <v>11375</v>
      </c>
      <c r="T363" s="452"/>
      <c r="U363" s="440"/>
      <c r="V363" s="435" t="s">
        <v>866</v>
      </c>
      <c r="W363" s="438"/>
    </row>
    <row r="364" spans="1:23" s="71" customFormat="1" ht="14.25" customHeight="1">
      <c r="A364" s="439" t="s">
        <v>2687</v>
      </c>
      <c r="B364" s="572" t="s">
        <v>297</v>
      </c>
      <c r="C364" s="573" t="s">
        <v>442</v>
      </c>
      <c r="D364" s="567" t="s">
        <v>1664</v>
      </c>
      <c r="E364" s="71">
        <v>196158</v>
      </c>
      <c r="F364" s="561"/>
      <c r="J364" s="71" t="s">
        <v>802</v>
      </c>
      <c r="K364" s="561" t="s">
        <v>796</v>
      </c>
      <c r="L364" s="561" t="s">
        <v>802</v>
      </c>
      <c r="M364" s="71" t="s">
        <v>793</v>
      </c>
      <c r="N364" s="71">
        <v>20.2043705</v>
      </c>
      <c r="O364" s="71">
        <v>92.780357359999996</v>
      </c>
      <c r="P364" s="71" t="s">
        <v>921</v>
      </c>
      <c r="Q364" s="71" t="s">
        <v>760</v>
      </c>
      <c r="R364" s="576"/>
      <c r="S364" s="569"/>
      <c r="T364" s="109">
        <v>42811</v>
      </c>
      <c r="U364" s="105"/>
      <c r="W364" s="438"/>
    </row>
    <row r="365" spans="1:23" s="71" customFormat="1" ht="14.25" customHeight="1">
      <c r="A365" s="439" t="s">
        <v>2687</v>
      </c>
      <c r="B365" s="566" t="s">
        <v>297</v>
      </c>
      <c r="C365" s="566" t="s">
        <v>2621</v>
      </c>
      <c r="D365" s="477"/>
      <c r="E365" s="71">
        <v>220593</v>
      </c>
      <c r="F365" s="566" t="s">
        <v>452</v>
      </c>
      <c r="J365" s="71" t="s">
        <v>796</v>
      </c>
      <c r="K365" s="566" t="s">
        <v>796</v>
      </c>
      <c r="L365" s="566" t="s">
        <v>796</v>
      </c>
      <c r="N365" s="71">
        <v>20.261358000000001</v>
      </c>
      <c r="O365" s="71">
        <v>92.805672999999999</v>
      </c>
      <c r="P365" s="71" t="s">
        <v>797</v>
      </c>
      <c r="R365" s="568"/>
      <c r="S365" s="568"/>
      <c r="T365" s="109"/>
      <c r="U365" s="105"/>
      <c r="W365" s="438"/>
    </row>
    <row r="366" spans="1:23" s="71" customFormat="1" ht="14.25" customHeight="1">
      <c r="A366" s="439" t="s">
        <v>2687</v>
      </c>
      <c r="B366" s="442" t="s">
        <v>297</v>
      </c>
      <c r="C366" s="443" t="s">
        <v>837</v>
      </c>
      <c r="D366" s="567" t="s">
        <v>1664</v>
      </c>
      <c r="E366" s="71">
        <v>196142</v>
      </c>
      <c r="J366" s="71" t="s">
        <v>796</v>
      </c>
      <c r="K366" s="71" t="s">
        <v>796</v>
      </c>
      <c r="L366" s="71" t="s">
        <v>796</v>
      </c>
      <c r="M366" s="71" t="s">
        <v>793</v>
      </c>
      <c r="N366" s="71">
        <v>20.122990000000001</v>
      </c>
      <c r="O366" s="71">
        <v>92.474298000000005</v>
      </c>
      <c r="P366" s="71" t="s">
        <v>797</v>
      </c>
      <c r="R366" s="576"/>
      <c r="S366" s="439"/>
      <c r="T366" s="109"/>
      <c r="U366" s="105"/>
      <c r="V366" s="71" t="s">
        <v>837</v>
      </c>
      <c r="W366" s="438"/>
    </row>
    <row r="367" spans="1:23" s="71" customFormat="1" ht="14.25" customHeight="1">
      <c r="A367" s="439" t="s">
        <v>2687</v>
      </c>
      <c r="B367" s="442" t="s">
        <v>297</v>
      </c>
      <c r="C367" s="443" t="s">
        <v>839</v>
      </c>
      <c r="D367" s="437" t="s">
        <v>1664</v>
      </c>
      <c r="E367" s="435">
        <v>196141</v>
      </c>
      <c r="F367" s="435"/>
      <c r="G367" s="435"/>
      <c r="H367" s="435"/>
      <c r="J367" s="71" t="s">
        <v>796</v>
      </c>
      <c r="K367" s="71" t="s">
        <v>796</v>
      </c>
      <c r="L367" s="435" t="s">
        <v>796</v>
      </c>
      <c r="M367" s="71" t="s">
        <v>296</v>
      </c>
      <c r="N367" s="435">
        <v>20.131148</v>
      </c>
      <c r="O367" s="435">
        <v>92.462236000000004</v>
      </c>
      <c r="P367" s="435" t="s">
        <v>797</v>
      </c>
      <c r="R367" s="445"/>
      <c r="S367" s="439"/>
      <c r="T367" s="109"/>
      <c r="U367" s="440"/>
      <c r="V367" s="435" t="s">
        <v>839</v>
      </c>
      <c r="W367" s="438"/>
    </row>
    <row r="368" spans="1:23" s="71" customFormat="1" ht="14.25" customHeight="1">
      <c r="A368" s="439" t="s">
        <v>2687</v>
      </c>
      <c r="B368" s="442" t="s">
        <v>297</v>
      </c>
      <c r="C368" s="443" t="s">
        <v>840</v>
      </c>
      <c r="D368" s="437" t="s">
        <v>1664</v>
      </c>
      <c r="E368" s="71">
        <v>196141</v>
      </c>
      <c r="J368" s="71" t="s">
        <v>796</v>
      </c>
      <c r="K368" s="71" t="s">
        <v>796</v>
      </c>
      <c r="L368" s="71" t="s">
        <v>796</v>
      </c>
      <c r="M368" s="71" t="s">
        <v>296</v>
      </c>
      <c r="N368" s="71">
        <v>20.131148</v>
      </c>
      <c r="O368" s="71">
        <v>92.462236000000004</v>
      </c>
      <c r="P368" s="71" t="s">
        <v>797</v>
      </c>
      <c r="R368" s="445"/>
      <c r="S368" s="439"/>
      <c r="T368" s="109"/>
      <c r="U368" s="105"/>
      <c r="V368" s="71" t="s">
        <v>840</v>
      </c>
      <c r="W368" s="438"/>
    </row>
    <row r="369" spans="1:23" s="71" customFormat="1" ht="14.25" customHeight="1">
      <c r="A369" s="439" t="s">
        <v>2687</v>
      </c>
      <c r="B369" s="442" t="s">
        <v>297</v>
      </c>
      <c r="C369" s="443" t="s">
        <v>302</v>
      </c>
      <c r="D369" s="437" t="s">
        <v>1664</v>
      </c>
      <c r="E369" s="435"/>
      <c r="F369" s="435"/>
      <c r="G369" s="435"/>
      <c r="H369" s="435"/>
      <c r="J369" s="71" t="s">
        <v>796</v>
      </c>
      <c r="K369" s="71" t="s">
        <v>796</v>
      </c>
      <c r="L369" s="435" t="s">
        <v>796</v>
      </c>
      <c r="M369" s="71" t="s">
        <v>793</v>
      </c>
      <c r="N369" s="435"/>
      <c r="O369" s="435"/>
      <c r="P369" s="435" t="s">
        <v>797</v>
      </c>
      <c r="Q369" s="71" t="s">
        <v>778</v>
      </c>
      <c r="R369" s="445"/>
      <c r="S369" s="439"/>
      <c r="T369" s="109"/>
      <c r="U369" s="440"/>
      <c r="V369" s="435" t="s">
        <v>871</v>
      </c>
      <c r="W369" s="438"/>
    </row>
    <row r="370" spans="1:23" s="71" customFormat="1" ht="14.25" customHeight="1">
      <c r="A370" s="439" t="s">
        <v>2687</v>
      </c>
      <c r="B370" s="442" t="s">
        <v>297</v>
      </c>
      <c r="C370" s="443" t="s">
        <v>2312</v>
      </c>
      <c r="D370" s="437"/>
      <c r="E370" s="71" t="s">
        <v>1381</v>
      </c>
      <c r="F370" s="71" t="s">
        <v>1672</v>
      </c>
      <c r="G370" s="71" t="s">
        <v>1673</v>
      </c>
      <c r="J370" s="435" t="s">
        <v>43</v>
      </c>
      <c r="K370" s="435" t="s">
        <v>43</v>
      </c>
      <c r="L370" s="71" t="s">
        <v>792</v>
      </c>
      <c r="M370" s="71" t="s">
        <v>793</v>
      </c>
      <c r="N370" s="71">
        <v>20.207284999999999</v>
      </c>
      <c r="O370" s="71">
        <v>92.788177000000005</v>
      </c>
      <c r="P370" s="71" t="s">
        <v>759</v>
      </c>
      <c r="Q370" s="71" t="s">
        <v>778</v>
      </c>
      <c r="R370" s="445"/>
      <c r="S370" s="439"/>
      <c r="T370" s="109">
        <v>43488</v>
      </c>
      <c r="U370" s="105"/>
      <c r="V370" s="71" t="s">
        <v>871</v>
      </c>
      <c r="W370" s="438"/>
    </row>
    <row r="371" spans="1:23" s="71" customFormat="1" ht="14.25" customHeight="1">
      <c r="A371" s="439" t="s">
        <v>2687</v>
      </c>
      <c r="B371" s="572" t="s">
        <v>297</v>
      </c>
      <c r="C371" s="573" t="s">
        <v>841</v>
      </c>
      <c r="D371" s="567" t="s">
        <v>1664</v>
      </c>
      <c r="E371" s="435">
        <v>196130</v>
      </c>
      <c r="F371" s="561"/>
      <c r="G371" s="435"/>
      <c r="H371" s="435"/>
      <c r="J371" s="71" t="s">
        <v>796</v>
      </c>
      <c r="K371" s="561" t="s">
        <v>796</v>
      </c>
      <c r="L371" s="561" t="s">
        <v>796</v>
      </c>
      <c r="M371" s="71" t="s">
        <v>296</v>
      </c>
      <c r="N371" s="435">
        <v>20.142474</v>
      </c>
      <c r="O371" s="435">
        <v>92.494243999999995</v>
      </c>
      <c r="P371" s="435" t="s">
        <v>797</v>
      </c>
      <c r="R371" s="576"/>
      <c r="S371" s="569"/>
      <c r="T371" s="109"/>
      <c r="U371" s="440"/>
      <c r="V371" s="435" t="s">
        <v>841</v>
      </c>
      <c r="W371" s="438"/>
    </row>
    <row r="372" spans="1:23" s="71" customFormat="1" ht="14.25" customHeight="1">
      <c r="A372" s="439" t="s">
        <v>2687</v>
      </c>
      <c r="B372" s="566" t="s">
        <v>297</v>
      </c>
      <c r="C372" s="566" t="s">
        <v>2620</v>
      </c>
      <c r="D372" s="477"/>
      <c r="E372" s="435">
        <v>196130</v>
      </c>
      <c r="F372" s="435"/>
      <c r="G372" s="435"/>
      <c r="H372" s="435"/>
      <c r="I372" s="435"/>
      <c r="J372" s="435" t="s">
        <v>796</v>
      </c>
      <c r="K372" s="566" t="s">
        <v>796</v>
      </c>
      <c r="L372" s="566" t="s">
        <v>796</v>
      </c>
      <c r="M372" s="435" t="s">
        <v>296</v>
      </c>
      <c r="N372" s="435">
        <v>20.142474</v>
      </c>
      <c r="O372" s="435">
        <v>92.494243999999995</v>
      </c>
      <c r="P372" s="435" t="s">
        <v>797</v>
      </c>
      <c r="Q372" s="435"/>
      <c r="R372" s="572"/>
      <c r="S372" s="573"/>
      <c r="T372" s="452"/>
      <c r="U372" s="440"/>
      <c r="V372" s="435"/>
      <c r="W372" s="438"/>
    </row>
    <row r="373" spans="1:23" s="71" customFormat="1" ht="14.25" customHeight="1">
      <c r="A373" s="439" t="s">
        <v>2687</v>
      </c>
      <c r="B373" s="572" t="s">
        <v>297</v>
      </c>
      <c r="C373" s="573" t="s">
        <v>2024</v>
      </c>
      <c r="D373" s="567"/>
      <c r="E373" s="561">
        <v>196162</v>
      </c>
      <c r="F373" s="561" t="s">
        <v>2023</v>
      </c>
      <c r="G373" s="435"/>
      <c r="H373" s="435"/>
      <c r="I373" s="435"/>
      <c r="J373" s="435" t="s">
        <v>796</v>
      </c>
      <c r="K373" s="561" t="s">
        <v>796</v>
      </c>
      <c r="L373" s="561" t="s">
        <v>796</v>
      </c>
      <c r="M373" s="435" t="s">
        <v>793</v>
      </c>
      <c r="N373" s="435">
        <v>20.239929199999999</v>
      </c>
      <c r="O373" s="435">
        <v>92.827529909999996</v>
      </c>
      <c r="P373" s="435" t="s">
        <v>797</v>
      </c>
      <c r="Q373" s="435"/>
      <c r="R373" s="576"/>
      <c r="S373" s="439"/>
      <c r="T373" s="452">
        <v>43294</v>
      </c>
      <c r="U373" s="440"/>
      <c r="V373" s="435"/>
      <c r="W373" s="438"/>
    </row>
    <row r="374" spans="1:23" s="71" customFormat="1" ht="14.25" customHeight="1">
      <c r="A374" s="439" t="s">
        <v>2687</v>
      </c>
      <c r="B374" s="566" t="s">
        <v>297</v>
      </c>
      <c r="C374" s="566" t="s">
        <v>2622</v>
      </c>
      <c r="D374" s="477"/>
      <c r="E374" s="566">
        <v>196131</v>
      </c>
      <c r="F374" s="566" t="s">
        <v>876</v>
      </c>
      <c r="G374" s="435"/>
      <c r="H374" s="435"/>
      <c r="J374" s="71" t="s">
        <v>796</v>
      </c>
      <c r="K374" s="566" t="s">
        <v>796</v>
      </c>
      <c r="L374" s="566" t="s">
        <v>796</v>
      </c>
      <c r="N374" s="435">
        <v>20.239799499511701</v>
      </c>
      <c r="O374" s="435">
        <v>92.825088500976605</v>
      </c>
      <c r="P374" s="435" t="s">
        <v>797</v>
      </c>
      <c r="R374" s="568"/>
      <c r="S374" s="569"/>
      <c r="T374" s="109"/>
      <c r="U374" s="440"/>
      <c r="V374" s="435"/>
      <c r="W374" s="438"/>
    </row>
    <row r="375" spans="1:23" s="71" customFormat="1" ht="14.25" customHeight="1">
      <c r="A375" s="439" t="s">
        <v>2687</v>
      </c>
      <c r="B375" s="566" t="s">
        <v>297</v>
      </c>
      <c r="C375" s="566" t="s">
        <v>2625</v>
      </c>
      <c r="D375" s="567"/>
      <c r="E375" s="435"/>
      <c r="F375" s="435"/>
      <c r="G375" s="435"/>
      <c r="H375" s="435"/>
      <c r="J375" s="71" t="s">
        <v>796</v>
      </c>
      <c r="K375" s="566" t="s">
        <v>796</v>
      </c>
      <c r="L375" s="566" t="s">
        <v>796</v>
      </c>
      <c r="N375" s="435"/>
      <c r="O375" s="435"/>
      <c r="P375" s="435" t="s">
        <v>797</v>
      </c>
      <c r="R375" s="566"/>
      <c r="S375" s="566"/>
      <c r="T375" s="109"/>
      <c r="U375" s="440"/>
      <c r="V375" s="435"/>
      <c r="W375" s="438"/>
    </row>
    <row r="376" spans="1:23" s="71" customFormat="1" ht="14.25" customHeight="1">
      <c r="A376" s="439" t="s">
        <v>2687</v>
      </c>
      <c r="B376" s="442" t="s">
        <v>297</v>
      </c>
      <c r="C376" s="443" t="s">
        <v>847</v>
      </c>
      <c r="D376" s="567" t="s">
        <v>1665</v>
      </c>
      <c r="E376" s="71" t="s">
        <v>1361</v>
      </c>
      <c r="F376" s="71" t="s">
        <v>1694</v>
      </c>
      <c r="G376" s="71" t="s">
        <v>1695</v>
      </c>
      <c r="J376" s="561" t="s">
        <v>43</v>
      </c>
      <c r="K376" s="561" t="s">
        <v>43</v>
      </c>
      <c r="L376" s="561" t="s">
        <v>758</v>
      </c>
      <c r="M376" s="71" t="s">
        <v>296</v>
      </c>
      <c r="N376" s="435">
        <v>20.151471999999998</v>
      </c>
      <c r="O376" s="435">
        <v>92.887277999999995</v>
      </c>
      <c r="P376" s="561" t="s">
        <v>759</v>
      </c>
      <c r="R376" s="576"/>
      <c r="S376" s="439"/>
      <c r="T376" s="109"/>
      <c r="U376" s="105"/>
      <c r="V376" s="71" t="s">
        <v>847</v>
      </c>
      <c r="W376" s="438"/>
    </row>
    <row r="377" spans="1:23" s="71" customFormat="1" ht="14.25" customHeight="1">
      <c r="A377" s="439" t="s">
        <v>2687</v>
      </c>
      <c r="B377" s="442" t="s">
        <v>297</v>
      </c>
      <c r="C377" s="443" t="s">
        <v>420</v>
      </c>
      <c r="D377" s="477" t="s">
        <v>2763</v>
      </c>
      <c r="E377" s="71" t="s">
        <v>1362</v>
      </c>
      <c r="F377" s="71" t="s">
        <v>1694</v>
      </c>
      <c r="G377" s="71" t="s">
        <v>1695</v>
      </c>
      <c r="J377" s="71" t="s">
        <v>796</v>
      </c>
      <c r="K377" s="71" t="s">
        <v>796</v>
      </c>
      <c r="L377" s="71" t="s">
        <v>819</v>
      </c>
      <c r="M377" s="71" t="s">
        <v>296</v>
      </c>
      <c r="N377" s="71">
        <v>20.151471999999998</v>
      </c>
      <c r="O377" s="71">
        <v>92.887277999999995</v>
      </c>
      <c r="P377" s="435" t="s">
        <v>797</v>
      </c>
      <c r="Q377" s="71" t="s">
        <v>778</v>
      </c>
      <c r="R377" s="568">
        <v>249</v>
      </c>
      <c r="S377" s="439">
        <v>1282</v>
      </c>
      <c r="T377" s="109"/>
      <c r="U377" s="105"/>
      <c r="V377" s="71" t="s">
        <v>420</v>
      </c>
      <c r="W377" s="438"/>
    </row>
    <row r="378" spans="1:23" s="71" customFormat="1" ht="14.25" customHeight="1">
      <c r="A378" s="439" t="s">
        <v>2687</v>
      </c>
      <c r="B378" s="442" t="s">
        <v>297</v>
      </c>
      <c r="C378" s="443" t="s">
        <v>421</v>
      </c>
      <c r="D378" s="477" t="s">
        <v>2763</v>
      </c>
      <c r="E378" s="435" t="s">
        <v>1363</v>
      </c>
      <c r="F378" s="435" t="s">
        <v>1694</v>
      </c>
      <c r="G378" s="435" t="s">
        <v>1695</v>
      </c>
      <c r="H378" s="435"/>
      <c r="I378" s="435"/>
      <c r="J378" s="435" t="s">
        <v>796</v>
      </c>
      <c r="K378" s="435" t="s">
        <v>796</v>
      </c>
      <c r="L378" s="435" t="s">
        <v>819</v>
      </c>
      <c r="M378" s="435" t="s">
        <v>296</v>
      </c>
      <c r="N378" s="435">
        <v>20.151471999999998</v>
      </c>
      <c r="O378" s="435">
        <v>92.887277999999995</v>
      </c>
      <c r="P378" s="435" t="s">
        <v>797</v>
      </c>
      <c r="Q378" s="435" t="s">
        <v>778</v>
      </c>
      <c r="R378" s="568">
        <v>420</v>
      </c>
      <c r="S378" s="439">
        <v>2200</v>
      </c>
      <c r="T378" s="452"/>
      <c r="U378" s="440"/>
      <c r="V378" s="435" t="s">
        <v>421</v>
      </c>
      <c r="W378" s="438"/>
    </row>
    <row r="379" spans="1:23" s="71" customFormat="1" ht="14.25" customHeight="1">
      <c r="A379" s="439" t="s">
        <v>2687</v>
      </c>
      <c r="B379" s="572" t="s">
        <v>297</v>
      </c>
      <c r="C379" s="443" t="s">
        <v>441</v>
      </c>
      <c r="D379" s="477" t="s">
        <v>2763</v>
      </c>
      <c r="E379" s="435" t="s">
        <v>1381</v>
      </c>
      <c r="F379" s="435" t="s">
        <v>1753</v>
      </c>
      <c r="G379" s="435" t="s">
        <v>441</v>
      </c>
      <c r="H379" s="435" t="s">
        <v>41</v>
      </c>
      <c r="I379" s="435"/>
      <c r="J379" s="435" t="s">
        <v>43</v>
      </c>
      <c r="K379" s="561" t="s">
        <v>43</v>
      </c>
      <c r="L379" s="561" t="s">
        <v>792</v>
      </c>
      <c r="M379" s="435" t="s">
        <v>793</v>
      </c>
      <c r="N379" s="435">
        <v>20.202525000000001</v>
      </c>
      <c r="O379" s="435">
        <v>92.792479999999998</v>
      </c>
      <c r="P379" s="561" t="s">
        <v>759</v>
      </c>
      <c r="Q379" s="435" t="s">
        <v>778</v>
      </c>
      <c r="R379" s="568">
        <v>2682</v>
      </c>
      <c r="S379" s="569">
        <v>13653</v>
      </c>
      <c r="T379" s="452"/>
      <c r="U379" s="440"/>
      <c r="V379" s="435" t="s">
        <v>441</v>
      </c>
      <c r="W379" s="438"/>
    </row>
    <row r="380" spans="1:23" s="71" customFormat="1" ht="14.25" customHeight="1">
      <c r="A380" s="439" t="s">
        <v>2687</v>
      </c>
      <c r="B380" s="572" t="s">
        <v>297</v>
      </c>
      <c r="C380" s="573" t="s">
        <v>439</v>
      </c>
      <c r="D380" s="567"/>
      <c r="E380" s="435">
        <v>196154</v>
      </c>
      <c r="F380" s="435"/>
      <c r="G380" s="435"/>
      <c r="H380" s="435"/>
      <c r="I380" s="435"/>
      <c r="J380" s="435" t="s">
        <v>796</v>
      </c>
      <c r="K380" s="435" t="s">
        <v>796</v>
      </c>
      <c r="L380" s="435" t="s">
        <v>796</v>
      </c>
      <c r="M380" s="435" t="s">
        <v>793</v>
      </c>
      <c r="N380" s="435">
        <v>20.201499999999999</v>
      </c>
      <c r="O380" s="435">
        <v>92.796599999999998</v>
      </c>
      <c r="P380" s="561" t="s">
        <v>797</v>
      </c>
      <c r="Q380" s="435" t="s">
        <v>778</v>
      </c>
      <c r="R380" s="576"/>
      <c r="S380" s="439"/>
      <c r="T380" s="452">
        <v>42745</v>
      </c>
      <c r="U380" s="440"/>
      <c r="V380" s="435"/>
      <c r="W380" s="438"/>
    </row>
    <row r="381" spans="1:23" s="71" customFormat="1" ht="14.25" customHeight="1">
      <c r="A381" s="439" t="s">
        <v>2687</v>
      </c>
      <c r="B381" s="442" t="s">
        <v>297</v>
      </c>
      <c r="C381" s="443" t="s">
        <v>435</v>
      </c>
      <c r="D381" s="567" t="s">
        <v>1664</v>
      </c>
      <c r="E381" s="435">
        <v>196155</v>
      </c>
      <c r="F381" s="435"/>
      <c r="G381" s="435"/>
      <c r="H381" s="435"/>
      <c r="I381" s="435"/>
      <c r="J381" s="435" t="s">
        <v>796</v>
      </c>
      <c r="K381" s="435" t="s">
        <v>796</v>
      </c>
      <c r="L381" s="435" t="s">
        <v>796</v>
      </c>
      <c r="M381" s="435" t="s">
        <v>793</v>
      </c>
      <c r="N381" s="435">
        <v>20.19171906</v>
      </c>
      <c r="O381" s="435">
        <v>92.808166499999999</v>
      </c>
      <c r="P381" s="435" t="s">
        <v>797</v>
      </c>
      <c r="Q381" s="435" t="s">
        <v>778</v>
      </c>
      <c r="R381" s="576"/>
      <c r="S381" s="439"/>
      <c r="T381" s="452"/>
      <c r="U381" s="440"/>
      <c r="V381" s="435" t="s">
        <v>435</v>
      </c>
      <c r="W381" s="438"/>
    </row>
    <row r="382" spans="1:23" s="71" customFormat="1" ht="14.25" customHeight="1">
      <c r="A382" s="439" t="s">
        <v>2687</v>
      </c>
      <c r="B382" s="442" t="s">
        <v>297</v>
      </c>
      <c r="C382" s="443" t="s">
        <v>418</v>
      </c>
      <c r="D382" s="477" t="s">
        <v>2763</v>
      </c>
      <c r="E382" s="435" t="s">
        <v>1360</v>
      </c>
      <c r="F382" s="435" t="s">
        <v>1882</v>
      </c>
      <c r="G382" s="435" t="s">
        <v>1882</v>
      </c>
      <c r="H382" s="435"/>
      <c r="I382" s="435"/>
      <c r="J382" s="435" t="s">
        <v>796</v>
      </c>
      <c r="K382" s="435" t="s">
        <v>796</v>
      </c>
      <c r="L382" s="435" t="s">
        <v>819</v>
      </c>
      <c r="M382" s="435" t="s">
        <v>844</v>
      </c>
      <c r="N382" s="435">
        <v>20.148584</v>
      </c>
      <c r="O382" s="435">
        <v>92.880319999999998</v>
      </c>
      <c r="P382" s="435" t="s">
        <v>797</v>
      </c>
      <c r="Q382" s="435" t="s">
        <v>778</v>
      </c>
      <c r="R382" s="568">
        <v>72</v>
      </c>
      <c r="S382" s="439">
        <v>462</v>
      </c>
      <c r="T382" s="452"/>
      <c r="U382" s="440"/>
      <c r="V382" s="435" t="s">
        <v>418</v>
      </c>
      <c r="W382" s="438"/>
    </row>
    <row r="383" spans="1:23" s="71" customFormat="1" ht="14.25" customHeight="1">
      <c r="A383" s="439" t="s">
        <v>2687</v>
      </c>
      <c r="B383" s="572" t="s">
        <v>297</v>
      </c>
      <c r="C383" s="573" t="s">
        <v>1909</v>
      </c>
      <c r="D383" s="477" t="s">
        <v>2763</v>
      </c>
      <c r="E383" s="71" t="s">
        <v>1365</v>
      </c>
      <c r="F383" s="71" t="s">
        <v>1882</v>
      </c>
      <c r="G383" s="71" t="s">
        <v>1882</v>
      </c>
      <c r="J383" s="71" t="s">
        <v>796</v>
      </c>
      <c r="K383" s="435" t="s">
        <v>796</v>
      </c>
      <c r="L383" s="435" t="s">
        <v>819</v>
      </c>
      <c r="M383" s="71" t="s">
        <v>296</v>
      </c>
      <c r="N383" s="71">
        <v>20.155805999999998</v>
      </c>
      <c r="O383" s="71">
        <v>92.879138999999995</v>
      </c>
      <c r="P383" s="71" t="s">
        <v>797</v>
      </c>
      <c r="Q383" s="71" t="s">
        <v>778</v>
      </c>
      <c r="R383" s="568">
        <v>151</v>
      </c>
      <c r="S383" s="439">
        <v>654</v>
      </c>
      <c r="T383" s="109"/>
      <c r="U383" s="570"/>
      <c r="V383" s="71" t="s">
        <v>422</v>
      </c>
      <c r="W383" s="438"/>
    </row>
    <row r="384" spans="1:23" s="71" customFormat="1" ht="14.25" customHeight="1">
      <c r="A384" s="439" t="s">
        <v>2687</v>
      </c>
      <c r="B384" s="572" t="s">
        <v>297</v>
      </c>
      <c r="C384" s="573" t="s">
        <v>3015</v>
      </c>
      <c r="D384" s="567"/>
      <c r="E384" s="561"/>
      <c r="F384" s="561"/>
      <c r="J384" s="71" t="s">
        <v>796</v>
      </c>
      <c r="K384" s="561" t="s">
        <v>796</v>
      </c>
      <c r="L384" s="561" t="s">
        <v>796</v>
      </c>
      <c r="O384" s="561"/>
      <c r="P384" s="561" t="s">
        <v>797</v>
      </c>
      <c r="Q384" s="71" t="s">
        <v>3026</v>
      </c>
      <c r="R384" s="576"/>
      <c r="S384" s="569"/>
      <c r="T384" s="109">
        <v>43768</v>
      </c>
      <c r="U384" s="576"/>
      <c r="W384" s="438"/>
    </row>
    <row r="385" spans="1:23" s="71" customFormat="1" ht="14.25" customHeight="1">
      <c r="A385" s="439" t="s">
        <v>2687</v>
      </c>
      <c r="B385" s="442" t="s">
        <v>297</v>
      </c>
      <c r="C385" s="443" t="s">
        <v>3018</v>
      </c>
      <c r="D385" s="437"/>
      <c r="E385" s="71" t="s">
        <v>3019</v>
      </c>
      <c r="J385" s="71" t="s">
        <v>796</v>
      </c>
      <c r="K385" s="435" t="s">
        <v>796</v>
      </c>
      <c r="L385" s="435" t="s">
        <v>796</v>
      </c>
      <c r="P385" s="71" t="s">
        <v>797</v>
      </c>
      <c r="Q385" s="71" t="s">
        <v>3026</v>
      </c>
      <c r="R385" s="445"/>
      <c r="S385" s="439"/>
      <c r="T385" s="109">
        <v>43768</v>
      </c>
      <c r="U385" s="576"/>
      <c r="W385" s="438"/>
    </row>
    <row r="386" spans="1:23" s="71" customFormat="1" ht="14.25" customHeight="1">
      <c r="A386" s="439" t="s">
        <v>2687</v>
      </c>
      <c r="B386" s="442" t="s">
        <v>297</v>
      </c>
      <c r="C386" s="443" t="s">
        <v>2020</v>
      </c>
      <c r="D386" s="567"/>
      <c r="E386" s="71">
        <v>196179</v>
      </c>
      <c r="F386" s="71" t="s">
        <v>2020</v>
      </c>
      <c r="J386" s="71" t="s">
        <v>796</v>
      </c>
      <c r="K386" s="435" t="s">
        <v>796</v>
      </c>
      <c r="L386" s="435" t="s">
        <v>796</v>
      </c>
      <c r="M386" s="71" t="s">
        <v>1917</v>
      </c>
      <c r="N386" s="71">
        <v>20.236970899999999</v>
      </c>
      <c r="O386" s="71">
        <v>92.877876279999995</v>
      </c>
      <c r="P386" s="71" t="s">
        <v>797</v>
      </c>
      <c r="R386" s="576"/>
      <c r="S386" s="439"/>
      <c r="T386" s="109">
        <v>43294</v>
      </c>
      <c r="U386" s="105"/>
      <c r="W386" s="438"/>
    </row>
    <row r="387" spans="1:23" s="71" customFormat="1" ht="14.25" customHeight="1">
      <c r="A387" s="569" t="s">
        <v>2687</v>
      </c>
      <c r="B387" s="572" t="s">
        <v>297</v>
      </c>
      <c r="C387" s="573" t="s">
        <v>424</v>
      </c>
      <c r="D387" s="477" t="s">
        <v>2763</v>
      </c>
      <c r="E387" s="435" t="s">
        <v>1367</v>
      </c>
      <c r="F387" s="71" t="s">
        <v>417</v>
      </c>
      <c r="G387" s="71" t="s">
        <v>423</v>
      </c>
      <c r="H387" s="71" t="s">
        <v>41</v>
      </c>
      <c r="J387" s="71" t="s">
        <v>43</v>
      </c>
      <c r="K387" s="435" t="s">
        <v>43</v>
      </c>
      <c r="L387" s="435" t="s">
        <v>795</v>
      </c>
      <c r="M387" s="71" t="s">
        <v>793</v>
      </c>
      <c r="N387" s="71">
        <v>20.1585</v>
      </c>
      <c r="O387" s="71">
        <v>92.839416999999997</v>
      </c>
      <c r="P387" s="71" t="s">
        <v>759</v>
      </c>
      <c r="Q387" s="71" t="s">
        <v>778</v>
      </c>
      <c r="R387" s="568">
        <v>2270</v>
      </c>
      <c r="S387" s="439">
        <v>13069</v>
      </c>
      <c r="T387" s="109"/>
      <c r="U387" s="105"/>
      <c r="V387" s="71" t="s">
        <v>854</v>
      </c>
      <c r="W387" s="568"/>
    </row>
    <row r="388" spans="1:23" s="71" customFormat="1" ht="14.25" customHeight="1">
      <c r="A388" s="569" t="s">
        <v>2687</v>
      </c>
      <c r="B388" s="572" t="s">
        <v>297</v>
      </c>
      <c r="C388" s="573" t="s">
        <v>850</v>
      </c>
      <c r="D388" s="567" t="s">
        <v>1665</v>
      </c>
      <c r="E388" s="71" t="s">
        <v>1366</v>
      </c>
      <c r="F388" s="71" t="s">
        <v>417</v>
      </c>
      <c r="G388" s="71" t="s">
        <v>423</v>
      </c>
      <c r="J388" s="71" t="s">
        <v>43</v>
      </c>
      <c r="K388" s="435" t="s">
        <v>43</v>
      </c>
      <c r="L388" s="435" t="s">
        <v>758</v>
      </c>
      <c r="N388" s="71">
        <v>20.156842000000001</v>
      </c>
      <c r="O388" s="71">
        <v>92.837576999999996</v>
      </c>
      <c r="P388" s="71" t="s">
        <v>759</v>
      </c>
      <c r="R388" s="576"/>
      <c r="S388" s="569"/>
      <c r="T388" s="109"/>
      <c r="U388" s="105"/>
      <c r="V388" s="71" t="s">
        <v>851</v>
      </c>
      <c r="W388" s="568"/>
    </row>
    <row r="389" spans="1:23" s="71" customFormat="1" ht="14.25" customHeight="1">
      <c r="A389" s="569" t="s">
        <v>2687</v>
      </c>
      <c r="B389" s="572" t="s">
        <v>297</v>
      </c>
      <c r="C389" s="573" t="s">
        <v>691</v>
      </c>
      <c r="D389" s="567" t="s">
        <v>1664</v>
      </c>
      <c r="E389" s="71">
        <v>196210</v>
      </c>
      <c r="J389" s="71" t="s">
        <v>796</v>
      </c>
      <c r="K389" s="435" t="s">
        <v>796</v>
      </c>
      <c r="L389" s="435" t="s">
        <v>796</v>
      </c>
      <c r="M389" s="71" t="s">
        <v>296</v>
      </c>
      <c r="N389" s="71">
        <v>20.16259956</v>
      </c>
      <c r="O389" s="71">
        <v>92.834457400000005</v>
      </c>
      <c r="P389" s="71" t="s">
        <v>797</v>
      </c>
      <c r="Q389" s="71" t="s">
        <v>778</v>
      </c>
      <c r="R389" s="576"/>
      <c r="S389" s="569"/>
      <c r="T389" s="109"/>
      <c r="U389" s="105"/>
      <c r="W389" s="568"/>
    </row>
    <row r="390" spans="1:23" s="71" customFormat="1" ht="14.25" customHeight="1">
      <c r="A390" s="569" t="s">
        <v>2687</v>
      </c>
      <c r="B390" s="572" t="s">
        <v>297</v>
      </c>
      <c r="C390" s="573" t="s">
        <v>303</v>
      </c>
      <c r="D390" s="567" t="s">
        <v>1664</v>
      </c>
      <c r="E390" s="435"/>
      <c r="J390" s="71" t="s">
        <v>796</v>
      </c>
      <c r="K390" s="71" t="s">
        <v>796</v>
      </c>
      <c r="L390" s="71" t="s">
        <v>796</v>
      </c>
      <c r="M390" s="71" t="s">
        <v>793</v>
      </c>
      <c r="P390" s="71" t="s">
        <v>797</v>
      </c>
      <c r="Q390" s="71" t="s">
        <v>760</v>
      </c>
      <c r="R390" s="576"/>
      <c r="S390" s="439"/>
      <c r="T390" s="109">
        <v>42811</v>
      </c>
      <c r="U390" s="105"/>
      <c r="W390" s="568"/>
    </row>
    <row r="391" spans="1:23" s="71" customFormat="1" ht="14.25" customHeight="1">
      <c r="A391" s="569" t="s">
        <v>2687</v>
      </c>
      <c r="B391" s="572" t="s">
        <v>297</v>
      </c>
      <c r="C391" s="573" t="s">
        <v>423</v>
      </c>
      <c r="D391" s="567" t="s">
        <v>1664</v>
      </c>
      <c r="E391" s="435">
        <v>196211</v>
      </c>
      <c r="F391" s="561"/>
      <c r="J391" s="71" t="s">
        <v>796</v>
      </c>
      <c r="K391" s="71" t="s">
        <v>796</v>
      </c>
      <c r="L391" s="71" t="s">
        <v>796</v>
      </c>
      <c r="M391" s="71" t="s">
        <v>793</v>
      </c>
      <c r="N391" s="435">
        <v>20.15736008</v>
      </c>
      <c r="O391" s="435">
        <v>92.838653559999997</v>
      </c>
      <c r="P391" s="71" t="s">
        <v>797</v>
      </c>
      <c r="Q391" s="71" t="s">
        <v>778</v>
      </c>
      <c r="R391" s="576"/>
      <c r="S391" s="569"/>
      <c r="T391" s="109"/>
      <c r="U391" s="105"/>
      <c r="V391" s="71" t="s">
        <v>852</v>
      </c>
      <c r="W391" s="568"/>
    </row>
    <row r="392" spans="1:23" s="71" customFormat="1" ht="14.25" customHeight="1">
      <c r="A392" s="569" t="s">
        <v>2687</v>
      </c>
      <c r="B392" s="572" t="s">
        <v>297</v>
      </c>
      <c r="C392" s="573" t="s">
        <v>419</v>
      </c>
      <c r="D392" s="567" t="s">
        <v>1664</v>
      </c>
      <c r="E392" s="435">
        <v>196209</v>
      </c>
      <c r="F392" s="566" t="s">
        <v>417</v>
      </c>
      <c r="J392" s="71" t="s">
        <v>796</v>
      </c>
      <c r="K392" s="71" t="s">
        <v>796</v>
      </c>
      <c r="L392" s="71" t="s">
        <v>796</v>
      </c>
      <c r="M392" s="71" t="s">
        <v>793</v>
      </c>
      <c r="N392" s="435">
        <v>20.147863431600001</v>
      </c>
      <c r="O392" s="435">
        <v>92.846768572000002</v>
      </c>
      <c r="P392" s="71" t="s">
        <v>797</v>
      </c>
      <c r="Q392" s="71" t="s">
        <v>760</v>
      </c>
      <c r="R392" s="576"/>
      <c r="S392" s="439"/>
      <c r="T392" s="109"/>
      <c r="U392" s="105"/>
      <c r="V392" s="71" t="s">
        <v>845</v>
      </c>
      <c r="W392" s="568"/>
    </row>
    <row r="393" spans="1:23" s="71" customFormat="1" ht="14.25" customHeight="1">
      <c r="A393" s="569" t="s">
        <v>2687</v>
      </c>
      <c r="B393" s="572" t="s">
        <v>297</v>
      </c>
      <c r="C393" s="573" t="s">
        <v>853</v>
      </c>
      <c r="D393" s="567" t="s">
        <v>1664</v>
      </c>
      <c r="E393" s="435">
        <v>196211</v>
      </c>
      <c r="F393" s="435"/>
      <c r="G393" s="435"/>
      <c r="H393" s="435"/>
      <c r="I393" s="435"/>
      <c r="J393" s="435" t="s">
        <v>796</v>
      </c>
      <c r="K393" s="435" t="s">
        <v>796</v>
      </c>
      <c r="L393" s="435" t="s">
        <v>796</v>
      </c>
      <c r="M393" s="435" t="s">
        <v>793</v>
      </c>
      <c r="N393" s="435">
        <v>20.15736008</v>
      </c>
      <c r="O393" s="435">
        <v>92.838653559999997</v>
      </c>
      <c r="P393" s="435" t="s">
        <v>797</v>
      </c>
      <c r="Q393" s="435"/>
      <c r="R393" s="576"/>
      <c r="S393" s="569"/>
      <c r="T393" s="452"/>
      <c r="U393" s="440"/>
      <c r="V393" s="435" t="s">
        <v>853</v>
      </c>
      <c r="W393" s="568"/>
    </row>
    <row r="394" spans="1:23" s="71" customFormat="1" ht="14.25" customHeight="1">
      <c r="A394" s="569" t="s">
        <v>2687</v>
      </c>
      <c r="B394" s="572" t="s">
        <v>297</v>
      </c>
      <c r="C394" s="573" t="s">
        <v>448</v>
      </c>
      <c r="D394" s="567" t="s">
        <v>1664</v>
      </c>
      <c r="E394" s="435">
        <v>196167</v>
      </c>
      <c r="F394" s="435" t="s">
        <v>448</v>
      </c>
      <c r="G394" s="435"/>
      <c r="H394" s="435"/>
      <c r="I394" s="435"/>
      <c r="J394" s="71" t="s">
        <v>796</v>
      </c>
      <c r="K394" s="435" t="s">
        <v>796</v>
      </c>
      <c r="L394" s="435" t="s">
        <v>796</v>
      </c>
      <c r="M394" s="71" t="s">
        <v>296</v>
      </c>
      <c r="N394" s="71">
        <v>20.22929001</v>
      </c>
      <c r="O394" s="71">
        <v>92.864669800000001</v>
      </c>
      <c r="P394" s="71" t="s">
        <v>797</v>
      </c>
      <c r="Q394" s="71" t="s">
        <v>760</v>
      </c>
      <c r="R394" s="576"/>
      <c r="S394" s="439"/>
      <c r="T394" s="109">
        <v>42811</v>
      </c>
      <c r="U394" s="105"/>
      <c r="W394" s="568"/>
    </row>
    <row r="395" spans="1:23" s="71" customFormat="1" ht="14.25" customHeight="1">
      <c r="A395" s="569" t="s">
        <v>2687</v>
      </c>
      <c r="B395" s="572" t="s">
        <v>297</v>
      </c>
      <c r="C395" s="573" t="s">
        <v>428</v>
      </c>
      <c r="D395" s="477" t="s">
        <v>2763</v>
      </c>
      <c r="E395" s="435" t="s">
        <v>1372</v>
      </c>
      <c r="F395" s="435" t="s">
        <v>417</v>
      </c>
      <c r="G395" s="435" t="s">
        <v>1752</v>
      </c>
      <c r="H395" s="435" t="s">
        <v>41</v>
      </c>
      <c r="I395" s="435"/>
      <c r="J395" s="71" t="s">
        <v>43</v>
      </c>
      <c r="K395" s="435" t="s">
        <v>43</v>
      </c>
      <c r="L395" s="435" t="s">
        <v>792</v>
      </c>
      <c r="M395" s="435" t="s">
        <v>793</v>
      </c>
      <c r="N395" s="435">
        <v>20.179939999999998</v>
      </c>
      <c r="O395" s="435">
        <v>92.831879000000001</v>
      </c>
      <c r="P395" s="71" t="s">
        <v>759</v>
      </c>
      <c r="Q395" s="435" t="s">
        <v>778</v>
      </c>
      <c r="R395" s="438">
        <v>981</v>
      </c>
      <c r="S395" s="569">
        <v>5936</v>
      </c>
      <c r="T395" s="452"/>
      <c r="U395" s="440"/>
      <c r="V395" s="435" t="s">
        <v>861</v>
      </c>
      <c r="W395" s="568"/>
    </row>
    <row r="396" spans="1:23" s="71" customFormat="1" ht="14.25" customHeight="1">
      <c r="A396" s="439" t="s">
        <v>2687</v>
      </c>
      <c r="B396" s="572" t="s">
        <v>297</v>
      </c>
      <c r="C396" s="573" t="s">
        <v>430</v>
      </c>
      <c r="D396" s="477" t="s">
        <v>2763</v>
      </c>
      <c r="E396" s="435" t="s">
        <v>1375</v>
      </c>
      <c r="H396" s="71" t="s">
        <v>41</v>
      </c>
      <c r="J396" s="71" t="s">
        <v>43</v>
      </c>
      <c r="K396" s="71" t="s">
        <v>43</v>
      </c>
      <c r="L396" s="71" t="s">
        <v>770</v>
      </c>
      <c r="M396" s="71" t="s">
        <v>793</v>
      </c>
      <c r="N396" s="435">
        <v>20.181742</v>
      </c>
      <c r="O396" s="435">
        <v>92.842230000000001</v>
      </c>
      <c r="P396" s="561" t="s">
        <v>771</v>
      </c>
      <c r="R396" s="568">
        <v>496</v>
      </c>
      <c r="S396" s="439">
        <v>2942</v>
      </c>
      <c r="T396" s="109">
        <v>42745</v>
      </c>
      <c r="U396" s="105" t="s">
        <v>855</v>
      </c>
      <c r="W396" s="568"/>
    </row>
    <row r="397" spans="1:23" s="71" customFormat="1" ht="14.25" customHeight="1">
      <c r="A397" s="569" t="s">
        <v>2687</v>
      </c>
      <c r="B397" s="572" t="s">
        <v>297</v>
      </c>
      <c r="C397" s="573" t="s">
        <v>2628</v>
      </c>
      <c r="D397" s="567" t="s">
        <v>1664</v>
      </c>
      <c r="E397" s="435"/>
      <c r="F397" s="435"/>
      <c r="G397" s="435"/>
      <c r="H397" s="435"/>
      <c r="I397" s="435"/>
      <c r="J397" s="435" t="s">
        <v>796</v>
      </c>
      <c r="K397" s="435" t="s">
        <v>796</v>
      </c>
      <c r="L397" s="435" t="s">
        <v>796</v>
      </c>
      <c r="M397" s="435" t="s">
        <v>793</v>
      </c>
      <c r="N397" s="435"/>
      <c r="O397" s="435"/>
      <c r="P397" s="760" t="s">
        <v>797</v>
      </c>
      <c r="Q397" s="435" t="s">
        <v>760</v>
      </c>
      <c r="R397" s="576"/>
      <c r="S397" s="569"/>
      <c r="T397" s="452">
        <v>42811</v>
      </c>
      <c r="U397" s="440"/>
      <c r="V397" s="435"/>
      <c r="W397" s="568"/>
    </row>
    <row r="398" spans="1:23" s="71" customFormat="1" ht="14.25" customHeight="1">
      <c r="A398" s="569" t="s">
        <v>2687</v>
      </c>
      <c r="B398" s="572" t="s">
        <v>297</v>
      </c>
      <c r="C398" s="573" t="s">
        <v>436</v>
      </c>
      <c r="D398" s="567" t="s">
        <v>1664</v>
      </c>
      <c r="E398" s="435">
        <v>196147</v>
      </c>
      <c r="F398" s="435"/>
      <c r="G398" s="435"/>
      <c r="H398" s="435"/>
      <c r="I398" s="435"/>
      <c r="J398" s="435" t="s">
        <v>796</v>
      </c>
      <c r="K398" s="435" t="s">
        <v>796</v>
      </c>
      <c r="L398" s="435" t="s">
        <v>796</v>
      </c>
      <c r="M398" s="435" t="s">
        <v>793</v>
      </c>
      <c r="N398" s="435">
        <v>20.193460460000001</v>
      </c>
      <c r="O398" s="435">
        <v>92.867782590000004</v>
      </c>
      <c r="P398" s="435" t="s">
        <v>797</v>
      </c>
      <c r="Q398" s="435" t="s">
        <v>760</v>
      </c>
      <c r="R398" s="576"/>
      <c r="S398" s="569"/>
      <c r="T398" s="452">
        <v>42811</v>
      </c>
      <c r="U398" s="440"/>
      <c r="V398" s="435"/>
      <c r="W398" s="568"/>
    </row>
    <row r="399" spans="1:23" s="71" customFormat="1" ht="14.25" customHeight="1">
      <c r="A399" s="569" t="s">
        <v>2687</v>
      </c>
      <c r="B399" s="572" t="s">
        <v>297</v>
      </c>
      <c r="C399" s="573" t="s">
        <v>1144</v>
      </c>
      <c r="D399" s="567" t="s">
        <v>1664</v>
      </c>
      <c r="E399" s="435"/>
      <c r="F399" s="435"/>
      <c r="G399" s="435"/>
      <c r="H399" s="435"/>
      <c r="I399" s="435"/>
      <c r="J399" s="71" t="s">
        <v>796</v>
      </c>
      <c r="K399" s="435" t="s">
        <v>796</v>
      </c>
      <c r="L399" s="435" t="s">
        <v>796</v>
      </c>
      <c r="M399" s="435" t="s">
        <v>793</v>
      </c>
      <c r="N399" s="435"/>
      <c r="O399" s="435"/>
      <c r="P399" s="71" t="s">
        <v>797</v>
      </c>
      <c r="Q399" s="435" t="s">
        <v>778</v>
      </c>
      <c r="R399" s="576"/>
      <c r="S399" s="569"/>
      <c r="T399" s="452"/>
      <c r="U399" s="440"/>
      <c r="V399" s="435" t="s">
        <v>1144</v>
      </c>
      <c r="W399" s="568"/>
    </row>
    <row r="400" spans="1:23" s="71" customFormat="1" ht="14.25" customHeight="1">
      <c r="A400" s="569" t="s">
        <v>2687</v>
      </c>
      <c r="B400" s="572" t="s">
        <v>297</v>
      </c>
      <c r="C400" s="573" t="s">
        <v>2250</v>
      </c>
      <c r="D400" s="567"/>
      <c r="E400" s="435">
        <v>196193</v>
      </c>
      <c r="F400" s="561" t="s">
        <v>2250</v>
      </c>
      <c r="G400" s="435"/>
      <c r="H400" s="435"/>
      <c r="I400" s="435"/>
      <c r="J400" s="435" t="s">
        <v>796</v>
      </c>
      <c r="K400" s="435" t="s">
        <v>796</v>
      </c>
      <c r="L400" s="435" t="s">
        <v>796</v>
      </c>
      <c r="M400" s="435"/>
      <c r="N400" s="435">
        <v>20.1663494110107</v>
      </c>
      <c r="O400" s="435">
        <v>92.871902465820298</v>
      </c>
      <c r="P400" s="435" t="s">
        <v>797</v>
      </c>
      <c r="Q400" s="435"/>
      <c r="R400" s="576"/>
      <c r="S400" s="569"/>
      <c r="T400" s="452"/>
      <c r="U400" s="440"/>
      <c r="V400" s="435"/>
      <c r="W400" s="568"/>
    </row>
    <row r="401" spans="1:23" s="71" customFormat="1" ht="14.25" customHeight="1">
      <c r="A401" s="569" t="s">
        <v>2687</v>
      </c>
      <c r="B401" s="572" t="s">
        <v>297</v>
      </c>
      <c r="C401" s="573" t="s">
        <v>876</v>
      </c>
      <c r="D401" s="567" t="s">
        <v>1664</v>
      </c>
      <c r="E401" s="561">
        <v>196129</v>
      </c>
      <c r="F401" s="561" t="s">
        <v>876</v>
      </c>
      <c r="G401" s="561"/>
      <c r="H401" s="561"/>
      <c r="I401" s="561"/>
      <c r="J401" s="561" t="s">
        <v>877</v>
      </c>
      <c r="K401" s="71" t="s">
        <v>796</v>
      </c>
      <c r="L401" s="71" t="s">
        <v>877</v>
      </c>
      <c r="M401" s="71" t="s">
        <v>296</v>
      </c>
      <c r="N401" s="561">
        <v>20.226730346679702</v>
      </c>
      <c r="O401" s="561">
        <v>92.836929321289105</v>
      </c>
      <c r="P401" s="71" t="s">
        <v>797</v>
      </c>
      <c r="Q401" s="561" t="s">
        <v>800</v>
      </c>
      <c r="R401" s="576"/>
      <c r="S401" s="569"/>
      <c r="T401" s="588">
        <v>42926</v>
      </c>
      <c r="U401" s="570"/>
      <c r="V401" s="561" t="s">
        <v>876</v>
      </c>
      <c r="W401" s="568"/>
    </row>
    <row r="402" spans="1:23" s="71" customFormat="1" ht="14.25" customHeight="1">
      <c r="A402" s="569" t="s">
        <v>2687</v>
      </c>
      <c r="B402" s="566" t="s">
        <v>297</v>
      </c>
      <c r="C402" s="566" t="s">
        <v>2613</v>
      </c>
      <c r="D402" s="477"/>
      <c r="E402" s="561">
        <v>196136</v>
      </c>
      <c r="F402" s="435" t="s">
        <v>2739</v>
      </c>
      <c r="G402" s="435"/>
      <c r="H402" s="435"/>
      <c r="I402" s="435"/>
      <c r="J402" s="435" t="s">
        <v>796</v>
      </c>
      <c r="K402" s="435" t="s">
        <v>796</v>
      </c>
      <c r="L402" s="435" t="s">
        <v>796</v>
      </c>
      <c r="M402" s="435"/>
      <c r="N402" s="435">
        <v>20.1899604797363</v>
      </c>
      <c r="O402" s="435">
        <v>92.895767211914105</v>
      </c>
      <c r="P402" s="435" t="s">
        <v>797</v>
      </c>
      <c r="Q402" s="435"/>
      <c r="R402" s="568"/>
      <c r="S402" s="439"/>
      <c r="T402" s="452"/>
      <c r="U402" s="440"/>
      <c r="V402" s="435"/>
      <c r="W402" s="568"/>
    </row>
    <row r="403" spans="1:23" s="71" customFormat="1" ht="14.25" customHeight="1">
      <c r="A403" s="569" t="s">
        <v>2687</v>
      </c>
      <c r="B403" s="572" t="s">
        <v>297</v>
      </c>
      <c r="C403" s="573" t="s">
        <v>2027</v>
      </c>
      <c r="D403" s="567"/>
      <c r="E403" s="561">
        <v>196181</v>
      </c>
      <c r="F403" s="435" t="s">
        <v>2027</v>
      </c>
      <c r="G403" s="435"/>
      <c r="H403" s="435"/>
      <c r="I403" s="435"/>
      <c r="J403" s="435" t="s">
        <v>796</v>
      </c>
      <c r="K403" s="435" t="s">
        <v>796</v>
      </c>
      <c r="L403" s="435" t="s">
        <v>796</v>
      </c>
      <c r="M403" s="435"/>
      <c r="N403" s="435">
        <v>20.227340699999999</v>
      </c>
      <c r="O403" s="435">
        <v>92.893341059999997</v>
      </c>
      <c r="P403" s="435" t="s">
        <v>797</v>
      </c>
      <c r="Q403" s="435"/>
      <c r="R403" s="576"/>
      <c r="S403" s="439"/>
      <c r="T403" s="452">
        <v>43297</v>
      </c>
      <c r="U403" s="440"/>
      <c r="V403" s="435"/>
      <c r="W403" s="568"/>
    </row>
    <row r="404" spans="1:23" s="71" customFormat="1" ht="14.25" customHeight="1">
      <c r="A404" s="569" t="s">
        <v>2687</v>
      </c>
      <c r="B404" s="572" t="s">
        <v>297</v>
      </c>
      <c r="C404" s="573" t="s">
        <v>2022</v>
      </c>
      <c r="D404" s="567"/>
      <c r="E404" s="561">
        <v>196161</v>
      </c>
      <c r="F404" s="435" t="s">
        <v>2023</v>
      </c>
      <c r="G404" s="435"/>
      <c r="H404" s="435"/>
      <c r="I404" s="435"/>
      <c r="J404" s="435" t="s">
        <v>796</v>
      </c>
      <c r="K404" s="435" t="s">
        <v>796</v>
      </c>
      <c r="L404" s="435" t="s">
        <v>796</v>
      </c>
      <c r="M404" s="435" t="s">
        <v>296</v>
      </c>
      <c r="N404" s="435">
        <v>20.257850650000002</v>
      </c>
      <c r="O404" s="435">
        <v>92.811126709999996</v>
      </c>
      <c r="P404" s="435" t="s">
        <v>797</v>
      </c>
      <c r="Q404" s="435"/>
      <c r="R404" s="576"/>
      <c r="S404" s="569"/>
      <c r="T404" s="452">
        <v>43294</v>
      </c>
      <c r="U404" s="440"/>
      <c r="V404" s="435"/>
      <c r="W404" s="568"/>
    </row>
    <row r="405" spans="1:23" s="71" customFormat="1" ht="14.25" customHeight="1">
      <c r="A405" s="569" t="s">
        <v>2687</v>
      </c>
      <c r="B405" s="572" t="s">
        <v>297</v>
      </c>
      <c r="C405" s="573" t="s">
        <v>2021</v>
      </c>
      <c r="D405" s="567"/>
      <c r="E405" s="561">
        <v>196168</v>
      </c>
      <c r="F405" s="561" t="s">
        <v>448</v>
      </c>
      <c r="G405" s="435"/>
      <c r="H405" s="435"/>
      <c r="I405" s="435"/>
      <c r="J405" s="435" t="s">
        <v>796</v>
      </c>
      <c r="K405" s="561" t="s">
        <v>796</v>
      </c>
      <c r="L405" s="561" t="s">
        <v>796</v>
      </c>
      <c r="M405" s="435" t="s">
        <v>1917</v>
      </c>
      <c r="N405" s="435">
        <v>20.223510739999998</v>
      </c>
      <c r="O405" s="561">
        <v>92.86984253</v>
      </c>
      <c r="P405" s="435" t="s">
        <v>797</v>
      </c>
      <c r="Q405" s="435"/>
      <c r="R405" s="576"/>
      <c r="S405" s="569"/>
      <c r="T405" s="452">
        <v>43294</v>
      </c>
      <c r="U405" s="440"/>
      <c r="V405" s="435"/>
      <c r="W405" s="568"/>
    </row>
    <row r="406" spans="1:23" s="71" customFormat="1" ht="14.25" customHeight="1">
      <c r="A406" s="569" t="s">
        <v>2687</v>
      </c>
      <c r="B406" s="566" t="s">
        <v>297</v>
      </c>
      <c r="C406" s="566" t="s">
        <v>671</v>
      </c>
      <c r="D406" s="477"/>
      <c r="E406" s="566">
        <v>196208</v>
      </c>
      <c r="F406" s="566" t="s">
        <v>671</v>
      </c>
      <c r="J406" s="71" t="s">
        <v>796</v>
      </c>
      <c r="K406" s="566" t="s">
        <v>796</v>
      </c>
      <c r="L406" s="566" t="s">
        <v>796</v>
      </c>
      <c r="N406" s="71">
        <v>20.128850936889599</v>
      </c>
      <c r="O406" s="566">
        <v>92.872497558593807</v>
      </c>
      <c r="P406" s="71" t="s">
        <v>797</v>
      </c>
      <c r="R406" s="568"/>
      <c r="S406" s="568"/>
      <c r="T406" s="109"/>
      <c r="U406" s="105"/>
      <c r="W406" s="568"/>
    </row>
    <row r="407" spans="1:23" s="71" customFormat="1" ht="14.25" customHeight="1">
      <c r="A407" s="569" t="s">
        <v>2687</v>
      </c>
      <c r="B407" s="572" t="s">
        <v>297</v>
      </c>
      <c r="C407" s="573" t="s">
        <v>1886</v>
      </c>
      <c r="D407" s="567" t="s">
        <v>1884</v>
      </c>
      <c r="J407" s="71" t="s">
        <v>796</v>
      </c>
      <c r="K407" s="71" t="s">
        <v>796</v>
      </c>
      <c r="L407" s="71" t="s">
        <v>796</v>
      </c>
      <c r="P407" s="71" t="s">
        <v>797</v>
      </c>
      <c r="R407" s="576"/>
      <c r="S407" s="439"/>
      <c r="T407" s="109"/>
      <c r="U407" s="105"/>
      <c r="W407" s="568"/>
    </row>
    <row r="408" spans="1:23" s="71" customFormat="1" ht="14.25" customHeight="1">
      <c r="A408" s="569" t="s">
        <v>2687</v>
      </c>
      <c r="B408" s="572" t="s">
        <v>297</v>
      </c>
      <c r="C408" s="573" t="s">
        <v>440</v>
      </c>
      <c r="D408" s="567" t="s">
        <v>1664</v>
      </c>
      <c r="E408" s="435">
        <v>196159</v>
      </c>
      <c r="F408" s="435"/>
      <c r="G408" s="435"/>
      <c r="H408" s="435"/>
      <c r="I408" s="435"/>
      <c r="J408" s="435" t="s">
        <v>796</v>
      </c>
      <c r="K408" s="435" t="s">
        <v>796</v>
      </c>
      <c r="L408" s="435" t="s">
        <v>796</v>
      </c>
      <c r="M408" s="435" t="s">
        <v>296</v>
      </c>
      <c r="N408" s="435">
        <v>20.2023601531982</v>
      </c>
      <c r="O408" s="435">
        <v>92.812782287597699</v>
      </c>
      <c r="P408" s="435" t="s">
        <v>797</v>
      </c>
      <c r="Q408" s="435" t="s">
        <v>778</v>
      </c>
      <c r="R408" s="576"/>
      <c r="S408" s="569"/>
      <c r="T408" s="452"/>
      <c r="U408" s="440"/>
      <c r="V408" s="435" t="s">
        <v>440</v>
      </c>
      <c r="W408" s="568"/>
    </row>
    <row r="409" spans="1:23" s="71" customFormat="1" ht="14.25" customHeight="1">
      <c r="A409" s="435" t="s">
        <v>37</v>
      </c>
      <c r="B409" s="435" t="s">
        <v>187</v>
      </c>
      <c r="C409" s="435" t="s">
        <v>1084</v>
      </c>
      <c r="D409" s="477" t="s">
        <v>1664</v>
      </c>
      <c r="E409" s="435"/>
      <c r="F409" s="435"/>
      <c r="G409" s="435"/>
      <c r="H409" s="435"/>
      <c r="I409" s="435"/>
      <c r="J409" s="435" t="s">
        <v>1463</v>
      </c>
      <c r="K409" s="435" t="s">
        <v>43</v>
      </c>
      <c r="L409" s="435" t="s">
        <v>1085</v>
      </c>
      <c r="M409" s="435" t="s">
        <v>44</v>
      </c>
      <c r="N409" s="435"/>
      <c r="O409" s="435"/>
      <c r="P409" s="435" t="s">
        <v>759</v>
      </c>
      <c r="Q409" s="435"/>
      <c r="R409" s="438"/>
      <c r="S409" s="569"/>
      <c r="T409" s="452"/>
      <c r="U409" s="440"/>
      <c r="V409" s="435" t="s">
        <v>1084</v>
      </c>
      <c r="W409" s="435"/>
    </row>
    <row r="410" spans="1:23" s="71" customFormat="1" ht="14.25" customHeight="1">
      <c r="A410" s="435" t="s">
        <v>37</v>
      </c>
      <c r="B410" s="435" t="s">
        <v>187</v>
      </c>
      <c r="C410" s="435" t="s">
        <v>269</v>
      </c>
      <c r="D410" s="477" t="s">
        <v>2869</v>
      </c>
      <c r="E410" s="435" t="s">
        <v>1496</v>
      </c>
      <c r="F410" s="435" t="s">
        <v>1794</v>
      </c>
      <c r="G410" s="435" t="s">
        <v>1794</v>
      </c>
      <c r="H410" s="435" t="s">
        <v>41</v>
      </c>
      <c r="I410" s="435" t="s">
        <v>42</v>
      </c>
      <c r="J410" s="435" t="s">
        <v>43</v>
      </c>
      <c r="K410" s="435" t="s">
        <v>43</v>
      </c>
      <c r="L410" s="435" t="s">
        <v>43</v>
      </c>
      <c r="M410" s="435" t="s">
        <v>44</v>
      </c>
      <c r="N410" s="435">
        <v>24.260719999999999</v>
      </c>
      <c r="O410" s="435">
        <v>97.238829999999993</v>
      </c>
      <c r="P410" s="435" t="s">
        <v>759</v>
      </c>
      <c r="Q410" s="435" t="s">
        <v>778</v>
      </c>
      <c r="R410" s="438">
        <v>218</v>
      </c>
      <c r="S410" s="438">
        <v>1067</v>
      </c>
      <c r="T410" s="452"/>
      <c r="U410" s="440"/>
      <c r="V410" s="435" t="s">
        <v>269</v>
      </c>
      <c r="W410" s="435"/>
    </row>
    <row r="411" spans="1:23" s="71" customFormat="1" ht="14.25" customHeight="1">
      <c r="A411" s="435" t="s">
        <v>37</v>
      </c>
      <c r="B411" s="435" t="s">
        <v>187</v>
      </c>
      <c r="C411" s="71" t="s">
        <v>188</v>
      </c>
      <c r="D411" s="477" t="s">
        <v>2869</v>
      </c>
      <c r="E411" s="71" t="s">
        <v>1495</v>
      </c>
      <c r="F411" s="71" t="s">
        <v>1793</v>
      </c>
      <c r="G411" s="71" t="s">
        <v>1793</v>
      </c>
      <c r="H411" s="71" t="s">
        <v>41</v>
      </c>
      <c r="I411" s="71" t="s">
        <v>133</v>
      </c>
      <c r="J411" s="71" t="s">
        <v>43</v>
      </c>
      <c r="K411" s="71" t="s">
        <v>43</v>
      </c>
      <c r="L411" s="71" t="s">
        <v>43</v>
      </c>
      <c r="M411" s="71" t="s">
        <v>44</v>
      </c>
      <c r="N411" s="71">
        <v>24.260466999999998</v>
      </c>
      <c r="O411" s="71">
        <v>97.252650000000003</v>
      </c>
      <c r="P411" s="71" t="s">
        <v>759</v>
      </c>
      <c r="Q411" s="71" t="s">
        <v>778</v>
      </c>
      <c r="R411" s="103">
        <v>12</v>
      </c>
      <c r="S411" s="568">
        <v>52</v>
      </c>
      <c r="T411" s="109"/>
      <c r="U411" s="105"/>
      <c r="V411" s="71" t="s">
        <v>188</v>
      </c>
    </row>
    <row r="412" spans="1:23" s="71" customFormat="1" ht="14.25" customHeight="1">
      <c r="A412" s="435" t="s">
        <v>37</v>
      </c>
      <c r="B412" s="561" t="s">
        <v>187</v>
      </c>
      <c r="C412" s="561" t="s">
        <v>1092</v>
      </c>
      <c r="D412" s="477" t="s">
        <v>1664</v>
      </c>
      <c r="J412" s="71" t="s">
        <v>796</v>
      </c>
      <c r="K412" s="71" t="s">
        <v>796</v>
      </c>
      <c r="L412" s="71" t="s">
        <v>796</v>
      </c>
      <c r="M412" s="71" t="s">
        <v>44</v>
      </c>
      <c r="P412" s="435" t="s">
        <v>797</v>
      </c>
      <c r="R412" s="438"/>
      <c r="S412" s="569"/>
      <c r="T412" s="109"/>
      <c r="U412" s="105"/>
    </row>
    <row r="413" spans="1:23" s="71" customFormat="1" ht="14.25" customHeight="1">
      <c r="A413" s="435" t="s">
        <v>37</v>
      </c>
      <c r="B413" s="435" t="s">
        <v>187</v>
      </c>
      <c r="C413" s="71" t="s">
        <v>1007</v>
      </c>
      <c r="D413" s="477" t="s">
        <v>2869</v>
      </c>
      <c r="E413" s="71" t="s">
        <v>1499</v>
      </c>
      <c r="I413" s="71" t="s">
        <v>2140</v>
      </c>
      <c r="J413" s="71" t="s">
        <v>43</v>
      </c>
      <c r="K413" s="71" t="s">
        <v>43</v>
      </c>
      <c r="L413" s="71" t="s">
        <v>770</v>
      </c>
      <c r="M413" s="71" t="s">
        <v>44</v>
      </c>
      <c r="N413" s="71">
        <v>24.263786</v>
      </c>
      <c r="O413" s="71">
        <v>97.228835000000004</v>
      </c>
      <c r="P413" s="71" t="s">
        <v>771</v>
      </c>
      <c r="Q413" s="71" t="s">
        <v>760</v>
      </c>
      <c r="R413" s="438">
        <v>181</v>
      </c>
      <c r="S413" s="568">
        <v>906</v>
      </c>
      <c r="T413" s="109"/>
      <c r="U413" s="105" t="s">
        <v>1008</v>
      </c>
      <c r="V413" s="71" t="s">
        <v>770</v>
      </c>
      <c r="W413" s="561"/>
    </row>
    <row r="414" spans="1:23" s="71" customFormat="1" ht="14.25" customHeight="1">
      <c r="A414" s="435" t="s">
        <v>37</v>
      </c>
      <c r="B414" s="435" t="s">
        <v>187</v>
      </c>
      <c r="C414" s="435" t="s">
        <v>766</v>
      </c>
      <c r="D414" s="477" t="s">
        <v>1665</v>
      </c>
      <c r="E414" s="71" t="s">
        <v>1326</v>
      </c>
      <c r="F414" s="71">
        <v>0</v>
      </c>
      <c r="G414" s="71">
        <v>0</v>
      </c>
      <c r="I414" s="71">
        <v>0</v>
      </c>
      <c r="J414" s="71" t="s">
        <v>43</v>
      </c>
      <c r="K414" s="71" t="s">
        <v>43</v>
      </c>
      <c r="L414" s="71" t="s">
        <v>758</v>
      </c>
      <c r="M414" s="71" t="s">
        <v>44</v>
      </c>
      <c r="P414" s="71" t="s">
        <v>759</v>
      </c>
      <c r="R414" s="438"/>
      <c r="S414" s="569"/>
      <c r="T414" s="109"/>
      <c r="U414" s="105"/>
      <c r="V414" s="71" t="s">
        <v>766</v>
      </c>
      <c r="W414" s="435" t="s">
        <v>2141</v>
      </c>
    </row>
    <row r="415" spans="1:23" s="71" customFormat="1" ht="14.25" customHeight="1">
      <c r="A415" s="435" t="s">
        <v>37</v>
      </c>
      <c r="B415" s="435" t="s">
        <v>187</v>
      </c>
      <c r="C415" s="71" t="s">
        <v>190</v>
      </c>
      <c r="D415" s="477" t="s">
        <v>2869</v>
      </c>
      <c r="E415" s="71" t="s">
        <v>1487</v>
      </c>
      <c r="F415" s="71" t="s">
        <v>1791</v>
      </c>
      <c r="G415" s="71" t="s">
        <v>1792</v>
      </c>
      <c r="H415" s="71" t="s">
        <v>41</v>
      </c>
      <c r="I415" s="71" t="s">
        <v>133</v>
      </c>
      <c r="J415" s="71" t="s">
        <v>43</v>
      </c>
      <c r="K415" s="71" t="s">
        <v>43</v>
      </c>
      <c r="L415" s="71" t="s">
        <v>43</v>
      </c>
      <c r="M415" s="71" t="s">
        <v>44</v>
      </c>
      <c r="N415" s="71">
        <v>24.24766</v>
      </c>
      <c r="O415" s="71">
        <v>97.236919999999998</v>
      </c>
      <c r="P415" s="71" t="s">
        <v>759</v>
      </c>
      <c r="Q415" s="71" t="s">
        <v>778</v>
      </c>
      <c r="R415" s="103">
        <v>40</v>
      </c>
      <c r="S415" s="568">
        <v>232</v>
      </c>
      <c r="T415" s="109"/>
      <c r="U415" s="105"/>
      <c r="V415" s="71" t="s">
        <v>190</v>
      </c>
      <c r="W415" s="561"/>
    </row>
    <row r="416" spans="1:23" s="71" customFormat="1" ht="14.25" customHeight="1">
      <c r="A416" s="435" t="s">
        <v>37</v>
      </c>
      <c r="B416" s="435" t="s">
        <v>187</v>
      </c>
      <c r="C416" s="71" t="s">
        <v>1006</v>
      </c>
      <c r="D416" s="477" t="s">
        <v>1665</v>
      </c>
      <c r="E416" s="71" t="s">
        <v>1497</v>
      </c>
      <c r="F416" s="71">
        <v>0</v>
      </c>
      <c r="G416" s="71">
        <v>0</v>
      </c>
      <c r="I416" s="71">
        <v>0</v>
      </c>
      <c r="J416" s="71" t="s">
        <v>43</v>
      </c>
      <c r="K416" s="71" t="s">
        <v>43</v>
      </c>
      <c r="L416" s="71" t="s">
        <v>758</v>
      </c>
      <c r="M416" s="71" t="s">
        <v>44</v>
      </c>
      <c r="N416" s="71">
        <v>24.262418019999998</v>
      </c>
      <c r="O416" s="71">
        <v>97.221556500000005</v>
      </c>
      <c r="P416" s="71" t="s">
        <v>759</v>
      </c>
      <c r="R416" s="438"/>
      <c r="S416" s="569"/>
      <c r="T416" s="109"/>
      <c r="U416" s="105"/>
      <c r="V416" s="71" t="s">
        <v>1006</v>
      </c>
      <c r="W416" s="71" t="s">
        <v>2142</v>
      </c>
    </row>
    <row r="417" spans="1:23" s="71" customFormat="1" ht="14.25" customHeight="1">
      <c r="A417" s="561" t="s">
        <v>37</v>
      </c>
      <c r="B417" s="435" t="s">
        <v>187</v>
      </c>
      <c r="C417" s="561" t="s">
        <v>192</v>
      </c>
      <c r="D417" s="477" t="s">
        <v>2869</v>
      </c>
      <c r="E417" s="71" t="s">
        <v>1498</v>
      </c>
      <c r="F417" s="71" t="s">
        <v>1794</v>
      </c>
      <c r="G417" s="71" t="s">
        <v>1794</v>
      </c>
      <c r="H417" s="71" t="s">
        <v>41</v>
      </c>
      <c r="I417" s="71" t="s">
        <v>234</v>
      </c>
      <c r="J417" s="71" t="s">
        <v>43</v>
      </c>
      <c r="K417" s="71" t="s">
        <v>43</v>
      </c>
      <c r="L417" s="71" t="s">
        <v>43</v>
      </c>
      <c r="M417" s="71" t="s">
        <v>44</v>
      </c>
      <c r="N417" s="71">
        <v>24.263174360000001</v>
      </c>
      <c r="O417" s="71">
        <v>97.240183459999997</v>
      </c>
      <c r="P417" s="71" t="s">
        <v>759</v>
      </c>
      <c r="Q417" s="71" t="s">
        <v>778</v>
      </c>
      <c r="R417" s="568">
        <v>139</v>
      </c>
      <c r="S417" s="568">
        <v>777</v>
      </c>
      <c r="T417" s="109"/>
      <c r="U417" s="105"/>
      <c r="V417" s="71" t="s">
        <v>192</v>
      </c>
      <c r="W417" s="435"/>
    </row>
    <row r="418" spans="1:23" s="71" customFormat="1" ht="14.25" customHeight="1">
      <c r="A418" s="569" t="s">
        <v>37</v>
      </c>
      <c r="B418" s="435" t="s">
        <v>187</v>
      </c>
      <c r="C418" s="428" t="s">
        <v>2030</v>
      </c>
      <c r="D418" s="567"/>
      <c r="E418" s="435"/>
      <c r="F418" s="435"/>
      <c r="G418" s="435"/>
      <c r="H418" s="435"/>
      <c r="I418" s="435"/>
      <c r="J418" s="435" t="s">
        <v>1463</v>
      </c>
      <c r="K418" s="435" t="s">
        <v>43</v>
      </c>
      <c r="L418" s="435" t="s">
        <v>1085</v>
      </c>
      <c r="M418" s="435" t="s">
        <v>44</v>
      </c>
      <c r="N418" s="435"/>
      <c r="O418" s="435"/>
      <c r="P418" s="435" t="s">
        <v>1989</v>
      </c>
      <c r="Q418" s="435"/>
      <c r="R418" s="576"/>
      <c r="S418" s="569"/>
      <c r="T418" s="452">
        <v>43298</v>
      </c>
      <c r="U418" s="440"/>
      <c r="V418" s="435"/>
      <c r="W418" s="435"/>
    </row>
    <row r="419" spans="1:23" s="71" customFormat="1" ht="14.25" customHeight="1">
      <c r="A419" s="435" t="s">
        <v>37</v>
      </c>
      <c r="B419" s="435" t="s">
        <v>187</v>
      </c>
      <c r="C419" s="435" t="s">
        <v>193</v>
      </c>
      <c r="D419" s="477" t="s">
        <v>2869</v>
      </c>
      <c r="E419" s="435" t="s">
        <v>1493</v>
      </c>
      <c r="F419" s="435" t="s">
        <v>1791</v>
      </c>
      <c r="G419" s="435" t="s">
        <v>1792</v>
      </c>
      <c r="H419" s="435" t="s">
        <v>41</v>
      </c>
      <c r="I419" s="435" t="s">
        <v>234</v>
      </c>
      <c r="J419" s="435" t="s">
        <v>43</v>
      </c>
      <c r="K419" s="435" t="s">
        <v>43</v>
      </c>
      <c r="L419" s="435" t="s">
        <v>43</v>
      </c>
      <c r="M419" s="435" t="s">
        <v>44</v>
      </c>
      <c r="N419" s="435">
        <v>24.253067000000001</v>
      </c>
      <c r="O419" s="435">
        <v>97.234200000000001</v>
      </c>
      <c r="P419" s="435" t="s">
        <v>759</v>
      </c>
      <c r="Q419" s="435" t="s">
        <v>778</v>
      </c>
      <c r="R419" s="438">
        <v>14</v>
      </c>
      <c r="S419" s="568">
        <v>55</v>
      </c>
      <c r="T419" s="452"/>
      <c r="U419" s="440"/>
      <c r="V419" s="435" t="s">
        <v>193</v>
      </c>
      <c r="W419" s="561"/>
    </row>
    <row r="420" spans="1:23" s="71" customFormat="1" ht="14.25" customHeight="1">
      <c r="A420" s="435" t="s">
        <v>37</v>
      </c>
      <c r="B420" s="435" t="s">
        <v>187</v>
      </c>
      <c r="C420" s="71" t="s">
        <v>195</v>
      </c>
      <c r="D420" s="477" t="s">
        <v>2869</v>
      </c>
      <c r="E420" s="71" t="s">
        <v>1503</v>
      </c>
      <c r="F420" s="71" t="s">
        <v>1798</v>
      </c>
      <c r="G420" s="71" t="s">
        <v>1798</v>
      </c>
      <c r="H420" s="71" t="s">
        <v>41</v>
      </c>
      <c r="I420" s="71" t="s">
        <v>42</v>
      </c>
      <c r="J420" s="71" t="s">
        <v>43</v>
      </c>
      <c r="K420" s="71" t="s">
        <v>43</v>
      </c>
      <c r="L420" s="71" t="s">
        <v>758</v>
      </c>
      <c r="M420" s="71" t="s">
        <v>44</v>
      </c>
      <c r="N420" s="71">
        <v>24.32638</v>
      </c>
      <c r="O420" s="71">
        <v>97.315860000000001</v>
      </c>
      <c r="P420" s="71" t="s">
        <v>759</v>
      </c>
      <c r="Q420" s="71" t="s">
        <v>778</v>
      </c>
      <c r="R420" s="103"/>
      <c r="S420" s="568"/>
      <c r="T420" s="109"/>
      <c r="U420" s="105"/>
      <c r="V420" s="71" t="s">
        <v>195</v>
      </c>
    </row>
    <row r="421" spans="1:23" s="71" customFormat="1" ht="14.25" customHeight="1">
      <c r="A421" s="435" t="s">
        <v>37</v>
      </c>
      <c r="B421" s="561" t="s">
        <v>187</v>
      </c>
      <c r="C421" s="561" t="s">
        <v>271</v>
      </c>
      <c r="D421" s="477" t="s">
        <v>2869</v>
      </c>
      <c r="E421" s="71" t="s">
        <v>1484</v>
      </c>
      <c r="F421" s="561" t="s">
        <v>1788</v>
      </c>
      <c r="G421" s="71" t="s">
        <v>1789</v>
      </c>
      <c r="H421" s="71" t="s">
        <v>41</v>
      </c>
      <c r="I421" s="71" t="s">
        <v>133</v>
      </c>
      <c r="J421" s="71" t="s">
        <v>43</v>
      </c>
      <c r="K421" s="71" t="s">
        <v>43</v>
      </c>
      <c r="L421" s="71" t="s">
        <v>43</v>
      </c>
      <c r="M421" s="71" t="s">
        <v>44</v>
      </c>
      <c r="N421" s="71">
        <v>24.222349999999999</v>
      </c>
      <c r="O421" s="71">
        <v>97.252650000000003</v>
      </c>
      <c r="P421" s="71" t="s">
        <v>759</v>
      </c>
      <c r="Q421" s="71" t="s">
        <v>778</v>
      </c>
      <c r="R421" s="568">
        <v>147</v>
      </c>
      <c r="S421" s="568">
        <v>783</v>
      </c>
      <c r="T421" s="109"/>
      <c r="U421" s="105"/>
      <c r="V421" s="71" t="s">
        <v>271</v>
      </c>
      <c r="W421" s="561"/>
    </row>
    <row r="422" spans="1:23" s="71" customFormat="1" ht="14.25" customHeight="1">
      <c r="A422" s="561" t="s">
        <v>37</v>
      </c>
      <c r="B422" s="566" t="s">
        <v>187</v>
      </c>
      <c r="C422" s="566" t="s">
        <v>272</v>
      </c>
      <c r="D422" s="477" t="s">
        <v>2869</v>
      </c>
      <c r="E422" s="561" t="s">
        <v>1500</v>
      </c>
      <c r="F422" s="566" t="s">
        <v>1791</v>
      </c>
      <c r="G422" s="561" t="s">
        <v>1795</v>
      </c>
      <c r="H422" s="561" t="s">
        <v>41</v>
      </c>
      <c r="I422" s="561" t="s">
        <v>133</v>
      </c>
      <c r="J422" s="561" t="s">
        <v>43</v>
      </c>
      <c r="K422" s="71" t="s">
        <v>43</v>
      </c>
      <c r="L422" s="71" t="s">
        <v>43</v>
      </c>
      <c r="M422" s="435" t="s">
        <v>44</v>
      </c>
      <c r="N422" s="561">
        <v>24.26829283</v>
      </c>
      <c r="O422" s="561">
        <v>97.229116809999994</v>
      </c>
      <c r="P422" s="71" t="s">
        <v>759</v>
      </c>
      <c r="Q422" s="561" t="s">
        <v>778</v>
      </c>
      <c r="R422" s="572">
        <v>641</v>
      </c>
      <c r="S422" s="572">
        <v>4027</v>
      </c>
      <c r="T422" s="588"/>
      <c r="U422" s="570"/>
      <c r="V422" s="561" t="s">
        <v>272</v>
      </c>
      <c r="W422" s="429" t="s">
        <v>2270</v>
      </c>
    </row>
    <row r="423" spans="1:23" s="71" customFormat="1" ht="14.25" customHeight="1">
      <c r="A423" s="573" t="s">
        <v>37</v>
      </c>
      <c r="B423" s="572" t="s">
        <v>187</v>
      </c>
      <c r="C423" s="578" t="s">
        <v>1657</v>
      </c>
      <c r="D423" s="477" t="s">
        <v>1664</v>
      </c>
      <c r="E423" s="566"/>
      <c r="F423" s="566"/>
      <c r="G423" s="566"/>
      <c r="H423" s="566" t="s">
        <v>128</v>
      </c>
      <c r="I423" s="566"/>
      <c r="J423" s="566" t="s">
        <v>1463</v>
      </c>
      <c r="K423" s="435" t="s">
        <v>43</v>
      </c>
      <c r="L423" s="435" t="s">
        <v>43</v>
      </c>
      <c r="M423" s="435" t="s">
        <v>44</v>
      </c>
      <c r="N423" s="566"/>
      <c r="O423" s="566"/>
      <c r="P423" s="435" t="s">
        <v>759</v>
      </c>
      <c r="Q423" s="566"/>
      <c r="R423" s="577"/>
      <c r="S423" s="573"/>
      <c r="T423" s="589">
        <v>43245</v>
      </c>
      <c r="U423" s="574"/>
      <c r="V423" s="566"/>
      <c r="W423" s="561"/>
    </row>
    <row r="424" spans="1:23" s="71" customFormat="1" ht="14.25" customHeight="1">
      <c r="A424" s="435" t="s">
        <v>37</v>
      </c>
      <c r="B424" s="566" t="s">
        <v>187</v>
      </c>
      <c r="C424" s="566" t="s">
        <v>1009</v>
      </c>
      <c r="D424" s="477" t="s">
        <v>1957</v>
      </c>
      <c r="E424" s="566" t="s">
        <v>1502</v>
      </c>
      <c r="F424" s="435" t="s">
        <v>1791</v>
      </c>
      <c r="G424" s="435" t="s">
        <v>1871</v>
      </c>
      <c r="H424" s="435" t="s">
        <v>41</v>
      </c>
      <c r="I424" s="435" t="s">
        <v>234</v>
      </c>
      <c r="J424" s="435" t="s">
        <v>43</v>
      </c>
      <c r="K424" s="435" t="s">
        <v>43</v>
      </c>
      <c r="L424" s="435" t="s">
        <v>758</v>
      </c>
      <c r="M424" s="435" t="s">
        <v>44</v>
      </c>
      <c r="N424" s="435">
        <v>24.29138</v>
      </c>
      <c r="O424" s="435">
        <v>97.227789999999999</v>
      </c>
      <c r="P424" s="435" t="s">
        <v>759</v>
      </c>
      <c r="Q424" s="435" t="s">
        <v>760</v>
      </c>
      <c r="R424" s="438"/>
      <c r="S424" s="569"/>
      <c r="T424" s="452">
        <v>43276</v>
      </c>
      <c r="U424" s="440" t="s">
        <v>1958</v>
      </c>
      <c r="V424" s="435" t="s">
        <v>1009</v>
      </c>
      <c r="W424" s="429" t="s">
        <v>2143</v>
      </c>
    </row>
    <row r="425" spans="1:23" s="71" customFormat="1" ht="14.25" customHeight="1">
      <c r="A425" s="435" t="s">
        <v>37</v>
      </c>
      <c r="B425" s="566" t="s">
        <v>187</v>
      </c>
      <c r="C425" s="566" t="s">
        <v>789</v>
      </c>
      <c r="D425" s="477" t="s">
        <v>1665</v>
      </c>
      <c r="E425" s="566" t="s">
        <v>1346</v>
      </c>
      <c r="F425" s="71">
        <v>0</v>
      </c>
      <c r="G425" s="71">
        <v>0</v>
      </c>
      <c r="I425" s="71">
        <v>0</v>
      </c>
      <c r="J425" s="71" t="s">
        <v>43</v>
      </c>
      <c r="K425" s="71" t="s">
        <v>43</v>
      </c>
      <c r="L425" s="71" t="s">
        <v>758</v>
      </c>
      <c r="M425" s="71" t="s">
        <v>44</v>
      </c>
      <c r="P425" s="71" t="s">
        <v>759</v>
      </c>
      <c r="R425" s="103"/>
      <c r="S425" s="569"/>
      <c r="T425" s="109"/>
      <c r="U425" s="105"/>
      <c r="V425" s="71" t="s">
        <v>789</v>
      </c>
      <c r="W425" s="71" t="s">
        <v>2144</v>
      </c>
    </row>
    <row r="426" spans="1:23" s="71" customFormat="1" ht="14.25" customHeight="1">
      <c r="A426" s="561" t="s">
        <v>37</v>
      </c>
      <c r="B426" s="566" t="s">
        <v>187</v>
      </c>
      <c r="C426" s="566" t="s">
        <v>196</v>
      </c>
      <c r="D426" s="477" t="s">
        <v>2698</v>
      </c>
      <c r="E426" s="566" t="s">
        <v>1488</v>
      </c>
      <c r="F426" s="71" t="s">
        <v>1788</v>
      </c>
      <c r="G426" s="71" t="s">
        <v>1788</v>
      </c>
      <c r="H426" s="71" t="s">
        <v>41</v>
      </c>
      <c r="I426" s="71" t="s">
        <v>234</v>
      </c>
      <c r="J426" s="71" t="s">
        <v>43</v>
      </c>
      <c r="K426" s="71" t="s">
        <v>43</v>
      </c>
      <c r="L426" s="71" t="s">
        <v>758</v>
      </c>
      <c r="M426" s="71" t="s">
        <v>44</v>
      </c>
      <c r="N426" s="71">
        <v>24.24953</v>
      </c>
      <c r="O426" s="71">
        <v>97.240639999999999</v>
      </c>
      <c r="P426" s="435" t="s">
        <v>759</v>
      </c>
      <c r="Q426" s="71" t="s">
        <v>778</v>
      </c>
      <c r="R426" s="568"/>
      <c r="S426" s="568"/>
      <c r="T426" s="109"/>
      <c r="U426" s="105"/>
      <c r="V426" s="71" t="s">
        <v>196</v>
      </c>
      <c r="W426" s="435"/>
    </row>
    <row r="427" spans="1:23" s="71" customFormat="1" ht="14.25" customHeight="1">
      <c r="A427" s="561" t="s">
        <v>37</v>
      </c>
      <c r="B427" s="561" t="s">
        <v>138</v>
      </c>
      <c r="C427" s="561" t="s">
        <v>1096</v>
      </c>
      <c r="D427" s="477" t="s">
        <v>1664</v>
      </c>
      <c r="E427" s="561"/>
      <c r="F427" s="561"/>
      <c r="G427" s="561"/>
      <c r="H427" s="561"/>
      <c r="I427" s="435"/>
      <c r="J427" s="71" t="s">
        <v>43</v>
      </c>
      <c r="K427" s="71" t="s">
        <v>43</v>
      </c>
      <c r="L427" s="561" t="s">
        <v>1097</v>
      </c>
      <c r="M427" s="435" t="s">
        <v>44</v>
      </c>
      <c r="N427" s="561"/>
      <c r="O427" s="561"/>
      <c r="P427" s="561" t="s">
        <v>759</v>
      </c>
      <c r="Q427" s="435"/>
      <c r="R427" s="438"/>
      <c r="S427" s="569"/>
      <c r="T427" s="452"/>
      <c r="U427" s="570"/>
      <c r="V427" s="561" t="s">
        <v>1096</v>
      </c>
      <c r="W427" s="561"/>
    </row>
    <row r="428" spans="1:23" s="71" customFormat="1" ht="14.25" customHeight="1">
      <c r="A428" s="435" t="s">
        <v>37</v>
      </c>
      <c r="B428" s="435" t="s">
        <v>138</v>
      </c>
      <c r="C428" s="435" t="s">
        <v>237</v>
      </c>
      <c r="D428" s="477" t="s">
        <v>2869</v>
      </c>
      <c r="E428" s="71" t="s">
        <v>1608</v>
      </c>
      <c r="F428" s="71" t="s">
        <v>1852</v>
      </c>
      <c r="G428" s="71" t="s">
        <v>1853</v>
      </c>
      <c r="H428" s="71" t="s">
        <v>41</v>
      </c>
      <c r="I428" s="71" t="s">
        <v>234</v>
      </c>
      <c r="J428" s="71" t="s">
        <v>43</v>
      </c>
      <c r="K428" s="435" t="s">
        <v>43</v>
      </c>
      <c r="L428" s="435" t="s">
        <v>43</v>
      </c>
      <c r="M428" s="71" t="s">
        <v>44</v>
      </c>
      <c r="N428" s="71">
        <v>25.889410000000002</v>
      </c>
      <c r="O428" s="71">
        <v>98.131550000000004</v>
      </c>
      <c r="P428" s="71" t="s">
        <v>759</v>
      </c>
      <c r="Q428" s="71" t="s">
        <v>778</v>
      </c>
      <c r="R428" s="438">
        <v>163</v>
      </c>
      <c r="S428" s="568">
        <v>830</v>
      </c>
      <c r="T428" s="109"/>
      <c r="U428" s="105"/>
      <c r="V428" s="71" t="s">
        <v>237</v>
      </c>
      <c r="W428" s="561"/>
    </row>
    <row r="429" spans="1:23" s="71" customFormat="1" ht="14.25" customHeight="1">
      <c r="A429" s="561" t="s">
        <v>37</v>
      </c>
      <c r="B429" s="561" t="s">
        <v>138</v>
      </c>
      <c r="C429" s="561" t="s">
        <v>767</v>
      </c>
      <c r="D429" s="477" t="s">
        <v>1665</v>
      </c>
      <c r="E429" s="561" t="s">
        <v>1327</v>
      </c>
      <c r="F429" s="561">
        <v>0</v>
      </c>
      <c r="G429" s="561">
        <v>0</v>
      </c>
      <c r="H429" s="561" t="s">
        <v>41</v>
      </c>
      <c r="I429" s="435" t="s">
        <v>1328</v>
      </c>
      <c r="J429" s="435" t="s">
        <v>43</v>
      </c>
      <c r="K429" s="435" t="s">
        <v>43</v>
      </c>
      <c r="L429" s="561" t="s">
        <v>758</v>
      </c>
      <c r="M429" s="435" t="s">
        <v>44</v>
      </c>
      <c r="N429" s="561"/>
      <c r="O429" s="561"/>
      <c r="P429" s="561" t="s">
        <v>759</v>
      </c>
      <c r="Q429" s="435"/>
      <c r="R429" s="438"/>
      <c r="S429" s="569"/>
      <c r="T429" s="452"/>
      <c r="U429" s="570"/>
      <c r="V429" s="561" t="s">
        <v>767</v>
      </c>
      <c r="W429" s="429" t="s">
        <v>2145</v>
      </c>
    </row>
    <row r="430" spans="1:23" s="71" customFormat="1" ht="14.25" customHeight="1">
      <c r="A430" s="561" t="s">
        <v>37</v>
      </c>
      <c r="B430" s="561" t="s">
        <v>138</v>
      </c>
      <c r="C430" s="561" t="s">
        <v>139</v>
      </c>
      <c r="D430" s="477" t="s">
        <v>2869</v>
      </c>
      <c r="E430" s="71" t="s">
        <v>1604</v>
      </c>
      <c r="F430" s="71" t="s">
        <v>1849</v>
      </c>
      <c r="G430" s="71" t="s">
        <v>1850</v>
      </c>
      <c r="H430" s="71" t="s">
        <v>41</v>
      </c>
      <c r="I430" s="71" t="s">
        <v>133</v>
      </c>
      <c r="J430" s="71" t="s">
        <v>43</v>
      </c>
      <c r="K430" s="71" t="s">
        <v>43</v>
      </c>
      <c r="L430" s="71" t="s">
        <v>43</v>
      </c>
      <c r="M430" s="71" t="s">
        <v>776</v>
      </c>
      <c r="N430" s="71">
        <v>25.754110000000001</v>
      </c>
      <c r="O430" s="71">
        <v>98.475719999999995</v>
      </c>
      <c r="P430" s="435" t="s">
        <v>759</v>
      </c>
      <c r="Q430" s="71" t="s">
        <v>778</v>
      </c>
      <c r="R430" s="568">
        <v>163</v>
      </c>
      <c r="S430" s="568">
        <v>967</v>
      </c>
      <c r="T430" s="109"/>
      <c r="U430" s="105"/>
      <c r="V430" s="71" t="s">
        <v>139</v>
      </c>
      <c r="W430" s="429" t="s">
        <v>2271</v>
      </c>
    </row>
    <row r="431" spans="1:23" s="71" customFormat="1" ht="14.25" customHeight="1">
      <c r="A431" s="435" t="s">
        <v>37</v>
      </c>
      <c r="B431" s="435" t="s">
        <v>138</v>
      </c>
      <c r="C431" s="435" t="s">
        <v>1060</v>
      </c>
      <c r="D431" s="477" t="s">
        <v>1665</v>
      </c>
      <c r="E431" s="71" t="s">
        <v>1602</v>
      </c>
      <c r="F431" s="71" t="s">
        <v>1730</v>
      </c>
      <c r="G431" s="71" t="s">
        <v>1731</v>
      </c>
      <c r="I431" s="435">
        <v>0</v>
      </c>
      <c r="J431" s="71" t="s">
        <v>43</v>
      </c>
      <c r="K431" s="435" t="s">
        <v>43</v>
      </c>
      <c r="L431" s="435" t="s">
        <v>758</v>
      </c>
      <c r="M431" s="71" t="s">
        <v>44</v>
      </c>
      <c r="N431" s="71">
        <v>25.708763000000001</v>
      </c>
      <c r="O431" s="71">
        <v>98.354146999999998</v>
      </c>
      <c r="P431" s="561" t="s">
        <v>771</v>
      </c>
      <c r="Q431" s="71" t="s">
        <v>760</v>
      </c>
      <c r="R431" s="438"/>
      <c r="S431" s="569"/>
      <c r="T431" s="109">
        <v>42983</v>
      </c>
      <c r="U431" s="105" t="s">
        <v>1061</v>
      </c>
      <c r="V431" s="71" t="s">
        <v>1060</v>
      </c>
      <c r="W431" s="561" t="s">
        <v>2146</v>
      </c>
    </row>
    <row r="432" spans="1:23" s="71" customFormat="1" ht="14.25" customHeight="1">
      <c r="A432" s="435" t="s">
        <v>37</v>
      </c>
      <c r="B432" s="435" t="s">
        <v>138</v>
      </c>
      <c r="C432" s="435" t="s">
        <v>239</v>
      </c>
      <c r="D432" s="477" t="s">
        <v>2869</v>
      </c>
      <c r="E432" s="71" t="s">
        <v>1607</v>
      </c>
      <c r="F432" s="71" t="s">
        <v>1694</v>
      </c>
      <c r="G432" s="71" t="s">
        <v>1851</v>
      </c>
      <c r="H432" s="71" t="s">
        <v>41</v>
      </c>
      <c r="I432" s="71" t="s">
        <v>234</v>
      </c>
      <c r="J432" s="71" t="s">
        <v>43</v>
      </c>
      <c r="K432" s="435" t="s">
        <v>43</v>
      </c>
      <c r="L432" s="435" t="s">
        <v>43</v>
      </c>
      <c r="M432" s="71" t="s">
        <v>44</v>
      </c>
      <c r="N432" s="435">
        <v>25.887339999999998</v>
      </c>
      <c r="O432" s="435">
        <v>98.129990000000006</v>
      </c>
      <c r="P432" s="435" t="s">
        <v>759</v>
      </c>
      <c r="Q432" s="71" t="s">
        <v>778</v>
      </c>
      <c r="R432" s="438">
        <v>206</v>
      </c>
      <c r="S432" s="438">
        <v>856</v>
      </c>
      <c r="T432" s="109"/>
      <c r="U432" s="105"/>
      <c r="V432" s="71" t="s">
        <v>239</v>
      </c>
      <c r="W432" s="435"/>
    </row>
    <row r="433" spans="1:23" s="71" customFormat="1" ht="14.25" customHeight="1">
      <c r="A433" s="435" t="s">
        <v>37</v>
      </c>
      <c r="B433" s="561" t="s">
        <v>138</v>
      </c>
      <c r="C433" s="561" t="s">
        <v>217</v>
      </c>
      <c r="D433" s="477" t="s">
        <v>2869</v>
      </c>
      <c r="E433" s="71" t="s">
        <v>1585</v>
      </c>
      <c r="F433" s="71" t="s">
        <v>1844</v>
      </c>
      <c r="G433" s="71" t="s">
        <v>1714</v>
      </c>
      <c r="H433" s="71" t="s">
        <v>41</v>
      </c>
      <c r="I433" s="71" t="s">
        <v>1328</v>
      </c>
      <c r="J433" s="71" t="s">
        <v>43</v>
      </c>
      <c r="K433" s="71" t="s">
        <v>43</v>
      </c>
      <c r="L433" s="435" t="s">
        <v>43</v>
      </c>
      <c r="M433" s="71" t="s">
        <v>44</v>
      </c>
      <c r="N433" s="71">
        <v>25.60867</v>
      </c>
      <c r="O433" s="71">
        <v>98.377780000000001</v>
      </c>
      <c r="P433" s="435" t="s">
        <v>759</v>
      </c>
      <c r="Q433" s="71" t="s">
        <v>778</v>
      </c>
      <c r="R433" s="438">
        <v>57</v>
      </c>
      <c r="S433" s="438">
        <v>274</v>
      </c>
      <c r="T433" s="109"/>
      <c r="U433" s="105"/>
      <c r="V433" s="71" t="s">
        <v>217</v>
      </c>
      <c r="W433" s="435"/>
    </row>
    <row r="434" spans="1:23" s="71" customFormat="1" ht="14.25" customHeight="1">
      <c r="A434" s="561" t="s">
        <v>37</v>
      </c>
      <c r="B434" s="566" t="s">
        <v>138</v>
      </c>
      <c r="C434" s="566" t="s">
        <v>219</v>
      </c>
      <c r="D434" s="477" t="s">
        <v>2869</v>
      </c>
      <c r="E434" s="71" t="s">
        <v>1595</v>
      </c>
      <c r="F434" s="71" t="s">
        <v>1731</v>
      </c>
      <c r="G434" s="71" t="s">
        <v>219</v>
      </c>
      <c r="H434" s="71" t="s">
        <v>41</v>
      </c>
      <c r="I434" s="71" t="s">
        <v>1328</v>
      </c>
      <c r="J434" s="71" t="s">
        <v>43</v>
      </c>
      <c r="K434" s="561" t="s">
        <v>43</v>
      </c>
      <c r="L434" s="561" t="s">
        <v>43</v>
      </c>
      <c r="M434" s="71" t="s">
        <v>44</v>
      </c>
      <c r="N434" s="71">
        <v>25.645959999999999</v>
      </c>
      <c r="O434" s="71">
        <v>98.356260000000006</v>
      </c>
      <c r="P434" s="435" t="s">
        <v>759</v>
      </c>
      <c r="Q434" s="71" t="s">
        <v>778</v>
      </c>
      <c r="R434" s="568">
        <v>32</v>
      </c>
      <c r="S434" s="568">
        <v>167</v>
      </c>
      <c r="T434" s="109"/>
      <c r="U434" s="440"/>
      <c r="V434" s="71" t="s">
        <v>1055</v>
      </c>
      <c r="W434" s="561"/>
    </row>
    <row r="435" spans="1:23" s="71" customFormat="1" ht="14.25" customHeight="1">
      <c r="A435" s="435" t="s">
        <v>37</v>
      </c>
      <c r="B435" s="435" t="s">
        <v>140</v>
      </c>
      <c r="C435" s="435" t="s">
        <v>1056</v>
      </c>
      <c r="D435" s="477" t="s">
        <v>1665</v>
      </c>
      <c r="E435" s="71" t="s">
        <v>1598</v>
      </c>
      <c r="F435" s="71" t="s">
        <v>1728</v>
      </c>
      <c r="G435" s="71" t="s">
        <v>1728</v>
      </c>
      <c r="H435" s="71" t="s">
        <v>41</v>
      </c>
      <c r="I435" s="71" t="s">
        <v>133</v>
      </c>
      <c r="J435" s="71" t="s">
        <v>43</v>
      </c>
      <c r="K435" s="71" t="s">
        <v>43</v>
      </c>
      <c r="L435" s="71" t="s">
        <v>758</v>
      </c>
      <c r="M435" s="71" t="s">
        <v>44</v>
      </c>
      <c r="N435" s="71">
        <v>25.656130000000001</v>
      </c>
      <c r="O435" s="71">
        <v>96.355270000000004</v>
      </c>
      <c r="P435" s="435" t="s">
        <v>759</v>
      </c>
      <c r="Q435" s="71" t="s">
        <v>778</v>
      </c>
      <c r="R435" s="438"/>
      <c r="S435" s="569"/>
      <c r="T435" s="109">
        <v>42983</v>
      </c>
      <c r="U435" s="105" t="s">
        <v>1057</v>
      </c>
      <c r="V435" s="71" t="s">
        <v>1056</v>
      </c>
      <c r="W435" s="429" t="s">
        <v>2147</v>
      </c>
    </row>
    <row r="436" spans="1:23" s="71" customFormat="1" ht="14.25" customHeight="1">
      <c r="A436" s="435" t="s">
        <v>37</v>
      </c>
      <c r="B436" s="435" t="s">
        <v>140</v>
      </c>
      <c r="C436" s="71" t="s">
        <v>222</v>
      </c>
      <c r="D436" s="477" t="s">
        <v>2869</v>
      </c>
      <c r="E436" s="71" t="s">
        <v>1597</v>
      </c>
      <c r="F436" s="71" t="s">
        <v>1728</v>
      </c>
      <c r="G436" s="71" t="s">
        <v>1728</v>
      </c>
      <c r="H436" s="71" t="s">
        <v>41</v>
      </c>
      <c r="I436" s="71" t="s">
        <v>1328</v>
      </c>
      <c r="J436" s="71" t="s">
        <v>43</v>
      </c>
      <c r="K436" s="71" t="s">
        <v>43</v>
      </c>
      <c r="L436" s="71" t="s">
        <v>43</v>
      </c>
      <c r="M436" s="71" t="s">
        <v>44</v>
      </c>
      <c r="N436" s="71">
        <v>25.656009999999998</v>
      </c>
      <c r="O436" s="71">
        <v>96.361609999999999</v>
      </c>
      <c r="P436" s="71" t="s">
        <v>759</v>
      </c>
      <c r="Q436" s="71" t="s">
        <v>778</v>
      </c>
      <c r="R436" s="103">
        <v>68</v>
      </c>
      <c r="S436" s="568">
        <v>343</v>
      </c>
      <c r="T436" s="109"/>
      <c r="U436" s="105"/>
      <c r="V436" s="71" t="s">
        <v>222</v>
      </c>
      <c r="W436" s="561"/>
    </row>
    <row r="437" spans="1:23" s="71" customFormat="1" ht="14.25" customHeight="1">
      <c r="A437" s="435" t="s">
        <v>37</v>
      </c>
      <c r="B437" s="435" t="s">
        <v>140</v>
      </c>
      <c r="C437" s="435" t="s">
        <v>1066</v>
      </c>
      <c r="D437" s="477" t="s">
        <v>1665</v>
      </c>
      <c r="E437" s="71" t="s">
        <v>1609</v>
      </c>
      <c r="F437" s="71" t="s">
        <v>1735</v>
      </c>
      <c r="G437" s="71" t="s">
        <v>1736</v>
      </c>
      <c r="I437" s="71">
        <v>0</v>
      </c>
      <c r="J437" s="71" t="s">
        <v>43</v>
      </c>
      <c r="K437" s="71" t="s">
        <v>43</v>
      </c>
      <c r="L437" s="435" t="s">
        <v>758</v>
      </c>
      <c r="M437" s="71" t="s">
        <v>44</v>
      </c>
      <c r="N437" s="435">
        <v>25.920006000000001</v>
      </c>
      <c r="O437" s="435">
        <v>96.662092000000001</v>
      </c>
      <c r="P437" s="435" t="s">
        <v>759</v>
      </c>
      <c r="Q437" s="71" t="s">
        <v>760</v>
      </c>
      <c r="R437" s="438"/>
      <c r="S437" s="569"/>
      <c r="T437" s="109"/>
      <c r="U437" s="440"/>
      <c r="W437" s="429" t="s">
        <v>2148</v>
      </c>
    </row>
    <row r="438" spans="1:23" s="71" customFormat="1" ht="14.25" customHeight="1">
      <c r="A438" s="435" t="s">
        <v>37</v>
      </c>
      <c r="B438" s="435" t="s">
        <v>140</v>
      </c>
      <c r="C438" s="435" t="s">
        <v>240</v>
      </c>
      <c r="D438" s="477" t="s">
        <v>2869</v>
      </c>
      <c r="E438" s="71" t="s">
        <v>1593</v>
      </c>
      <c r="F438" s="71" t="s">
        <v>1728</v>
      </c>
      <c r="G438" s="71" t="s">
        <v>1728</v>
      </c>
      <c r="H438" s="71" t="s">
        <v>41</v>
      </c>
      <c r="I438" s="71" t="s">
        <v>234</v>
      </c>
      <c r="J438" s="71" t="s">
        <v>43</v>
      </c>
      <c r="K438" s="71" t="s">
        <v>43</v>
      </c>
      <c r="L438" s="435" t="s">
        <v>43</v>
      </c>
      <c r="M438" s="71" t="s">
        <v>44</v>
      </c>
      <c r="N438" s="71">
        <v>25.635300000000001</v>
      </c>
      <c r="O438" s="71">
        <v>96.345569999999995</v>
      </c>
      <c r="P438" s="435" t="s">
        <v>759</v>
      </c>
      <c r="Q438" s="71" t="s">
        <v>778</v>
      </c>
      <c r="R438" s="438">
        <v>70</v>
      </c>
      <c r="S438" s="438">
        <v>372</v>
      </c>
      <c r="T438" s="109"/>
      <c r="U438" s="440"/>
      <c r="V438" s="71" t="s">
        <v>240</v>
      </c>
      <c r="W438" s="435"/>
    </row>
    <row r="439" spans="1:23" s="71" customFormat="1" ht="14.25" customHeight="1">
      <c r="A439" s="435" t="s">
        <v>37</v>
      </c>
      <c r="B439" s="435" t="s">
        <v>140</v>
      </c>
      <c r="C439" s="435" t="s">
        <v>241</v>
      </c>
      <c r="D439" s="477" t="s">
        <v>2869</v>
      </c>
      <c r="E439" s="71" t="s">
        <v>1590</v>
      </c>
      <c r="F439" s="71" t="s">
        <v>1845</v>
      </c>
      <c r="G439" s="71" t="s">
        <v>1846</v>
      </c>
      <c r="H439" s="71" t="s">
        <v>41</v>
      </c>
      <c r="I439" s="71" t="s">
        <v>234</v>
      </c>
      <c r="J439" s="71" t="s">
        <v>43</v>
      </c>
      <c r="K439" s="71" t="s">
        <v>43</v>
      </c>
      <c r="L439" s="71" t="s">
        <v>43</v>
      </c>
      <c r="M439" s="71" t="s">
        <v>44</v>
      </c>
      <c r="N439" s="71">
        <v>25.616509000000001</v>
      </c>
      <c r="O439" s="71">
        <v>96.317350000000005</v>
      </c>
      <c r="P439" s="435" t="s">
        <v>759</v>
      </c>
      <c r="Q439" s="71" t="s">
        <v>778</v>
      </c>
      <c r="R439" s="438">
        <v>13</v>
      </c>
      <c r="S439" s="438">
        <v>84</v>
      </c>
      <c r="T439" s="109"/>
      <c r="U439" s="105"/>
      <c r="V439" s="71" t="s">
        <v>241</v>
      </c>
      <c r="W439" s="435"/>
    </row>
    <row r="440" spans="1:23" s="71" customFormat="1" ht="14.25" customHeight="1">
      <c r="A440" s="435" t="s">
        <v>37</v>
      </c>
      <c r="B440" s="435" t="s">
        <v>140</v>
      </c>
      <c r="C440" s="435" t="s">
        <v>242</v>
      </c>
      <c r="D440" s="477" t="s">
        <v>2869</v>
      </c>
      <c r="E440" s="71" t="s">
        <v>1596</v>
      </c>
      <c r="F440" s="71" t="s">
        <v>1728</v>
      </c>
      <c r="G440" s="71" t="s">
        <v>1848</v>
      </c>
      <c r="H440" s="71" t="s">
        <v>41</v>
      </c>
      <c r="I440" s="71" t="s">
        <v>133</v>
      </c>
      <c r="J440" s="71" t="s">
        <v>43</v>
      </c>
      <c r="K440" s="71" t="s">
        <v>43</v>
      </c>
      <c r="L440" s="71" t="s">
        <v>43</v>
      </c>
      <c r="M440" s="71" t="s">
        <v>44</v>
      </c>
      <c r="N440" s="435">
        <v>25.647649999999999</v>
      </c>
      <c r="O440" s="435">
        <v>96.346469999999997</v>
      </c>
      <c r="P440" s="435" t="s">
        <v>759</v>
      </c>
      <c r="Q440" s="71" t="s">
        <v>778</v>
      </c>
      <c r="R440" s="438">
        <v>36</v>
      </c>
      <c r="S440" s="568">
        <v>227</v>
      </c>
      <c r="T440" s="109"/>
      <c r="U440" s="440"/>
      <c r="V440" s="71" t="s">
        <v>242</v>
      </c>
      <c r="W440" s="561"/>
    </row>
    <row r="441" spans="1:23" s="71" customFormat="1" ht="14.25" customHeight="1">
      <c r="A441" s="435" t="s">
        <v>37</v>
      </c>
      <c r="B441" s="561" t="s">
        <v>140</v>
      </c>
      <c r="C441" s="561" t="s">
        <v>1062</v>
      </c>
      <c r="D441" s="477" t="s">
        <v>1665</v>
      </c>
      <c r="E441" s="71" t="s">
        <v>1603</v>
      </c>
      <c r="F441" s="71" t="s">
        <v>1732</v>
      </c>
      <c r="G441" s="71" t="s">
        <v>1733</v>
      </c>
      <c r="H441" s="71" t="s">
        <v>41</v>
      </c>
      <c r="I441" s="71" t="s">
        <v>234</v>
      </c>
      <c r="J441" s="71" t="s">
        <v>43</v>
      </c>
      <c r="K441" s="71" t="s">
        <v>43</v>
      </c>
      <c r="L441" s="71" t="s">
        <v>758</v>
      </c>
      <c r="M441" s="71" t="s">
        <v>44</v>
      </c>
      <c r="N441" s="71">
        <v>25.728653000000001</v>
      </c>
      <c r="O441" s="71">
        <v>96.673805000000002</v>
      </c>
      <c r="P441" s="435" t="s">
        <v>759</v>
      </c>
      <c r="R441" s="438"/>
      <c r="S441" s="439"/>
      <c r="T441" s="109"/>
      <c r="U441" s="440"/>
      <c r="V441" s="71" t="s">
        <v>1062</v>
      </c>
      <c r="W441" s="429" t="s">
        <v>2149</v>
      </c>
    </row>
    <row r="442" spans="1:23" s="71" customFormat="1" ht="14.25" customHeight="1">
      <c r="A442" s="435" t="s">
        <v>37</v>
      </c>
      <c r="B442" s="561" t="s">
        <v>140</v>
      </c>
      <c r="C442" s="561" t="s">
        <v>1059</v>
      </c>
      <c r="D442" s="477" t="s">
        <v>1665</v>
      </c>
      <c r="E442" s="71" t="s">
        <v>1601</v>
      </c>
      <c r="F442" s="71" t="s">
        <v>1728</v>
      </c>
      <c r="G442" s="71" t="s">
        <v>1729</v>
      </c>
      <c r="I442" s="71">
        <v>0</v>
      </c>
      <c r="J442" s="71" t="s">
        <v>43</v>
      </c>
      <c r="K442" s="561" t="s">
        <v>43</v>
      </c>
      <c r="L442" s="561" t="s">
        <v>758</v>
      </c>
      <c r="M442" s="71" t="s">
        <v>44</v>
      </c>
      <c r="N442" s="71">
        <v>25.668469999999999</v>
      </c>
      <c r="O442" s="71">
        <v>96.353070000000002</v>
      </c>
      <c r="P442" s="71" t="s">
        <v>759</v>
      </c>
      <c r="R442" s="438"/>
      <c r="S442" s="569"/>
      <c r="T442" s="109"/>
      <c r="U442" s="105"/>
      <c r="V442" s="71" t="s">
        <v>1059</v>
      </c>
      <c r="W442" s="435" t="s">
        <v>2150</v>
      </c>
    </row>
    <row r="443" spans="1:23" s="71" customFormat="1" ht="14.25" customHeight="1">
      <c r="A443" s="435" t="s">
        <v>37</v>
      </c>
      <c r="B443" s="435" t="s">
        <v>140</v>
      </c>
      <c r="C443" s="561" t="s">
        <v>243</v>
      </c>
      <c r="D443" s="477" t="s">
        <v>2869</v>
      </c>
      <c r="E443" s="71" t="s">
        <v>1583</v>
      </c>
      <c r="F443" s="71" t="s">
        <v>1681</v>
      </c>
      <c r="G443" s="71" t="s">
        <v>1681</v>
      </c>
      <c r="H443" s="71" t="s">
        <v>41</v>
      </c>
      <c r="I443" s="71" t="s">
        <v>2140</v>
      </c>
      <c r="J443" s="71" t="s">
        <v>43</v>
      </c>
      <c r="K443" s="561" t="s">
        <v>43</v>
      </c>
      <c r="L443" s="561" t="s">
        <v>774</v>
      </c>
      <c r="M443" s="71" t="s">
        <v>44</v>
      </c>
      <c r="N443" s="71">
        <v>25.582065</v>
      </c>
      <c r="O443" s="71">
        <v>96.283377000000002</v>
      </c>
      <c r="P443" s="71" t="s">
        <v>759</v>
      </c>
      <c r="Q443" s="71" t="s">
        <v>778</v>
      </c>
      <c r="R443" s="438">
        <v>6</v>
      </c>
      <c r="S443" s="438">
        <v>31</v>
      </c>
      <c r="T443" s="109"/>
      <c r="U443" s="105"/>
      <c r="V443" s="71" t="s">
        <v>243</v>
      </c>
      <c r="W443" s="435"/>
    </row>
    <row r="444" spans="1:23" s="71" customFormat="1" ht="14.25" customHeight="1">
      <c r="A444" s="435" t="s">
        <v>37</v>
      </c>
      <c r="B444" s="435" t="s">
        <v>140</v>
      </c>
      <c r="C444" s="561" t="s">
        <v>244</v>
      </c>
      <c r="D444" s="477" t="s">
        <v>2869</v>
      </c>
      <c r="E444" s="71" t="s">
        <v>1594</v>
      </c>
      <c r="F444" s="71" t="s">
        <v>1728</v>
      </c>
      <c r="G444" s="71" t="s">
        <v>1847</v>
      </c>
      <c r="H444" s="71" t="s">
        <v>41</v>
      </c>
      <c r="I444" s="71" t="s">
        <v>234</v>
      </c>
      <c r="J444" s="71" t="s">
        <v>43</v>
      </c>
      <c r="K444" s="561" t="s">
        <v>43</v>
      </c>
      <c r="L444" s="561" t="s">
        <v>43</v>
      </c>
      <c r="M444" s="71" t="s">
        <v>44</v>
      </c>
      <c r="N444" s="71">
        <v>25.637309999999999</v>
      </c>
      <c r="O444" s="71">
        <v>96.35257</v>
      </c>
      <c r="P444" s="71" t="s">
        <v>759</v>
      </c>
      <c r="Q444" s="71" t="s">
        <v>778</v>
      </c>
      <c r="R444" s="438">
        <v>70</v>
      </c>
      <c r="S444" s="568">
        <v>376</v>
      </c>
      <c r="T444" s="109"/>
      <c r="U444" s="105"/>
      <c r="V444" s="71" t="s">
        <v>244</v>
      </c>
      <c r="W444" s="435"/>
    </row>
    <row r="445" spans="1:23" s="71" customFormat="1" ht="14.25" customHeight="1">
      <c r="A445" s="435" t="s">
        <v>37</v>
      </c>
      <c r="B445" s="561" t="s">
        <v>140</v>
      </c>
      <c r="C445" s="561" t="s">
        <v>141</v>
      </c>
      <c r="D445" s="477" t="s">
        <v>2869</v>
      </c>
      <c r="E445" s="71" t="s">
        <v>1578</v>
      </c>
      <c r="F445" s="71" t="s">
        <v>1840</v>
      </c>
      <c r="G445" s="71" t="s">
        <v>1841</v>
      </c>
      <c r="H445" s="71" t="s">
        <v>41</v>
      </c>
      <c r="I445" s="71" t="s">
        <v>133</v>
      </c>
      <c r="J445" s="71" t="s">
        <v>43</v>
      </c>
      <c r="K445" s="71" t="s">
        <v>43</v>
      </c>
      <c r="L445" s="71" t="s">
        <v>43</v>
      </c>
      <c r="M445" s="71" t="s">
        <v>44</v>
      </c>
      <c r="N445" s="435">
        <v>25.51352</v>
      </c>
      <c r="O445" s="435">
        <v>96.705960000000005</v>
      </c>
      <c r="P445" s="71" t="s">
        <v>759</v>
      </c>
      <c r="Q445" s="71" t="s">
        <v>778</v>
      </c>
      <c r="R445" s="438">
        <v>34</v>
      </c>
      <c r="S445" s="568">
        <v>137</v>
      </c>
      <c r="T445" s="109"/>
      <c r="U445" s="105"/>
      <c r="V445" s="71" t="s">
        <v>141</v>
      </c>
      <c r="W445" s="561"/>
    </row>
    <row r="446" spans="1:23" s="71" customFormat="1" ht="14.25" customHeight="1">
      <c r="A446" s="435" t="s">
        <v>37</v>
      </c>
      <c r="B446" s="561" t="s">
        <v>140</v>
      </c>
      <c r="C446" s="561" t="s">
        <v>245</v>
      </c>
      <c r="D446" s="477" t="s">
        <v>2869</v>
      </c>
      <c r="E446" s="561" t="s">
        <v>1589</v>
      </c>
      <c r="F446" s="435" t="s">
        <v>1845</v>
      </c>
      <c r="G446" s="435" t="s">
        <v>1846</v>
      </c>
      <c r="H446" s="435" t="s">
        <v>41</v>
      </c>
      <c r="I446" s="435" t="s">
        <v>2140</v>
      </c>
      <c r="J446" s="435" t="s">
        <v>43</v>
      </c>
      <c r="K446" s="435" t="s">
        <v>43</v>
      </c>
      <c r="L446" s="435" t="s">
        <v>774</v>
      </c>
      <c r="M446" s="435" t="s">
        <v>44</v>
      </c>
      <c r="N446" s="435">
        <v>25.615960999999999</v>
      </c>
      <c r="O446" s="435">
        <v>96.316564</v>
      </c>
      <c r="P446" s="435" t="s">
        <v>759</v>
      </c>
      <c r="Q446" s="435" t="s">
        <v>778</v>
      </c>
      <c r="R446" s="438">
        <v>2</v>
      </c>
      <c r="S446" s="568">
        <v>14</v>
      </c>
      <c r="T446" s="452"/>
      <c r="U446" s="440"/>
      <c r="V446" s="435" t="s">
        <v>245</v>
      </c>
      <c r="W446" s="561"/>
    </row>
    <row r="447" spans="1:23" s="71" customFormat="1" ht="14.25" customHeight="1">
      <c r="A447" s="561" t="s">
        <v>37</v>
      </c>
      <c r="B447" s="561" t="s">
        <v>140</v>
      </c>
      <c r="C447" s="561" t="s">
        <v>246</v>
      </c>
      <c r="D447" s="477" t="s">
        <v>2869</v>
      </c>
      <c r="E447" s="71" t="s">
        <v>1586</v>
      </c>
      <c r="F447" s="71" t="s">
        <v>1843</v>
      </c>
      <c r="G447" s="71" t="s">
        <v>1843</v>
      </c>
      <c r="H447" s="71" t="s">
        <v>41</v>
      </c>
      <c r="I447" s="71" t="s">
        <v>133</v>
      </c>
      <c r="J447" s="71" t="s">
        <v>43</v>
      </c>
      <c r="K447" s="435" t="s">
        <v>43</v>
      </c>
      <c r="L447" s="435" t="s">
        <v>43</v>
      </c>
      <c r="M447" s="71" t="s">
        <v>44</v>
      </c>
      <c r="N447" s="71">
        <v>25.611160000000002</v>
      </c>
      <c r="O447" s="71">
        <v>96.312790000000007</v>
      </c>
      <c r="P447" s="71" t="s">
        <v>759</v>
      </c>
      <c r="Q447" s="71" t="s">
        <v>778</v>
      </c>
      <c r="R447" s="568">
        <v>107</v>
      </c>
      <c r="S447" s="568">
        <v>519</v>
      </c>
      <c r="T447" s="109"/>
      <c r="U447" s="105"/>
      <c r="V447" s="71" t="s">
        <v>246</v>
      </c>
    </row>
    <row r="448" spans="1:23" s="71" customFormat="1" ht="14.25" customHeight="1">
      <c r="A448" s="573" t="s">
        <v>37</v>
      </c>
      <c r="B448" s="572" t="s">
        <v>140</v>
      </c>
      <c r="C448" s="436" t="s">
        <v>1945</v>
      </c>
      <c r="D448" s="567" t="s">
        <v>1664</v>
      </c>
      <c r="E448" s="561"/>
      <c r="F448" s="561"/>
      <c r="G448" s="561"/>
      <c r="H448" s="561"/>
      <c r="J448" s="71" t="s">
        <v>1463</v>
      </c>
      <c r="K448" s="71" t="s">
        <v>43</v>
      </c>
      <c r="L448" s="561" t="s">
        <v>43</v>
      </c>
      <c r="M448" s="71" t="s">
        <v>44</v>
      </c>
      <c r="N448" s="561"/>
      <c r="O448" s="561"/>
      <c r="P448" s="561" t="s">
        <v>759</v>
      </c>
      <c r="Q448" s="71" t="s">
        <v>1946</v>
      </c>
      <c r="R448" s="576"/>
      <c r="S448" s="569"/>
      <c r="T448" s="109">
        <v>43270</v>
      </c>
      <c r="U448" s="570"/>
      <c r="V448" s="561"/>
      <c r="W448" s="561"/>
    </row>
    <row r="449" spans="1:23" s="71" customFormat="1" ht="14.25" customHeight="1">
      <c r="A449" s="573" t="s">
        <v>37</v>
      </c>
      <c r="B449" s="572" t="s">
        <v>140</v>
      </c>
      <c r="C449" s="566" t="s">
        <v>1979</v>
      </c>
      <c r="D449" s="477" t="s">
        <v>2869</v>
      </c>
      <c r="E449" s="566" t="s">
        <v>1980</v>
      </c>
      <c r="F449" s="566"/>
      <c r="G449" s="566"/>
      <c r="H449" s="566"/>
      <c r="I449" s="71" t="s">
        <v>1328</v>
      </c>
      <c r="J449" s="71" t="s">
        <v>43</v>
      </c>
      <c r="K449" s="71" t="s">
        <v>43</v>
      </c>
      <c r="L449" s="566" t="s">
        <v>43</v>
      </c>
      <c r="M449" s="71" t="s">
        <v>44</v>
      </c>
      <c r="N449" s="566"/>
      <c r="O449" s="566"/>
      <c r="P449" s="566" t="s">
        <v>759</v>
      </c>
      <c r="Q449" s="71" t="s">
        <v>1946</v>
      </c>
      <c r="R449" s="438">
        <v>16</v>
      </c>
      <c r="S449" s="568">
        <v>66</v>
      </c>
      <c r="T449" s="109">
        <v>43276</v>
      </c>
      <c r="U449" s="574" t="s">
        <v>1996</v>
      </c>
      <c r="V449" s="566"/>
      <c r="W449" s="429" t="s">
        <v>2272</v>
      </c>
    </row>
    <row r="450" spans="1:23" s="71" customFormat="1" ht="14.25" customHeight="1">
      <c r="A450" s="561" t="s">
        <v>37</v>
      </c>
      <c r="B450" s="561" t="s">
        <v>140</v>
      </c>
      <c r="C450" s="561" t="s">
        <v>1063</v>
      </c>
      <c r="D450" s="477" t="s">
        <v>1665</v>
      </c>
      <c r="E450" s="561" t="s">
        <v>1605</v>
      </c>
      <c r="F450" s="561" t="s">
        <v>1728</v>
      </c>
      <c r="G450" s="561" t="s">
        <v>1734</v>
      </c>
      <c r="H450" s="561" t="s">
        <v>41</v>
      </c>
      <c r="I450" s="71" t="s">
        <v>133</v>
      </c>
      <c r="J450" s="71" t="s">
        <v>43</v>
      </c>
      <c r="K450" s="435" t="s">
        <v>43</v>
      </c>
      <c r="L450" s="561" t="s">
        <v>758</v>
      </c>
      <c r="M450" s="71" t="s">
        <v>44</v>
      </c>
      <c r="N450" s="561">
        <v>25.806999999999999</v>
      </c>
      <c r="O450" s="561">
        <v>96.637</v>
      </c>
      <c r="P450" s="561" t="s">
        <v>759</v>
      </c>
      <c r="Q450" s="71" t="s">
        <v>778</v>
      </c>
      <c r="R450" s="438"/>
      <c r="S450" s="569"/>
      <c r="T450" s="109">
        <v>42983</v>
      </c>
      <c r="U450" s="570" t="s">
        <v>1057</v>
      </c>
      <c r="V450" s="561" t="s">
        <v>1063</v>
      </c>
      <c r="W450" s="429" t="s">
        <v>2152</v>
      </c>
    </row>
    <row r="451" spans="1:23" s="71" customFormat="1" ht="14.25" customHeight="1">
      <c r="A451" s="573" t="s">
        <v>37</v>
      </c>
      <c r="B451" s="572" t="s">
        <v>140</v>
      </c>
      <c r="C451" s="566" t="s">
        <v>1977</v>
      </c>
      <c r="D451" s="477" t="s">
        <v>2869</v>
      </c>
      <c r="E451" s="566" t="s">
        <v>1978</v>
      </c>
      <c r="F451" s="566"/>
      <c r="G451" s="566"/>
      <c r="H451" s="566"/>
      <c r="I451" s="71" t="s">
        <v>1328</v>
      </c>
      <c r="J451" s="71" t="s">
        <v>43</v>
      </c>
      <c r="K451" s="435" t="s">
        <v>43</v>
      </c>
      <c r="L451" s="566" t="s">
        <v>43</v>
      </c>
      <c r="M451" s="71" t="s">
        <v>44</v>
      </c>
      <c r="N451" s="566"/>
      <c r="O451" s="566"/>
      <c r="P451" s="566" t="s">
        <v>759</v>
      </c>
      <c r="Q451" s="71" t="s">
        <v>1946</v>
      </c>
      <c r="R451" s="568">
        <v>47</v>
      </c>
      <c r="S451" s="568">
        <v>218</v>
      </c>
      <c r="T451" s="109">
        <v>43276</v>
      </c>
      <c r="U451" s="574" t="s">
        <v>1996</v>
      </c>
      <c r="V451" s="566"/>
      <c r="W451" s="429" t="s">
        <v>2273</v>
      </c>
    </row>
    <row r="452" spans="1:23" s="71" customFormat="1" ht="14.25" customHeight="1">
      <c r="A452" s="573" t="s">
        <v>37</v>
      </c>
      <c r="B452" s="572" t="s">
        <v>140</v>
      </c>
      <c r="C452" s="566" t="s">
        <v>1947</v>
      </c>
      <c r="D452" s="567"/>
      <c r="J452" s="71" t="s">
        <v>1463</v>
      </c>
      <c r="K452" s="71" t="s">
        <v>43</v>
      </c>
      <c r="L452" s="71" t="s">
        <v>43</v>
      </c>
      <c r="M452" s="71" t="s">
        <v>44</v>
      </c>
      <c r="P452" s="561" t="s">
        <v>759</v>
      </c>
      <c r="Q452" s="71" t="s">
        <v>1946</v>
      </c>
      <c r="R452" s="576"/>
      <c r="S452" s="569"/>
      <c r="T452" s="109">
        <v>43270</v>
      </c>
      <c r="U452" s="105"/>
      <c r="W452" s="561"/>
    </row>
    <row r="453" spans="1:23" s="71" customFormat="1" ht="14.25" customHeight="1">
      <c r="A453" s="561" t="s">
        <v>37</v>
      </c>
      <c r="B453" s="561" t="s">
        <v>140</v>
      </c>
      <c r="C453" s="561" t="s">
        <v>235</v>
      </c>
      <c r="D453" s="477" t="s">
        <v>2869</v>
      </c>
      <c r="E453" s="561" t="s">
        <v>1624</v>
      </c>
      <c r="F453" s="561" t="s">
        <v>1728</v>
      </c>
      <c r="G453" s="561" t="s">
        <v>1857</v>
      </c>
      <c r="H453" s="561" t="s">
        <v>41</v>
      </c>
      <c r="I453" s="561" t="s">
        <v>133</v>
      </c>
      <c r="J453" s="71" t="s">
        <v>43</v>
      </c>
      <c r="K453" s="561" t="s">
        <v>43</v>
      </c>
      <c r="L453" s="561" t="s">
        <v>1085</v>
      </c>
      <c r="M453" s="71" t="s">
        <v>44</v>
      </c>
      <c r="P453" s="17" t="s">
        <v>1991</v>
      </c>
      <c r="Q453" s="71" t="s">
        <v>924</v>
      </c>
      <c r="R453" s="568">
        <v>124</v>
      </c>
      <c r="S453" s="568">
        <v>673</v>
      </c>
      <c r="T453" s="109">
        <v>42983</v>
      </c>
      <c r="U453" s="105" t="s">
        <v>1103</v>
      </c>
      <c r="W453" s="429" t="s">
        <v>2661</v>
      </c>
    </row>
    <row r="454" spans="1:23" s="71" customFormat="1" ht="14.25" customHeight="1">
      <c r="A454" s="561" t="s">
        <v>37</v>
      </c>
      <c r="B454" s="561" t="s">
        <v>140</v>
      </c>
      <c r="C454" s="561" t="s">
        <v>247</v>
      </c>
      <c r="D454" s="477" t="s">
        <v>2869</v>
      </c>
      <c r="E454" s="561" t="s">
        <v>1580</v>
      </c>
      <c r="F454" s="561" t="s">
        <v>1681</v>
      </c>
      <c r="G454" s="561" t="s">
        <v>1682</v>
      </c>
      <c r="H454" s="561" t="s">
        <v>41</v>
      </c>
      <c r="I454" s="561" t="s">
        <v>234</v>
      </c>
      <c r="J454" s="435" t="s">
        <v>43</v>
      </c>
      <c r="K454" s="561" t="s">
        <v>43</v>
      </c>
      <c r="L454" s="561" t="s">
        <v>43</v>
      </c>
      <c r="M454" s="561" t="s">
        <v>44</v>
      </c>
      <c r="N454" s="561">
        <v>25.566510000000001</v>
      </c>
      <c r="O454" s="561">
        <v>96.269199999999998</v>
      </c>
      <c r="P454" s="435" t="s">
        <v>759</v>
      </c>
      <c r="Q454" s="561" t="s">
        <v>778</v>
      </c>
      <c r="R454" s="568">
        <v>18</v>
      </c>
      <c r="S454" s="568">
        <v>105</v>
      </c>
      <c r="T454" s="588"/>
      <c r="U454" s="570"/>
      <c r="V454" s="561" t="s">
        <v>247</v>
      </c>
      <c r="W454" s="435"/>
    </row>
    <row r="455" spans="1:23" s="71" customFormat="1" ht="14.25" customHeight="1">
      <c r="A455" s="561" t="s">
        <v>37</v>
      </c>
      <c r="B455" s="561" t="s">
        <v>140</v>
      </c>
      <c r="C455" s="561" t="s">
        <v>248</v>
      </c>
      <c r="D455" s="477" t="s">
        <v>2869</v>
      </c>
      <c r="E455" s="435" t="s">
        <v>1592</v>
      </c>
      <c r="F455" s="435" t="s">
        <v>1845</v>
      </c>
      <c r="G455" s="435" t="s">
        <v>1846</v>
      </c>
      <c r="H455" s="435" t="s">
        <v>41</v>
      </c>
      <c r="I455" s="435" t="s">
        <v>234</v>
      </c>
      <c r="J455" s="71" t="s">
        <v>43</v>
      </c>
      <c r="K455" s="561" t="s">
        <v>43</v>
      </c>
      <c r="L455" s="561" t="s">
        <v>43</v>
      </c>
      <c r="M455" s="435" t="s">
        <v>44</v>
      </c>
      <c r="N455" s="435">
        <v>25.61842</v>
      </c>
      <c r="O455" s="435">
        <v>96.316400000000002</v>
      </c>
      <c r="P455" s="435" t="s">
        <v>759</v>
      </c>
      <c r="Q455" s="435" t="s">
        <v>778</v>
      </c>
      <c r="R455" s="568">
        <v>12</v>
      </c>
      <c r="S455" s="568">
        <v>60</v>
      </c>
      <c r="T455" s="452"/>
      <c r="U455" s="440"/>
      <c r="V455" s="435" t="s">
        <v>248</v>
      </c>
    </row>
    <row r="456" spans="1:23" s="71" customFormat="1" ht="14.25" customHeight="1">
      <c r="A456" s="569" t="s">
        <v>37</v>
      </c>
      <c r="B456" s="572" t="s">
        <v>140</v>
      </c>
      <c r="C456" s="573" t="s">
        <v>2029</v>
      </c>
      <c r="D456" s="567"/>
      <c r="J456" s="71" t="s">
        <v>1463</v>
      </c>
      <c r="K456" s="566" t="s">
        <v>43</v>
      </c>
      <c r="L456" s="566" t="s">
        <v>774</v>
      </c>
      <c r="M456" s="71" t="s">
        <v>44</v>
      </c>
      <c r="P456" s="435" t="s">
        <v>759</v>
      </c>
      <c r="R456" s="576"/>
      <c r="S456" s="569"/>
      <c r="T456" s="109">
        <v>43297</v>
      </c>
      <c r="U456" s="105"/>
      <c r="W456" s="561"/>
    </row>
    <row r="457" spans="1:23" s="71" customFormat="1" ht="14.25" customHeight="1">
      <c r="A457" s="435" t="s">
        <v>37</v>
      </c>
      <c r="B457" s="435" t="s">
        <v>140</v>
      </c>
      <c r="C457" s="435" t="s">
        <v>249</v>
      </c>
      <c r="D457" s="477" t="s">
        <v>2869</v>
      </c>
      <c r="E457" s="71" t="s">
        <v>1588</v>
      </c>
      <c r="F457" s="71" t="s">
        <v>1845</v>
      </c>
      <c r="G457" s="71" t="s">
        <v>1846</v>
      </c>
      <c r="H457" s="71" t="s">
        <v>41</v>
      </c>
      <c r="I457" s="71" t="s">
        <v>2140</v>
      </c>
      <c r="J457" s="71" t="s">
        <v>43</v>
      </c>
      <c r="K457" s="71" t="s">
        <v>43</v>
      </c>
      <c r="L457" s="71" t="s">
        <v>774</v>
      </c>
      <c r="M457" s="71" t="s">
        <v>44</v>
      </c>
      <c r="N457" s="71">
        <v>25.6145</v>
      </c>
      <c r="O457" s="71">
        <v>96.319829999999996</v>
      </c>
      <c r="P457" s="71" t="s">
        <v>759</v>
      </c>
      <c r="Q457" s="71" t="s">
        <v>778</v>
      </c>
      <c r="R457" s="438">
        <v>3</v>
      </c>
      <c r="S457" s="568">
        <v>15</v>
      </c>
      <c r="T457" s="109"/>
      <c r="U457" s="105"/>
      <c r="V457" s="71" t="s">
        <v>249</v>
      </c>
    </row>
    <row r="458" spans="1:23" s="71" customFormat="1" ht="14.25" customHeight="1">
      <c r="A458" s="435" t="s">
        <v>37</v>
      </c>
      <c r="B458" s="435" t="s">
        <v>140</v>
      </c>
      <c r="C458" s="435" t="s">
        <v>1058</v>
      </c>
      <c r="D458" s="477" t="s">
        <v>1665</v>
      </c>
      <c r="E458" s="71" t="s">
        <v>1599</v>
      </c>
      <c r="F458" s="71" t="s">
        <v>1728</v>
      </c>
      <c r="G458" s="71" t="s">
        <v>1728</v>
      </c>
      <c r="I458" s="71">
        <v>0</v>
      </c>
      <c r="J458" s="71" t="s">
        <v>43</v>
      </c>
      <c r="K458" s="71" t="s">
        <v>43</v>
      </c>
      <c r="L458" s="71" t="s">
        <v>758</v>
      </c>
      <c r="M458" s="71" t="s">
        <v>44</v>
      </c>
      <c r="N458" s="71">
        <v>25.658670000000001</v>
      </c>
      <c r="O458" s="71">
        <v>96.354159999999993</v>
      </c>
      <c r="P458" s="71" t="s">
        <v>759</v>
      </c>
      <c r="R458" s="438"/>
      <c r="S458" s="569"/>
      <c r="T458" s="109"/>
      <c r="U458" s="105"/>
      <c r="V458" s="71" t="s">
        <v>1058</v>
      </c>
      <c r="W458" s="435" t="s">
        <v>2153</v>
      </c>
    </row>
    <row r="459" spans="1:23" s="71" customFormat="1" ht="14.25" customHeight="1">
      <c r="A459" s="435" t="s">
        <v>37</v>
      </c>
      <c r="B459" s="435" t="s">
        <v>140</v>
      </c>
      <c r="C459" s="435" t="s">
        <v>182</v>
      </c>
      <c r="D459" s="477" t="s">
        <v>2869</v>
      </c>
      <c r="E459" s="71" t="s">
        <v>1610</v>
      </c>
      <c r="F459" s="71" t="s">
        <v>1735</v>
      </c>
      <c r="G459" s="71" t="s">
        <v>1736</v>
      </c>
      <c r="H459" s="71" t="s">
        <v>41</v>
      </c>
      <c r="I459" s="71" t="s">
        <v>1328</v>
      </c>
      <c r="J459" s="71" t="s">
        <v>43</v>
      </c>
      <c r="K459" s="71" t="s">
        <v>43</v>
      </c>
      <c r="L459" s="71" t="s">
        <v>43</v>
      </c>
      <c r="M459" s="71" t="s">
        <v>44</v>
      </c>
      <c r="N459" s="71">
        <v>25.920006000000001</v>
      </c>
      <c r="O459" s="71">
        <v>96.662092000000001</v>
      </c>
      <c r="P459" s="71" t="s">
        <v>759</v>
      </c>
      <c r="Q459" s="71" t="s">
        <v>760</v>
      </c>
      <c r="R459" s="438">
        <v>25</v>
      </c>
      <c r="S459" s="568">
        <v>113</v>
      </c>
      <c r="T459" s="109"/>
      <c r="U459" s="105"/>
      <c r="W459" s="435"/>
    </row>
    <row r="460" spans="1:23" s="71" customFormat="1" ht="14.25" customHeight="1">
      <c r="A460" s="435" t="s">
        <v>37</v>
      </c>
      <c r="B460" s="435" t="s">
        <v>140</v>
      </c>
      <c r="C460" s="435" t="s">
        <v>250</v>
      </c>
      <c r="D460" s="477" t="s">
        <v>2869</v>
      </c>
      <c r="E460" s="71" t="s">
        <v>1591</v>
      </c>
      <c r="F460" s="71" t="s">
        <v>1843</v>
      </c>
      <c r="G460" s="71" t="s">
        <v>1843</v>
      </c>
      <c r="H460" s="71" t="s">
        <v>41</v>
      </c>
      <c r="I460" s="71" t="s">
        <v>2140</v>
      </c>
      <c r="J460" s="71" t="s">
        <v>43</v>
      </c>
      <c r="K460" s="71" t="s">
        <v>43</v>
      </c>
      <c r="L460" s="71" t="s">
        <v>774</v>
      </c>
      <c r="M460" s="71" t="s">
        <v>44</v>
      </c>
      <c r="N460" s="71">
        <v>25.617998</v>
      </c>
      <c r="O460" s="71">
        <v>96.339590000000001</v>
      </c>
      <c r="P460" s="71" t="s">
        <v>759</v>
      </c>
      <c r="Q460" s="71" t="s">
        <v>778</v>
      </c>
      <c r="R460" s="438">
        <v>11</v>
      </c>
      <c r="S460" s="568">
        <v>43</v>
      </c>
      <c r="T460" s="109"/>
      <c r="U460" s="105"/>
      <c r="V460" s="71" t="s">
        <v>250</v>
      </c>
      <c r="W460" s="561"/>
    </row>
    <row r="461" spans="1:23" s="71" customFormat="1" ht="14.25" customHeight="1">
      <c r="A461" s="435" t="s">
        <v>37</v>
      </c>
      <c r="B461" s="435" t="s">
        <v>140</v>
      </c>
      <c r="C461" s="435" t="s">
        <v>223</v>
      </c>
      <c r="D461" s="477" t="s">
        <v>2869</v>
      </c>
      <c r="E461" s="71" t="s">
        <v>1587</v>
      </c>
      <c r="F461" s="71" t="s">
        <v>1843</v>
      </c>
      <c r="G461" s="71" t="s">
        <v>1843</v>
      </c>
      <c r="H461" s="71" t="s">
        <v>41</v>
      </c>
      <c r="I461" s="71" t="s">
        <v>1328</v>
      </c>
      <c r="J461" s="71" t="s">
        <v>43</v>
      </c>
      <c r="K461" s="71" t="s">
        <v>43</v>
      </c>
      <c r="L461" s="71" t="s">
        <v>43</v>
      </c>
      <c r="M461" s="71" t="s">
        <v>44</v>
      </c>
      <c r="N461" s="71">
        <v>25.613894999999999</v>
      </c>
      <c r="O461" s="71">
        <v>96.341352999999998</v>
      </c>
      <c r="P461" s="71" t="s">
        <v>759</v>
      </c>
      <c r="Q461" s="71" t="s">
        <v>778</v>
      </c>
      <c r="R461" s="438">
        <v>47</v>
      </c>
      <c r="S461" s="568">
        <v>225</v>
      </c>
      <c r="T461" s="109"/>
      <c r="U461" s="105"/>
      <c r="V461" s="71" t="s">
        <v>223</v>
      </c>
      <c r="W461" s="435"/>
    </row>
    <row r="462" spans="1:23" s="71" customFormat="1" ht="14.25" customHeight="1">
      <c r="A462" s="435" t="s">
        <v>37</v>
      </c>
      <c r="B462" s="561" t="s">
        <v>140</v>
      </c>
      <c r="C462" s="561" t="s">
        <v>251</v>
      </c>
      <c r="D462" s="477" t="s">
        <v>2869</v>
      </c>
      <c r="E462" s="71" t="s">
        <v>1579</v>
      </c>
      <c r="F462" s="435" t="s">
        <v>1681</v>
      </c>
      <c r="G462" s="71" t="s">
        <v>1682</v>
      </c>
      <c r="H462" s="71" t="s">
        <v>41</v>
      </c>
      <c r="I462" s="71" t="s">
        <v>2140</v>
      </c>
      <c r="J462" s="71" t="s">
        <v>43</v>
      </c>
      <c r="K462" s="71" t="s">
        <v>43</v>
      </c>
      <c r="L462" s="71" t="s">
        <v>774</v>
      </c>
      <c r="M462" s="71" t="s">
        <v>44</v>
      </c>
      <c r="N462" s="71">
        <v>25.56551</v>
      </c>
      <c r="O462" s="71">
        <v>96.279200000000003</v>
      </c>
      <c r="P462" s="71" t="s">
        <v>759</v>
      </c>
      <c r="Q462" s="71" t="s">
        <v>778</v>
      </c>
      <c r="R462" s="438">
        <v>10</v>
      </c>
      <c r="S462" s="568">
        <v>38</v>
      </c>
      <c r="T462" s="109"/>
      <c r="U462" s="105"/>
      <c r="V462" s="71" t="s">
        <v>251</v>
      </c>
      <c r="W462" s="561"/>
    </row>
    <row r="463" spans="1:23" s="71" customFormat="1" ht="14.25" customHeight="1">
      <c r="A463" s="435" t="s">
        <v>37</v>
      </c>
      <c r="B463" s="566" t="s">
        <v>140</v>
      </c>
      <c r="C463" s="566" t="s">
        <v>252</v>
      </c>
      <c r="D463" s="477" t="s">
        <v>1665</v>
      </c>
      <c r="E463" s="71" t="s">
        <v>1600</v>
      </c>
      <c r="F463" s="71" t="s">
        <v>1681</v>
      </c>
      <c r="G463" s="71" t="s">
        <v>1682</v>
      </c>
      <c r="H463" s="71" t="s">
        <v>41</v>
      </c>
      <c r="I463" s="71" t="s">
        <v>133</v>
      </c>
      <c r="J463" s="71" t="s">
        <v>43</v>
      </c>
      <c r="K463" s="561" t="s">
        <v>43</v>
      </c>
      <c r="L463" s="561" t="s">
        <v>758</v>
      </c>
      <c r="M463" s="71" t="s">
        <v>44</v>
      </c>
      <c r="N463" s="71">
        <v>25.668399999999998</v>
      </c>
      <c r="O463" s="71">
        <v>96.353030000000004</v>
      </c>
      <c r="P463" s="71" t="s">
        <v>759</v>
      </c>
      <c r="Q463" s="71" t="s">
        <v>778</v>
      </c>
      <c r="R463" s="103"/>
      <c r="S463" s="569"/>
      <c r="T463" s="109"/>
      <c r="U463" s="105"/>
      <c r="V463" s="71" t="s">
        <v>252</v>
      </c>
      <c r="W463" s="429" t="s">
        <v>2662</v>
      </c>
    </row>
    <row r="464" spans="1:23" s="71" customFormat="1" ht="14.25" customHeight="1">
      <c r="A464" s="435" t="s">
        <v>37</v>
      </c>
      <c r="B464" s="566" t="s">
        <v>140</v>
      </c>
      <c r="C464" s="566" t="s">
        <v>180</v>
      </c>
      <c r="D464" s="477" t="s">
        <v>2869</v>
      </c>
      <c r="E464" s="71" t="s">
        <v>1611</v>
      </c>
      <c r="F464" s="71" t="s">
        <v>1735</v>
      </c>
      <c r="G464" s="71" t="s">
        <v>1736</v>
      </c>
      <c r="H464" s="71" t="s">
        <v>41</v>
      </c>
      <c r="I464" s="71" t="s">
        <v>133</v>
      </c>
      <c r="J464" s="71" t="s">
        <v>43</v>
      </c>
      <c r="K464" s="566" t="s">
        <v>43</v>
      </c>
      <c r="L464" s="566" t="s">
        <v>43</v>
      </c>
      <c r="M464" s="71" t="s">
        <v>44</v>
      </c>
      <c r="N464" s="71">
        <v>25.920006000000001</v>
      </c>
      <c r="O464" s="71">
        <v>96.662092000000001</v>
      </c>
      <c r="P464" s="71" t="s">
        <v>759</v>
      </c>
      <c r="Q464" s="71" t="s">
        <v>760</v>
      </c>
      <c r="R464" s="438">
        <v>28</v>
      </c>
      <c r="S464" s="438">
        <v>126</v>
      </c>
      <c r="T464" s="109"/>
      <c r="U464" s="105"/>
      <c r="W464" s="561"/>
    </row>
    <row r="465" spans="1:23" s="71" customFormat="1" ht="14.25" customHeight="1">
      <c r="A465" s="435" t="s">
        <v>37</v>
      </c>
      <c r="B465" s="435" t="s">
        <v>140</v>
      </c>
      <c r="C465" s="566" t="s">
        <v>181</v>
      </c>
      <c r="D465" s="477" t="s">
        <v>2869</v>
      </c>
      <c r="E465" s="71" t="s">
        <v>1612</v>
      </c>
      <c r="F465" s="71" t="s">
        <v>1735</v>
      </c>
      <c r="G465" s="71" t="s">
        <v>1736</v>
      </c>
      <c r="H465" s="71" t="s">
        <v>41</v>
      </c>
      <c r="I465" s="71" t="s">
        <v>2140</v>
      </c>
      <c r="J465" s="71" t="s">
        <v>43</v>
      </c>
      <c r="K465" s="566" t="s">
        <v>43</v>
      </c>
      <c r="L465" s="566" t="s">
        <v>774</v>
      </c>
      <c r="M465" s="71" t="s">
        <v>44</v>
      </c>
      <c r="N465" s="71">
        <v>25.920006000000001</v>
      </c>
      <c r="O465" s="71">
        <v>96.662092000000001</v>
      </c>
      <c r="P465" s="71" t="s">
        <v>759</v>
      </c>
      <c r="Q465" s="71" t="s">
        <v>760</v>
      </c>
      <c r="R465" s="438">
        <v>4</v>
      </c>
      <c r="S465" s="568">
        <v>11</v>
      </c>
      <c r="T465" s="109"/>
      <c r="U465" s="105" t="s">
        <v>2760</v>
      </c>
      <c r="W465" s="435"/>
    </row>
    <row r="466" spans="1:23" s="71" customFormat="1" ht="14.25" customHeight="1">
      <c r="A466" s="435" t="s">
        <v>37</v>
      </c>
      <c r="B466" s="561" t="s">
        <v>140</v>
      </c>
      <c r="C466" s="566" t="s">
        <v>183</v>
      </c>
      <c r="D466" s="477" t="s">
        <v>1664</v>
      </c>
      <c r="J466" s="71" t="s">
        <v>1463</v>
      </c>
      <c r="K466" s="566" t="s">
        <v>43</v>
      </c>
      <c r="L466" s="566" t="s">
        <v>43</v>
      </c>
      <c r="M466" s="71" t="s">
        <v>44</v>
      </c>
      <c r="P466" s="71" t="s">
        <v>759</v>
      </c>
      <c r="Q466" s="71" t="s">
        <v>760</v>
      </c>
      <c r="R466" s="438"/>
      <c r="S466" s="439"/>
      <c r="T466" s="109">
        <v>42824</v>
      </c>
      <c r="U466" s="105"/>
      <c r="W466" s="561"/>
    </row>
    <row r="467" spans="1:23" s="71" customFormat="1" ht="14.25" customHeight="1">
      <c r="A467" s="435" t="s">
        <v>37</v>
      </c>
      <c r="B467" s="566" t="s">
        <v>140</v>
      </c>
      <c r="C467" s="566" t="s">
        <v>1067</v>
      </c>
      <c r="D467" s="477" t="s">
        <v>1665</v>
      </c>
      <c r="E467" s="561" t="s">
        <v>1613</v>
      </c>
      <c r="F467" s="435" t="s">
        <v>1735</v>
      </c>
      <c r="G467" s="71" t="s">
        <v>1736</v>
      </c>
      <c r="I467" s="71">
        <v>0</v>
      </c>
      <c r="J467" s="71" t="s">
        <v>43</v>
      </c>
      <c r="K467" s="71" t="s">
        <v>43</v>
      </c>
      <c r="L467" s="71" t="s">
        <v>758</v>
      </c>
      <c r="M467" s="71" t="s">
        <v>44</v>
      </c>
      <c r="N467" s="71">
        <v>25.920006000000001</v>
      </c>
      <c r="O467" s="71">
        <v>96.662092000000001</v>
      </c>
      <c r="P467" s="71" t="s">
        <v>759</v>
      </c>
      <c r="Q467" s="71" t="s">
        <v>760</v>
      </c>
      <c r="R467" s="438"/>
      <c r="S467" s="439"/>
      <c r="T467" s="109"/>
      <c r="U467" s="105"/>
      <c r="W467" s="429" t="s">
        <v>2148</v>
      </c>
    </row>
    <row r="468" spans="1:23" s="71" customFormat="1" ht="14.25" customHeight="1">
      <c r="A468" s="435" t="s">
        <v>37</v>
      </c>
      <c r="B468" s="566" t="s">
        <v>140</v>
      </c>
      <c r="C468" s="566" t="s">
        <v>1064</v>
      </c>
      <c r="D468" s="477" t="s">
        <v>1665</v>
      </c>
      <c r="E468" s="566" t="s">
        <v>1606</v>
      </c>
      <c r="F468" s="71" t="s">
        <v>1735</v>
      </c>
      <c r="G468" s="71" t="s">
        <v>1735</v>
      </c>
      <c r="I468" s="71">
        <v>0</v>
      </c>
      <c r="J468" s="71" t="s">
        <v>43</v>
      </c>
      <c r="K468" s="71" t="s">
        <v>43</v>
      </c>
      <c r="L468" s="71" t="s">
        <v>758</v>
      </c>
      <c r="M468" s="71" t="s">
        <v>44</v>
      </c>
      <c r="N468" s="71">
        <v>25.806999999999999</v>
      </c>
      <c r="O468" s="71">
        <v>96.637</v>
      </c>
      <c r="P468" s="71" t="s">
        <v>759</v>
      </c>
      <c r="Q468" s="71" t="s">
        <v>760</v>
      </c>
      <c r="R468" s="438"/>
      <c r="S468" s="439"/>
      <c r="T468" s="109">
        <v>42983</v>
      </c>
      <c r="U468" s="105" t="s">
        <v>1065</v>
      </c>
      <c r="W468" s="429" t="s">
        <v>2154</v>
      </c>
    </row>
    <row r="469" spans="1:23" s="71" customFormat="1" ht="14.25" customHeight="1">
      <c r="A469" s="435" t="s">
        <v>37</v>
      </c>
      <c r="B469" s="566" t="s">
        <v>140</v>
      </c>
      <c r="C469" s="566" t="s">
        <v>1054</v>
      </c>
      <c r="D469" s="477" t="s">
        <v>1665</v>
      </c>
      <c r="E469" s="71" t="s">
        <v>1582</v>
      </c>
      <c r="F469" s="71" t="s">
        <v>1681</v>
      </c>
      <c r="G469" s="71" t="s">
        <v>1681</v>
      </c>
      <c r="H469" s="71" t="s">
        <v>41</v>
      </c>
      <c r="I469" s="71" t="s">
        <v>1328</v>
      </c>
      <c r="J469" s="71" t="s">
        <v>43</v>
      </c>
      <c r="K469" s="71" t="s">
        <v>43</v>
      </c>
      <c r="L469" s="71" t="s">
        <v>758</v>
      </c>
      <c r="M469" s="71" t="s">
        <v>44</v>
      </c>
      <c r="N469" s="71">
        <v>25.57921</v>
      </c>
      <c r="O469" s="71">
        <v>96.288250000000005</v>
      </c>
      <c r="P469" s="71" t="s">
        <v>759</v>
      </c>
      <c r="Q469" s="435"/>
      <c r="R469" s="438"/>
      <c r="S469" s="569"/>
      <c r="T469" s="452"/>
      <c r="U469" s="105"/>
      <c r="V469" s="71" t="s">
        <v>1054</v>
      </c>
      <c r="W469" s="435" t="s">
        <v>2155</v>
      </c>
    </row>
    <row r="470" spans="1:23" s="71" customFormat="1" ht="14.25" customHeight="1">
      <c r="A470" s="435" t="s">
        <v>37</v>
      </c>
      <c r="B470" s="566" t="s">
        <v>140</v>
      </c>
      <c r="C470" s="566" t="s">
        <v>253</v>
      </c>
      <c r="D470" s="477" t="s">
        <v>2869</v>
      </c>
      <c r="E470" s="71" t="s">
        <v>1581</v>
      </c>
      <c r="F470" s="71" t="s">
        <v>1681</v>
      </c>
      <c r="G470" s="71" t="s">
        <v>1842</v>
      </c>
      <c r="H470" s="71" t="s">
        <v>41</v>
      </c>
      <c r="I470" s="71" t="s">
        <v>133</v>
      </c>
      <c r="J470" s="71" t="s">
        <v>43</v>
      </c>
      <c r="K470" s="71" t="s">
        <v>43</v>
      </c>
      <c r="L470" s="71" t="s">
        <v>43</v>
      </c>
      <c r="M470" s="71" t="s">
        <v>44</v>
      </c>
      <c r="N470" s="71">
        <v>25.577559999999998</v>
      </c>
      <c r="O470" s="71">
        <v>96.286680000000004</v>
      </c>
      <c r="P470" s="71" t="s">
        <v>759</v>
      </c>
      <c r="Q470" s="71" t="s">
        <v>778</v>
      </c>
      <c r="R470" s="438">
        <v>32</v>
      </c>
      <c r="S470" s="568">
        <v>173</v>
      </c>
      <c r="T470" s="109"/>
      <c r="U470" s="105"/>
      <c r="V470" s="71" t="s">
        <v>253</v>
      </c>
      <c r="W470" s="435"/>
    </row>
    <row r="471" spans="1:23" s="71" customFormat="1" ht="14.25" customHeight="1">
      <c r="A471" s="435" t="s">
        <v>37</v>
      </c>
      <c r="B471" s="566" t="s">
        <v>140</v>
      </c>
      <c r="C471" s="566" t="s">
        <v>254</v>
      </c>
      <c r="D471" s="477" t="s">
        <v>2869</v>
      </c>
      <c r="E471" s="71" t="s">
        <v>1584</v>
      </c>
      <c r="F471" s="71" t="s">
        <v>1843</v>
      </c>
      <c r="G471" s="71" t="s">
        <v>1843</v>
      </c>
      <c r="H471" s="71" t="s">
        <v>41</v>
      </c>
      <c r="I471" s="71" t="s">
        <v>133</v>
      </c>
      <c r="J471" s="71" t="s">
        <v>43</v>
      </c>
      <c r="K471" s="71" t="s">
        <v>43</v>
      </c>
      <c r="L471" s="71" t="s">
        <v>43</v>
      </c>
      <c r="M471" s="71" t="s">
        <v>44</v>
      </c>
      <c r="N471" s="71">
        <v>25.599250000000001</v>
      </c>
      <c r="O471" s="71">
        <v>96.306910999999999</v>
      </c>
      <c r="P471" s="71" t="s">
        <v>759</v>
      </c>
      <c r="Q471" s="435" t="s">
        <v>778</v>
      </c>
      <c r="R471" s="438">
        <v>16</v>
      </c>
      <c r="S471" s="568">
        <v>69</v>
      </c>
      <c r="T471" s="452"/>
      <c r="U471" s="105"/>
      <c r="V471" s="71" t="s">
        <v>254</v>
      </c>
    </row>
    <row r="472" spans="1:23" s="71" customFormat="1" ht="14.25" customHeight="1">
      <c r="A472" s="435" t="s">
        <v>37</v>
      </c>
      <c r="B472" s="435" t="s">
        <v>773</v>
      </c>
      <c r="C472" s="435" t="s">
        <v>772</v>
      </c>
      <c r="D472" s="477" t="s">
        <v>1665</v>
      </c>
      <c r="E472" s="561" t="s">
        <v>1332</v>
      </c>
      <c r="F472" s="71">
        <v>0</v>
      </c>
      <c r="G472" s="71">
        <v>0</v>
      </c>
      <c r="I472" s="71">
        <v>0</v>
      </c>
      <c r="J472" s="71" t="s">
        <v>43</v>
      </c>
      <c r="K472" s="71" t="s">
        <v>43</v>
      </c>
      <c r="L472" s="71" t="s">
        <v>758</v>
      </c>
      <c r="M472" s="71" t="s">
        <v>44</v>
      </c>
      <c r="P472" s="71" t="s">
        <v>759</v>
      </c>
      <c r="R472" s="438"/>
      <c r="S472" s="569"/>
      <c r="T472" s="109"/>
      <c r="U472" s="105"/>
      <c r="V472" s="71" t="s">
        <v>772</v>
      </c>
      <c r="W472" s="561" t="s">
        <v>2156</v>
      </c>
    </row>
    <row r="473" spans="1:23" s="71" customFormat="1" ht="14.25" customHeight="1">
      <c r="A473" s="435" t="s">
        <v>37</v>
      </c>
      <c r="B473" s="435" t="s">
        <v>1071</v>
      </c>
      <c r="C473" s="435" t="s">
        <v>1070</v>
      </c>
      <c r="D473" s="477" t="s">
        <v>1665</v>
      </c>
      <c r="E473" s="566" t="s">
        <v>1617</v>
      </c>
      <c r="F473" s="71" t="s">
        <v>1737</v>
      </c>
      <c r="G473" s="71" t="s">
        <v>1070</v>
      </c>
      <c r="I473" s="71">
        <v>0</v>
      </c>
      <c r="J473" s="71" t="s">
        <v>43</v>
      </c>
      <c r="K473" s="71" t="s">
        <v>43</v>
      </c>
      <c r="L473" s="71" t="s">
        <v>758</v>
      </c>
      <c r="M473" s="71" t="s">
        <v>44</v>
      </c>
      <c r="N473" s="71">
        <v>26.890058</v>
      </c>
      <c r="O473" s="71">
        <v>98.144502500000002</v>
      </c>
      <c r="P473" s="71" t="s">
        <v>759</v>
      </c>
      <c r="R473" s="438"/>
      <c r="S473" s="569"/>
      <c r="T473" s="109"/>
      <c r="U473" s="105"/>
      <c r="V473" s="71" t="s">
        <v>1070</v>
      </c>
      <c r="W473" s="429" t="s">
        <v>2157</v>
      </c>
    </row>
    <row r="474" spans="1:23" s="71" customFormat="1" ht="14.25" customHeight="1">
      <c r="A474" s="561" t="s">
        <v>37</v>
      </c>
      <c r="B474" s="561" t="s">
        <v>1076</v>
      </c>
      <c r="C474" s="561" t="s">
        <v>1075</v>
      </c>
      <c r="D474" s="477" t="s">
        <v>1665</v>
      </c>
      <c r="E474" s="561" t="s">
        <v>1620</v>
      </c>
      <c r="F474" s="561">
        <v>0</v>
      </c>
      <c r="G474" s="561">
        <v>0</v>
      </c>
      <c r="H474" s="561"/>
      <c r="I474" s="561">
        <v>0</v>
      </c>
      <c r="J474" s="71" t="s">
        <v>43</v>
      </c>
      <c r="K474" s="561" t="s">
        <v>43</v>
      </c>
      <c r="L474" s="561" t="s">
        <v>758</v>
      </c>
      <c r="M474" s="71" t="s">
        <v>44</v>
      </c>
      <c r="N474" s="71">
        <v>27.274059999999999</v>
      </c>
      <c r="O474" s="71">
        <v>97.586470000000006</v>
      </c>
      <c r="P474" s="71" t="s">
        <v>759</v>
      </c>
      <c r="R474" s="568"/>
      <c r="S474" s="439"/>
      <c r="T474" s="109"/>
      <c r="U474" s="105"/>
      <c r="V474" s="71" t="s">
        <v>1077</v>
      </c>
      <c r="W474" s="429" t="s">
        <v>2158</v>
      </c>
    </row>
    <row r="475" spans="1:23" s="71" customFormat="1" ht="14.25" customHeight="1">
      <c r="A475" s="566" t="s">
        <v>37</v>
      </c>
      <c r="B475" s="566" t="s">
        <v>1318</v>
      </c>
      <c r="C475" s="566" t="s">
        <v>1891</v>
      </c>
      <c r="D475" s="567" t="s">
        <v>1884</v>
      </c>
      <c r="E475" s="575"/>
      <c r="F475" s="575"/>
      <c r="G475" s="575"/>
      <c r="H475" s="575"/>
      <c r="I475" s="575"/>
      <c r="J475" s="71" t="s">
        <v>1463</v>
      </c>
      <c r="K475" s="575"/>
      <c r="L475" s="575"/>
      <c r="M475" s="561"/>
      <c r="N475" s="561"/>
      <c r="O475" s="561"/>
      <c r="P475" s="71" t="s">
        <v>759</v>
      </c>
      <c r="Q475" s="561"/>
      <c r="R475" s="576"/>
      <c r="S475" s="569"/>
      <c r="T475" s="588"/>
      <c r="U475" s="570"/>
      <c r="V475" s="561"/>
      <c r="W475" s="435"/>
    </row>
    <row r="476" spans="1:23" s="71" customFormat="1" ht="14.25" customHeight="1">
      <c r="A476" s="566" t="s">
        <v>37</v>
      </c>
      <c r="B476" s="566" t="s">
        <v>1318</v>
      </c>
      <c r="C476" s="566" t="s">
        <v>1319</v>
      </c>
      <c r="D476" s="567" t="s">
        <v>1884</v>
      </c>
      <c r="E476" s="575"/>
      <c r="F476" s="575"/>
      <c r="G476" s="575"/>
      <c r="H476" s="575"/>
      <c r="I476" s="575"/>
      <c r="J476" s="71" t="s">
        <v>1463</v>
      </c>
      <c r="K476" s="575"/>
      <c r="L476" s="575"/>
      <c r="M476" s="566"/>
      <c r="N476" s="566"/>
      <c r="O476" s="566"/>
      <c r="P476" s="71" t="s">
        <v>759</v>
      </c>
      <c r="Q476" s="566"/>
      <c r="R476" s="577"/>
      <c r="S476" s="573"/>
      <c r="T476" s="589"/>
      <c r="U476" s="574"/>
      <c r="V476" s="566"/>
    </row>
    <row r="477" spans="1:23" s="71" customFormat="1" ht="14.25" customHeight="1">
      <c r="A477" s="435" t="s">
        <v>37</v>
      </c>
      <c r="B477" s="435" t="s">
        <v>38</v>
      </c>
      <c r="C477" s="435" t="s">
        <v>763</v>
      </c>
      <c r="D477" s="477" t="s">
        <v>1665</v>
      </c>
      <c r="E477" s="71" t="s">
        <v>1323</v>
      </c>
      <c r="F477" s="71">
        <v>0</v>
      </c>
      <c r="G477" s="71">
        <v>0</v>
      </c>
      <c r="I477" s="71">
        <v>0</v>
      </c>
      <c r="J477" s="71" t="s">
        <v>43</v>
      </c>
      <c r="K477" s="71" t="s">
        <v>43</v>
      </c>
      <c r="L477" s="71" t="s">
        <v>758</v>
      </c>
      <c r="M477" s="71" t="s">
        <v>44</v>
      </c>
      <c r="P477" s="71" t="s">
        <v>759</v>
      </c>
      <c r="R477" s="438"/>
      <c r="S477" s="569"/>
      <c r="T477" s="109"/>
      <c r="U477" s="105"/>
      <c r="V477" s="71" t="s">
        <v>763</v>
      </c>
      <c r="W477" s="561" t="s">
        <v>2159</v>
      </c>
    </row>
    <row r="478" spans="1:23" s="71" customFormat="1" ht="14.25" customHeight="1">
      <c r="A478" s="435" t="s">
        <v>37</v>
      </c>
      <c r="B478" s="435" t="s">
        <v>38</v>
      </c>
      <c r="C478" s="435" t="s">
        <v>764</v>
      </c>
      <c r="D478" s="477" t="s">
        <v>1665</v>
      </c>
      <c r="E478" s="71" t="s">
        <v>1324</v>
      </c>
      <c r="F478" s="71">
        <v>0</v>
      </c>
      <c r="G478" s="71">
        <v>0</v>
      </c>
      <c r="I478" s="71">
        <v>0</v>
      </c>
      <c r="J478" s="71" t="s">
        <v>43</v>
      </c>
      <c r="K478" s="71" t="s">
        <v>43</v>
      </c>
      <c r="L478" s="71" t="s">
        <v>758</v>
      </c>
      <c r="M478" s="71" t="s">
        <v>44</v>
      </c>
      <c r="P478" s="71" t="s">
        <v>759</v>
      </c>
      <c r="R478" s="438"/>
      <c r="S478" s="439"/>
      <c r="T478" s="109"/>
      <c r="U478" s="105"/>
      <c r="V478" s="71" t="s">
        <v>764</v>
      </c>
      <c r="W478" s="429" t="s">
        <v>2160</v>
      </c>
    </row>
    <row r="479" spans="1:23" s="71" customFormat="1" ht="14.25" customHeight="1">
      <c r="A479" s="435" t="s">
        <v>37</v>
      </c>
      <c r="B479" s="435" t="s">
        <v>38</v>
      </c>
      <c r="C479" s="71" t="s">
        <v>765</v>
      </c>
      <c r="D479" s="477" t="s">
        <v>1665</v>
      </c>
      <c r="E479" s="71" t="s">
        <v>1325</v>
      </c>
      <c r="F479" s="71">
        <v>0</v>
      </c>
      <c r="G479" s="71">
        <v>0</v>
      </c>
      <c r="I479" s="71">
        <v>0</v>
      </c>
      <c r="J479" s="71" t="s">
        <v>43</v>
      </c>
      <c r="K479" s="71" t="s">
        <v>43</v>
      </c>
      <c r="L479" s="71" t="s">
        <v>758</v>
      </c>
      <c r="M479" s="71" t="s">
        <v>44</v>
      </c>
      <c r="P479" s="71" t="s">
        <v>759</v>
      </c>
      <c r="R479" s="438"/>
      <c r="S479" s="569"/>
      <c r="T479" s="109"/>
      <c r="U479" s="105"/>
      <c r="V479" s="71" t="s">
        <v>765</v>
      </c>
      <c r="W479" s="71" t="s">
        <v>2159</v>
      </c>
    </row>
    <row r="480" spans="1:23" s="71" customFormat="1" ht="14.25" customHeight="1">
      <c r="A480" s="435" t="s">
        <v>37</v>
      </c>
      <c r="B480" s="435" t="s">
        <v>38</v>
      </c>
      <c r="C480" s="71" t="s">
        <v>1905</v>
      </c>
      <c r="D480" s="477" t="s">
        <v>2869</v>
      </c>
      <c r="E480" s="71" t="s">
        <v>1465</v>
      </c>
      <c r="F480" s="71" t="s">
        <v>1705</v>
      </c>
      <c r="G480" s="71" t="s">
        <v>1705</v>
      </c>
      <c r="H480" s="71" t="s">
        <v>41</v>
      </c>
      <c r="I480" s="71" t="s">
        <v>42</v>
      </c>
      <c r="J480" s="71" t="s">
        <v>43</v>
      </c>
      <c r="K480" s="71" t="s">
        <v>43</v>
      </c>
      <c r="L480" s="71" t="s">
        <v>43</v>
      </c>
      <c r="M480" s="71" t="s">
        <v>776</v>
      </c>
      <c r="N480" s="71">
        <v>24.002433</v>
      </c>
      <c r="O480" s="71">
        <v>97.609832999999995</v>
      </c>
      <c r="P480" s="71" t="s">
        <v>759</v>
      </c>
      <c r="Q480" s="71" t="s">
        <v>760</v>
      </c>
      <c r="R480" s="103">
        <v>357</v>
      </c>
      <c r="S480" s="568">
        <v>1692</v>
      </c>
      <c r="T480" s="109"/>
      <c r="U480" s="105"/>
      <c r="W480" s="435"/>
    </row>
    <row r="481" spans="1:23" s="71" customFormat="1" ht="14.25" customHeight="1">
      <c r="A481" s="435" t="s">
        <v>37</v>
      </c>
      <c r="B481" s="435" t="s">
        <v>38</v>
      </c>
      <c r="C481" s="435" t="s">
        <v>1892</v>
      </c>
      <c r="D481" s="477" t="s">
        <v>1664</v>
      </c>
      <c r="J481" s="71" t="s">
        <v>1463</v>
      </c>
      <c r="K481" s="71" t="s">
        <v>43</v>
      </c>
      <c r="L481" s="71" t="s">
        <v>1085</v>
      </c>
      <c r="M481" s="71" t="s">
        <v>776</v>
      </c>
      <c r="P481" s="71" t="s">
        <v>759</v>
      </c>
      <c r="R481" s="438"/>
      <c r="S481" s="439"/>
      <c r="T481" s="109"/>
      <c r="U481" s="105"/>
      <c r="V481" s="71" t="s">
        <v>1094</v>
      </c>
      <c r="W481" s="561"/>
    </row>
    <row r="482" spans="1:23" s="71" customFormat="1" ht="14.25" customHeight="1">
      <c r="A482" s="435" t="s">
        <v>37</v>
      </c>
      <c r="B482" s="435" t="s">
        <v>38</v>
      </c>
      <c r="C482" s="71" t="s">
        <v>1906</v>
      </c>
      <c r="D482" s="477" t="s">
        <v>1665</v>
      </c>
      <c r="E482" s="71" t="s">
        <v>1464</v>
      </c>
      <c r="F482" s="71" t="s">
        <v>1705</v>
      </c>
      <c r="G482" s="71" t="s">
        <v>1705</v>
      </c>
      <c r="H482" s="71" t="s">
        <v>41</v>
      </c>
      <c r="I482" s="71" t="s">
        <v>42</v>
      </c>
      <c r="J482" s="71" t="s">
        <v>43</v>
      </c>
      <c r="K482" s="71" t="s">
        <v>43</v>
      </c>
      <c r="L482" s="71" t="s">
        <v>758</v>
      </c>
      <c r="M482" s="71" t="s">
        <v>776</v>
      </c>
      <c r="N482" s="71">
        <v>24.000250000000001</v>
      </c>
      <c r="O482" s="71">
        <v>97.608249999999998</v>
      </c>
      <c r="P482" s="71" t="s">
        <v>759</v>
      </c>
      <c r="R482" s="103"/>
      <c r="S482" s="439"/>
      <c r="T482" s="109"/>
      <c r="U482" s="105"/>
      <c r="V482" s="71" t="s">
        <v>987</v>
      </c>
      <c r="W482" s="429" t="s">
        <v>2161</v>
      </c>
    </row>
    <row r="483" spans="1:23" s="71" customFormat="1" ht="14.25" customHeight="1">
      <c r="A483" s="435" t="s">
        <v>37</v>
      </c>
      <c r="B483" s="561" t="s">
        <v>38</v>
      </c>
      <c r="C483" s="561" t="s">
        <v>981</v>
      </c>
      <c r="D483" s="477" t="s">
        <v>1665</v>
      </c>
      <c r="E483" s="435" t="s">
        <v>1457</v>
      </c>
      <c r="F483" s="435" t="s">
        <v>1699</v>
      </c>
      <c r="G483" s="435">
        <v>0</v>
      </c>
      <c r="H483" s="435" t="s">
        <v>41</v>
      </c>
      <c r="I483" s="435" t="s">
        <v>42</v>
      </c>
      <c r="J483" s="435" t="s">
        <v>43</v>
      </c>
      <c r="K483" s="435" t="s">
        <v>43</v>
      </c>
      <c r="L483" s="435" t="s">
        <v>758</v>
      </c>
      <c r="M483" s="435" t="s">
        <v>776</v>
      </c>
      <c r="N483" s="435">
        <v>23.867713999999999</v>
      </c>
      <c r="O483" s="435">
        <v>97.601243999999994</v>
      </c>
      <c r="P483" s="71" t="s">
        <v>759</v>
      </c>
      <c r="Q483" s="435"/>
      <c r="R483" s="438"/>
      <c r="S483" s="569"/>
      <c r="T483" s="452"/>
      <c r="U483" s="440"/>
      <c r="V483" s="435" t="s">
        <v>981</v>
      </c>
      <c r="W483" s="71" t="s">
        <v>2162</v>
      </c>
    </row>
    <row r="484" spans="1:23" s="71" customFormat="1" ht="14.25" customHeight="1">
      <c r="A484" s="435" t="s">
        <v>37</v>
      </c>
      <c r="B484" s="561" t="s">
        <v>38</v>
      </c>
      <c r="C484" s="561" t="s">
        <v>286</v>
      </c>
      <c r="D484" s="477" t="s">
        <v>2869</v>
      </c>
      <c r="E484" s="71" t="s">
        <v>1469</v>
      </c>
      <c r="H484" s="71" t="s">
        <v>41</v>
      </c>
      <c r="I484" s="71" t="s">
        <v>42</v>
      </c>
      <c r="J484" s="71" t="s">
        <v>43</v>
      </c>
      <c r="K484" s="71" t="s">
        <v>43</v>
      </c>
      <c r="L484" s="71" t="s">
        <v>43</v>
      </c>
      <c r="M484" s="71" t="s">
        <v>776</v>
      </c>
      <c r="N484" s="71">
        <v>24.056132999999999</v>
      </c>
      <c r="O484" s="71">
        <v>97.625617000000005</v>
      </c>
      <c r="P484" s="71" t="s">
        <v>759</v>
      </c>
      <c r="Q484" s="71" t="s">
        <v>760</v>
      </c>
      <c r="R484" s="438">
        <v>522</v>
      </c>
      <c r="S484" s="568">
        <v>2536</v>
      </c>
      <c r="T484" s="109"/>
      <c r="U484" s="105"/>
      <c r="W484" s="561"/>
    </row>
    <row r="485" spans="1:23" s="71" customFormat="1" ht="14.25" customHeight="1">
      <c r="A485" s="561" t="s">
        <v>37</v>
      </c>
      <c r="B485" s="561" t="s">
        <v>38</v>
      </c>
      <c r="C485" s="561" t="s">
        <v>982</v>
      </c>
      <c r="D485" s="477" t="s">
        <v>1665</v>
      </c>
      <c r="E485" s="71" t="s">
        <v>1458</v>
      </c>
      <c r="F485" s="71" t="s">
        <v>1700</v>
      </c>
      <c r="G485" s="71">
        <v>0</v>
      </c>
      <c r="H485" s="71" t="s">
        <v>41</v>
      </c>
      <c r="I485" s="71" t="s">
        <v>42</v>
      </c>
      <c r="J485" s="71" t="s">
        <v>43</v>
      </c>
      <c r="K485" s="71" t="s">
        <v>43</v>
      </c>
      <c r="L485" s="71" t="s">
        <v>758</v>
      </c>
      <c r="M485" s="71" t="s">
        <v>776</v>
      </c>
      <c r="N485" s="435">
        <v>23.9055</v>
      </c>
      <c r="O485" s="435">
        <v>97.585667000000001</v>
      </c>
      <c r="P485" s="561" t="s">
        <v>759</v>
      </c>
      <c r="R485" s="103"/>
      <c r="S485" s="569"/>
      <c r="T485" s="109"/>
      <c r="U485" s="105"/>
      <c r="V485" s="71" t="s">
        <v>982</v>
      </c>
      <c r="W485" s="429" t="s">
        <v>2163</v>
      </c>
    </row>
    <row r="486" spans="1:23" s="71" customFormat="1" ht="14.25" customHeight="1">
      <c r="A486" s="435" t="s">
        <v>37</v>
      </c>
      <c r="B486" s="435" t="s">
        <v>38</v>
      </c>
      <c r="C486" s="435" t="s">
        <v>175</v>
      </c>
      <c r="D486" s="477" t="s">
        <v>2869</v>
      </c>
      <c r="E486" s="435" t="s">
        <v>1460</v>
      </c>
      <c r="F486" s="435" t="s">
        <v>175</v>
      </c>
      <c r="G486" s="435" t="s">
        <v>175</v>
      </c>
      <c r="H486" s="435" t="s">
        <v>41</v>
      </c>
      <c r="I486" s="435" t="s">
        <v>133</v>
      </c>
      <c r="J486" s="435" t="s">
        <v>43</v>
      </c>
      <c r="K486" s="435" t="s">
        <v>43</v>
      </c>
      <c r="L486" s="435" t="s">
        <v>43</v>
      </c>
      <c r="M486" s="435" t="s">
        <v>44</v>
      </c>
      <c r="N486" s="435">
        <v>23.972453000000002</v>
      </c>
      <c r="O486" s="435">
        <v>97.225881000000001</v>
      </c>
      <c r="P486" s="71" t="s">
        <v>759</v>
      </c>
      <c r="Q486" s="435" t="s">
        <v>778</v>
      </c>
      <c r="R486" s="438">
        <v>432</v>
      </c>
      <c r="S486" s="438">
        <v>2528</v>
      </c>
      <c r="T486" s="452"/>
      <c r="U486" s="440"/>
      <c r="V486" s="435" t="s">
        <v>175</v>
      </c>
      <c r="W486" s="429" t="s">
        <v>2274</v>
      </c>
    </row>
    <row r="487" spans="1:23" s="71" customFormat="1" ht="14.25" customHeight="1">
      <c r="A487" s="561" t="s">
        <v>37</v>
      </c>
      <c r="B487" s="561" t="s">
        <v>38</v>
      </c>
      <c r="C487" s="561" t="s">
        <v>39</v>
      </c>
      <c r="D487" s="477" t="s">
        <v>2869</v>
      </c>
      <c r="E487" s="435" t="s">
        <v>1461</v>
      </c>
      <c r="F487" s="435" t="s">
        <v>175</v>
      </c>
      <c r="G487" s="435" t="s">
        <v>175</v>
      </c>
      <c r="H487" s="435" t="s">
        <v>41</v>
      </c>
      <c r="I487" s="435" t="s">
        <v>42</v>
      </c>
      <c r="J487" s="435" t="s">
        <v>43</v>
      </c>
      <c r="K487" s="561" t="s">
        <v>43</v>
      </c>
      <c r="L487" s="561" t="s">
        <v>43</v>
      </c>
      <c r="M487" s="435" t="s">
        <v>44</v>
      </c>
      <c r="N487" s="435">
        <v>23.976571</v>
      </c>
      <c r="O487" s="435">
        <v>97.227057000000002</v>
      </c>
      <c r="P487" s="71" t="s">
        <v>759</v>
      </c>
      <c r="Q487" s="435" t="s">
        <v>778</v>
      </c>
      <c r="R487" s="568">
        <v>156</v>
      </c>
      <c r="S487" s="568">
        <v>694</v>
      </c>
      <c r="T487" s="452"/>
      <c r="U487" s="440"/>
      <c r="V487" s="435" t="s">
        <v>39</v>
      </c>
      <c r="W487" s="435"/>
    </row>
    <row r="488" spans="1:23" s="71" customFormat="1" ht="14.25" customHeight="1">
      <c r="A488" s="561" t="s">
        <v>37</v>
      </c>
      <c r="B488" s="561" t="s">
        <v>38</v>
      </c>
      <c r="C488" s="561" t="s">
        <v>985</v>
      </c>
      <c r="D488" s="477" t="s">
        <v>1664</v>
      </c>
      <c r="J488" s="71" t="s">
        <v>1463</v>
      </c>
      <c r="K488" s="71" t="s">
        <v>43</v>
      </c>
      <c r="L488" s="561" t="s">
        <v>43</v>
      </c>
      <c r="M488" s="71" t="s">
        <v>44</v>
      </c>
      <c r="N488" s="71">
        <v>23.989049999999999</v>
      </c>
      <c r="O488" s="71">
        <v>97.225311000000005</v>
      </c>
      <c r="P488" s="561" t="s">
        <v>759</v>
      </c>
      <c r="Q488" s="71" t="s">
        <v>760</v>
      </c>
      <c r="R488" s="438"/>
      <c r="S488" s="569"/>
      <c r="T488" s="109">
        <v>42849</v>
      </c>
      <c r="U488" s="105" t="s">
        <v>986</v>
      </c>
      <c r="W488" s="561"/>
    </row>
    <row r="489" spans="1:23" s="71" customFormat="1" ht="14.25" customHeight="1">
      <c r="A489" s="561" t="s">
        <v>37</v>
      </c>
      <c r="B489" s="561" t="s">
        <v>38</v>
      </c>
      <c r="C489" s="561" t="s">
        <v>996</v>
      </c>
      <c r="D489" s="477" t="s">
        <v>1665</v>
      </c>
      <c r="E489" s="71" t="s">
        <v>1474</v>
      </c>
      <c r="F489" s="71" t="s">
        <v>1706</v>
      </c>
      <c r="G489" s="71" t="s">
        <v>1707</v>
      </c>
      <c r="I489" s="71">
        <v>0</v>
      </c>
      <c r="J489" s="71" t="s">
        <v>43</v>
      </c>
      <c r="K489" s="71" t="s">
        <v>43</v>
      </c>
      <c r="L489" s="71" t="s">
        <v>758</v>
      </c>
      <c r="M489" s="71" t="s">
        <v>44</v>
      </c>
      <c r="N489" s="71">
        <v>24.181640000000002</v>
      </c>
      <c r="O489" s="71">
        <v>97.710989999999995</v>
      </c>
      <c r="P489" s="71" t="s">
        <v>759</v>
      </c>
      <c r="Q489" s="71" t="s">
        <v>778</v>
      </c>
      <c r="R489" s="568"/>
      <c r="S489" s="104"/>
      <c r="T489" s="109"/>
      <c r="U489" s="105" t="s">
        <v>997</v>
      </c>
      <c r="V489" s="71" t="s">
        <v>996</v>
      </c>
      <c r="W489" s="435" t="s">
        <v>2164</v>
      </c>
    </row>
    <row r="490" spans="1:23" s="71" customFormat="1" ht="14.25" customHeight="1">
      <c r="A490" s="561" t="s">
        <v>37</v>
      </c>
      <c r="B490" s="561" t="s">
        <v>38</v>
      </c>
      <c r="C490" s="561" t="s">
        <v>998</v>
      </c>
      <c r="D490" s="477" t="s">
        <v>1665</v>
      </c>
      <c r="E490" s="71" t="s">
        <v>1475</v>
      </c>
      <c r="F490" s="71" t="s">
        <v>1706</v>
      </c>
      <c r="G490" s="71" t="s">
        <v>1707</v>
      </c>
      <c r="I490" s="71">
        <v>0</v>
      </c>
      <c r="J490" s="71" t="s">
        <v>43</v>
      </c>
      <c r="K490" s="435" t="s">
        <v>43</v>
      </c>
      <c r="L490" s="435" t="s">
        <v>758</v>
      </c>
      <c r="M490" s="71" t="s">
        <v>44</v>
      </c>
      <c r="N490" s="71">
        <v>24.181640000000002</v>
      </c>
      <c r="O490" s="71">
        <v>97.710989999999995</v>
      </c>
      <c r="P490" s="71" t="s">
        <v>759</v>
      </c>
      <c r="R490" s="568"/>
      <c r="S490" s="569"/>
      <c r="T490" s="109"/>
      <c r="U490" s="105"/>
      <c r="V490" s="71" t="s">
        <v>998</v>
      </c>
      <c r="W490" s="435" t="s">
        <v>2164</v>
      </c>
    </row>
    <row r="491" spans="1:23" s="71" customFormat="1" ht="14.25" customHeight="1">
      <c r="A491" s="435" t="s">
        <v>37</v>
      </c>
      <c r="B491" s="435" t="s">
        <v>38</v>
      </c>
      <c r="C491" s="435" t="s">
        <v>290</v>
      </c>
      <c r="D491" s="477" t="s">
        <v>2869</v>
      </c>
      <c r="E491" s="71" t="s">
        <v>1451</v>
      </c>
      <c r="F491" s="71" t="s">
        <v>1686</v>
      </c>
      <c r="G491" s="71" t="s">
        <v>1686</v>
      </c>
      <c r="H491" s="71" t="s">
        <v>41</v>
      </c>
      <c r="I491" s="71" t="s">
        <v>133</v>
      </c>
      <c r="J491" s="71" t="s">
        <v>43</v>
      </c>
      <c r="K491" s="71" t="s">
        <v>43</v>
      </c>
      <c r="L491" s="71" t="s">
        <v>43</v>
      </c>
      <c r="M491" s="71" t="s">
        <v>44</v>
      </c>
      <c r="N491" s="71">
        <v>23.83013</v>
      </c>
      <c r="O491" s="71">
        <v>97.589979999999997</v>
      </c>
      <c r="P491" s="71" t="s">
        <v>759</v>
      </c>
      <c r="Q491" s="71" t="s">
        <v>778</v>
      </c>
      <c r="R491" s="438">
        <v>127</v>
      </c>
      <c r="S491" s="568">
        <v>653</v>
      </c>
      <c r="T491" s="109"/>
      <c r="U491" s="105"/>
      <c r="V491" s="71" t="s">
        <v>290</v>
      </c>
      <c r="W491" s="435"/>
    </row>
    <row r="492" spans="1:23" s="71" customFormat="1" ht="14.25" customHeight="1">
      <c r="A492" s="435" t="s">
        <v>37</v>
      </c>
      <c r="B492" s="435" t="s">
        <v>38</v>
      </c>
      <c r="C492" s="435" t="s">
        <v>1112</v>
      </c>
      <c r="D492" s="477" t="s">
        <v>1664</v>
      </c>
      <c r="I492" s="435"/>
      <c r="J492" s="71" t="s">
        <v>43</v>
      </c>
      <c r="K492" s="71" t="s">
        <v>43</v>
      </c>
      <c r="L492" s="71" t="s">
        <v>758</v>
      </c>
      <c r="M492" s="71" t="s">
        <v>44</v>
      </c>
      <c r="P492" s="71" t="s">
        <v>759</v>
      </c>
      <c r="R492" s="103"/>
      <c r="S492" s="569"/>
      <c r="T492" s="109"/>
      <c r="U492" s="105"/>
      <c r="W492" s="561"/>
    </row>
    <row r="493" spans="1:23" s="71" customFormat="1" ht="14.25" customHeight="1">
      <c r="A493" s="561" t="s">
        <v>37</v>
      </c>
      <c r="B493" s="561" t="s">
        <v>38</v>
      </c>
      <c r="C493" s="561" t="s">
        <v>292</v>
      </c>
      <c r="D493" s="477" t="s">
        <v>2869</v>
      </c>
      <c r="E493" s="71" t="s">
        <v>1450</v>
      </c>
      <c r="F493" s="71" t="s">
        <v>1686</v>
      </c>
      <c r="G493" s="71" t="s">
        <v>1686</v>
      </c>
      <c r="H493" s="71" t="s">
        <v>41</v>
      </c>
      <c r="I493" s="71" t="s">
        <v>133</v>
      </c>
      <c r="J493" s="71" t="s">
        <v>43</v>
      </c>
      <c r="K493" s="435" t="s">
        <v>43</v>
      </c>
      <c r="L493" s="561" t="s">
        <v>43</v>
      </c>
      <c r="M493" s="71" t="s">
        <v>44</v>
      </c>
      <c r="N493" s="71">
        <v>23.829599000000002</v>
      </c>
      <c r="O493" s="71">
        <v>97.590767</v>
      </c>
      <c r="P493" s="561" t="s">
        <v>759</v>
      </c>
      <c r="Q493" s="71" t="s">
        <v>778</v>
      </c>
      <c r="R493" s="438">
        <v>156</v>
      </c>
      <c r="S493" s="438">
        <v>650</v>
      </c>
      <c r="T493" s="109"/>
      <c r="U493" s="570"/>
      <c r="V493" s="71" t="s">
        <v>976</v>
      </c>
      <c r="W493" s="561"/>
    </row>
    <row r="494" spans="1:23" s="71" customFormat="1" ht="14.25" customHeight="1">
      <c r="A494" s="561" t="s">
        <v>37</v>
      </c>
      <c r="B494" s="561" t="s">
        <v>38</v>
      </c>
      <c r="C494" s="561" t="s">
        <v>293</v>
      </c>
      <c r="D494" s="477" t="s">
        <v>2869</v>
      </c>
      <c r="E494" s="71" t="s">
        <v>1453</v>
      </c>
      <c r="F494" s="71" t="s">
        <v>1686</v>
      </c>
      <c r="G494" s="71" t="s">
        <v>1686</v>
      </c>
      <c r="H494" s="71" t="s">
        <v>41</v>
      </c>
      <c r="I494" s="71" t="s">
        <v>42</v>
      </c>
      <c r="J494" s="71" t="s">
        <v>43</v>
      </c>
      <c r="K494" s="435" t="s">
        <v>43</v>
      </c>
      <c r="L494" s="435" t="s">
        <v>43</v>
      </c>
      <c r="M494" s="71" t="s">
        <v>44</v>
      </c>
      <c r="N494" s="71">
        <v>23.835319999999999</v>
      </c>
      <c r="O494" s="71">
        <v>97.578490000000002</v>
      </c>
      <c r="P494" s="561" t="s">
        <v>759</v>
      </c>
      <c r="Q494" s="71" t="s">
        <v>778</v>
      </c>
      <c r="R494" s="568">
        <v>437</v>
      </c>
      <c r="S494" s="568">
        <v>2316</v>
      </c>
      <c r="T494" s="109"/>
      <c r="U494" s="105"/>
      <c r="V494" s="71" t="s">
        <v>293</v>
      </c>
      <c r="W494" s="435"/>
    </row>
    <row r="495" spans="1:23" s="71" customFormat="1" ht="14.25" customHeight="1">
      <c r="A495" s="435" t="s">
        <v>37</v>
      </c>
      <c r="B495" s="435" t="s">
        <v>38</v>
      </c>
      <c r="C495" s="435" t="s">
        <v>294</v>
      </c>
      <c r="D495" s="477" t="s">
        <v>2869</v>
      </c>
      <c r="E495" s="435" t="s">
        <v>1452</v>
      </c>
      <c r="F495" s="435" t="s">
        <v>1686</v>
      </c>
      <c r="G495" s="435" t="s">
        <v>1686</v>
      </c>
      <c r="H495" s="435" t="s">
        <v>41</v>
      </c>
      <c r="I495" s="435" t="s">
        <v>42</v>
      </c>
      <c r="J495" s="435" t="s">
        <v>43</v>
      </c>
      <c r="K495" s="435" t="s">
        <v>43</v>
      </c>
      <c r="L495" s="435" t="s">
        <v>43</v>
      </c>
      <c r="M495" s="435" t="s">
        <v>44</v>
      </c>
      <c r="N495" s="435">
        <v>23.833477999999999</v>
      </c>
      <c r="O495" s="435">
        <v>97.578367</v>
      </c>
      <c r="P495" s="435" t="s">
        <v>759</v>
      </c>
      <c r="Q495" s="435" t="s">
        <v>778</v>
      </c>
      <c r="R495" s="438">
        <v>138</v>
      </c>
      <c r="S495" s="568">
        <v>732</v>
      </c>
      <c r="T495" s="452"/>
      <c r="U495" s="440"/>
      <c r="V495" s="435" t="s">
        <v>977</v>
      </c>
    </row>
    <row r="496" spans="1:23" s="71" customFormat="1" ht="14.25" customHeight="1">
      <c r="A496" s="561" t="s">
        <v>37</v>
      </c>
      <c r="B496" s="561" t="s">
        <v>38</v>
      </c>
      <c r="C496" s="561" t="s">
        <v>1113</v>
      </c>
      <c r="D496" s="477" t="s">
        <v>1664</v>
      </c>
      <c r="I496" s="435"/>
      <c r="J496" s="71" t="s">
        <v>1463</v>
      </c>
      <c r="K496" s="71" t="s">
        <v>43</v>
      </c>
      <c r="L496" s="71" t="s">
        <v>1097</v>
      </c>
      <c r="M496" s="71" t="s">
        <v>44</v>
      </c>
      <c r="P496" s="561" t="s">
        <v>759</v>
      </c>
      <c r="Q496" s="71" t="s">
        <v>778</v>
      </c>
      <c r="R496" s="438"/>
      <c r="S496" s="569"/>
      <c r="T496" s="109"/>
      <c r="U496" s="570" t="s">
        <v>1093</v>
      </c>
      <c r="V496" s="71" t="s">
        <v>1113</v>
      </c>
      <c r="W496" s="561"/>
    </row>
    <row r="497" spans="1:23" s="71" customFormat="1" ht="14.25" customHeight="1">
      <c r="A497" s="435" t="s">
        <v>37</v>
      </c>
      <c r="B497" s="435" t="s">
        <v>38</v>
      </c>
      <c r="C497" s="435" t="s">
        <v>975</v>
      </c>
      <c r="D497" s="477" t="s">
        <v>2869</v>
      </c>
      <c r="E497" s="71" t="s">
        <v>1447</v>
      </c>
      <c r="F497" s="71" t="s">
        <v>1686</v>
      </c>
      <c r="G497" s="71" t="s">
        <v>1686</v>
      </c>
      <c r="I497" s="71" t="s">
        <v>2140</v>
      </c>
      <c r="J497" s="71" t="s">
        <v>43</v>
      </c>
      <c r="K497" s="71" t="s">
        <v>43</v>
      </c>
      <c r="L497" s="71" t="s">
        <v>770</v>
      </c>
      <c r="M497" s="71" t="s">
        <v>44</v>
      </c>
      <c r="N497" s="71">
        <v>23.827870999999998</v>
      </c>
      <c r="O497" s="71">
        <v>97.588291999999996</v>
      </c>
      <c r="P497" s="435" t="s">
        <v>771</v>
      </c>
      <c r="Q497" s="71" t="s">
        <v>760</v>
      </c>
      <c r="R497" s="438">
        <v>175</v>
      </c>
      <c r="S497" s="438">
        <v>834</v>
      </c>
      <c r="T497" s="109"/>
      <c r="U497" s="105"/>
      <c r="V497" s="71" t="s">
        <v>975</v>
      </c>
      <c r="W497" s="435"/>
    </row>
    <row r="498" spans="1:23" s="71" customFormat="1" ht="14.25" customHeight="1">
      <c r="A498" s="435" t="s">
        <v>37</v>
      </c>
      <c r="B498" s="561" t="s">
        <v>38</v>
      </c>
      <c r="C498" s="561" t="s">
        <v>185</v>
      </c>
      <c r="D498" s="477" t="s">
        <v>2869</v>
      </c>
      <c r="E498" s="71" t="s">
        <v>1473</v>
      </c>
      <c r="F498" s="71" t="s">
        <v>1781</v>
      </c>
      <c r="G498" s="71" t="s">
        <v>1782</v>
      </c>
      <c r="H498" s="71" t="s">
        <v>41</v>
      </c>
      <c r="I498" s="71" t="s">
        <v>133</v>
      </c>
      <c r="J498" s="71" t="s">
        <v>43</v>
      </c>
      <c r="K498" s="71" t="s">
        <v>43</v>
      </c>
      <c r="L498" s="71" t="s">
        <v>43</v>
      </c>
      <c r="M498" s="71" t="s">
        <v>44</v>
      </c>
      <c r="N498" s="71">
        <v>24.129059999999999</v>
      </c>
      <c r="O498" s="71">
        <v>97.291820000000001</v>
      </c>
      <c r="P498" s="71" t="s">
        <v>759</v>
      </c>
      <c r="Q498" s="71" t="s">
        <v>778</v>
      </c>
      <c r="R498" s="438">
        <v>190</v>
      </c>
      <c r="S498" s="568">
        <v>853</v>
      </c>
      <c r="T498" s="109"/>
      <c r="U498" s="105"/>
      <c r="V498" s="435" t="s">
        <v>185</v>
      </c>
      <c r="W498" s="561"/>
    </row>
    <row r="499" spans="1:23" s="71" customFormat="1" ht="14.25" customHeight="1">
      <c r="A499" s="435" t="s">
        <v>37</v>
      </c>
      <c r="B499" s="561" t="s">
        <v>38</v>
      </c>
      <c r="C499" s="561" t="s">
        <v>993</v>
      </c>
      <c r="D499" s="477" t="s">
        <v>2869</v>
      </c>
      <c r="E499" s="71" t="s">
        <v>1472</v>
      </c>
      <c r="I499" s="71" t="s">
        <v>2140</v>
      </c>
      <c r="J499" s="71" t="s">
        <v>43</v>
      </c>
      <c r="K499" s="71" t="s">
        <v>43</v>
      </c>
      <c r="L499" s="435" t="s">
        <v>770</v>
      </c>
      <c r="M499" s="71" t="s">
        <v>44</v>
      </c>
      <c r="N499" s="71">
        <v>24.118618999999999</v>
      </c>
      <c r="O499" s="71">
        <v>97.298055000000005</v>
      </c>
      <c r="P499" s="71" t="s">
        <v>771</v>
      </c>
      <c r="Q499" s="71" t="s">
        <v>760</v>
      </c>
      <c r="R499" s="438">
        <v>67</v>
      </c>
      <c r="S499" s="568">
        <v>324</v>
      </c>
      <c r="T499" s="109"/>
      <c r="U499" s="105" t="s">
        <v>994</v>
      </c>
      <c r="V499" s="435" t="s">
        <v>995</v>
      </c>
      <c r="W499" s="435"/>
    </row>
    <row r="500" spans="1:23" s="71" customFormat="1" ht="14.25" customHeight="1">
      <c r="A500" s="435" t="s">
        <v>37</v>
      </c>
      <c r="B500" s="435" t="s">
        <v>38</v>
      </c>
      <c r="C500" s="435" t="s">
        <v>999</v>
      </c>
      <c r="D500" s="477" t="s">
        <v>1665</v>
      </c>
      <c r="E500" s="71" t="s">
        <v>1482</v>
      </c>
      <c r="F500" s="71" t="s">
        <v>1708</v>
      </c>
      <c r="G500" s="71">
        <v>0</v>
      </c>
      <c r="I500" s="71">
        <v>0</v>
      </c>
      <c r="J500" s="71" t="s">
        <v>43</v>
      </c>
      <c r="K500" s="71" t="s">
        <v>43</v>
      </c>
      <c r="L500" s="435" t="s">
        <v>758</v>
      </c>
      <c r="M500" s="71" t="s">
        <v>776</v>
      </c>
      <c r="N500" s="71">
        <v>24.20645</v>
      </c>
      <c r="O500" s="71">
        <v>96.808850000000007</v>
      </c>
      <c r="P500" s="435" t="s">
        <v>759</v>
      </c>
      <c r="R500" s="438"/>
      <c r="S500" s="569"/>
      <c r="T500" s="109"/>
      <c r="U500" s="105"/>
      <c r="V500" s="71" t="s">
        <v>999</v>
      </c>
      <c r="W500" s="435" t="s">
        <v>2142</v>
      </c>
    </row>
    <row r="501" spans="1:23" s="71" customFormat="1" ht="14.25" customHeight="1">
      <c r="A501" s="435" t="s">
        <v>37</v>
      </c>
      <c r="B501" s="435" t="s">
        <v>38</v>
      </c>
      <c r="C501" s="435" t="s">
        <v>775</v>
      </c>
      <c r="D501" s="477" t="s">
        <v>1665</v>
      </c>
      <c r="E501" s="435" t="s">
        <v>1336</v>
      </c>
      <c r="F501" s="71" t="s">
        <v>1686</v>
      </c>
      <c r="G501" s="71">
        <v>0</v>
      </c>
      <c r="I501" s="71">
        <v>0</v>
      </c>
      <c r="J501" s="71" t="s">
        <v>43</v>
      </c>
      <c r="K501" s="71" t="s">
        <v>43</v>
      </c>
      <c r="L501" s="71" t="s">
        <v>758</v>
      </c>
      <c r="M501" s="71" t="s">
        <v>776</v>
      </c>
      <c r="P501" s="435" t="s">
        <v>759</v>
      </c>
      <c r="R501" s="438"/>
      <c r="S501" s="569"/>
      <c r="T501" s="109"/>
      <c r="U501" s="105"/>
      <c r="V501" s="71" t="s">
        <v>775</v>
      </c>
      <c r="W501" s="435" t="s">
        <v>2165</v>
      </c>
    </row>
    <row r="502" spans="1:23" s="71" customFormat="1" ht="14.25" customHeight="1">
      <c r="A502" s="435" t="s">
        <v>37</v>
      </c>
      <c r="B502" s="435" t="s">
        <v>38</v>
      </c>
      <c r="C502" s="435" t="s">
        <v>973</v>
      </c>
      <c r="D502" s="477" t="s">
        <v>1665</v>
      </c>
      <c r="E502" s="71" t="s">
        <v>1444</v>
      </c>
      <c r="F502" s="71" t="s">
        <v>1688</v>
      </c>
      <c r="G502" s="71">
        <v>0</v>
      </c>
      <c r="I502" s="71">
        <v>0</v>
      </c>
      <c r="J502" s="71" t="s">
        <v>43</v>
      </c>
      <c r="K502" s="435" t="s">
        <v>43</v>
      </c>
      <c r="L502" s="435" t="s">
        <v>758</v>
      </c>
      <c r="M502" s="71" t="s">
        <v>776</v>
      </c>
      <c r="N502" s="71">
        <v>23.75817</v>
      </c>
      <c r="O502" s="71">
        <v>97.132339999999999</v>
      </c>
      <c r="P502" s="71" t="s">
        <v>759</v>
      </c>
      <c r="R502" s="438"/>
      <c r="S502" s="439"/>
      <c r="T502" s="109"/>
      <c r="U502" s="105"/>
      <c r="V502" s="71" t="s">
        <v>973</v>
      </c>
      <c r="W502" s="435" t="s">
        <v>2142</v>
      </c>
    </row>
    <row r="503" spans="1:23" s="71" customFormat="1" ht="14.25" customHeight="1">
      <c r="A503" s="435" t="s">
        <v>37</v>
      </c>
      <c r="B503" s="435" t="s">
        <v>38</v>
      </c>
      <c r="C503" s="71" t="s">
        <v>779</v>
      </c>
      <c r="D503" s="477" t="s">
        <v>1665</v>
      </c>
      <c r="E503" s="71" t="s">
        <v>1339</v>
      </c>
      <c r="F503" s="71" t="s">
        <v>1688</v>
      </c>
      <c r="G503" s="71">
        <v>0</v>
      </c>
      <c r="I503" s="435">
        <v>0</v>
      </c>
      <c r="J503" s="71" t="s">
        <v>43</v>
      </c>
      <c r="K503" s="71" t="s">
        <v>43</v>
      </c>
      <c r="L503" s="435" t="s">
        <v>758</v>
      </c>
      <c r="M503" s="71" t="s">
        <v>776</v>
      </c>
      <c r="N503" s="435"/>
      <c r="O503" s="435"/>
      <c r="P503" s="71" t="s">
        <v>759</v>
      </c>
      <c r="R503" s="438"/>
      <c r="S503" s="439"/>
      <c r="T503" s="109"/>
      <c r="U503" s="105"/>
      <c r="V503" s="71" t="s">
        <v>779</v>
      </c>
      <c r="W503" s="435" t="s">
        <v>2142</v>
      </c>
    </row>
    <row r="504" spans="1:23" s="71" customFormat="1" ht="14.25" customHeight="1">
      <c r="A504" s="435" t="s">
        <v>37</v>
      </c>
      <c r="B504" s="561" t="s">
        <v>38</v>
      </c>
      <c r="C504" s="561" t="s">
        <v>974</v>
      </c>
      <c r="D504" s="477" t="s">
        <v>1665</v>
      </c>
      <c r="E504" s="435" t="s">
        <v>1445</v>
      </c>
      <c r="F504" s="71" t="s">
        <v>1688</v>
      </c>
      <c r="G504" s="71">
        <v>0</v>
      </c>
      <c r="I504" s="435">
        <v>0</v>
      </c>
      <c r="J504" s="71" t="s">
        <v>43</v>
      </c>
      <c r="K504" s="71" t="s">
        <v>43</v>
      </c>
      <c r="L504" s="71" t="s">
        <v>758</v>
      </c>
      <c r="M504" s="71" t="s">
        <v>776</v>
      </c>
      <c r="N504" s="435">
        <v>23.75817</v>
      </c>
      <c r="O504" s="435">
        <v>97.132339999999999</v>
      </c>
      <c r="P504" s="71" t="s">
        <v>759</v>
      </c>
      <c r="R504" s="438"/>
      <c r="S504" s="569"/>
      <c r="T504" s="109"/>
      <c r="U504" s="105"/>
      <c r="V504" s="71" t="s">
        <v>974</v>
      </c>
      <c r="W504" s="561" t="s">
        <v>2166</v>
      </c>
    </row>
    <row r="505" spans="1:23" s="71" customFormat="1" ht="14.25" customHeight="1">
      <c r="A505" s="435" t="s">
        <v>37</v>
      </c>
      <c r="B505" s="436" t="s">
        <v>38</v>
      </c>
      <c r="C505" s="436" t="s">
        <v>787</v>
      </c>
      <c r="D505" s="477" t="s">
        <v>1665</v>
      </c>
      <c r="E505" s="435" t="s">
        <v>1344</v>
      </c>
      <c r="F505" s="71">
        <v>0</v>
      </c>
      <c r="G505" s="71">
        <v>0</v>
      </c>
      <c r="I505" s="435">
        <v>0</v>
      </c>
      <c r="J505" s="71" t="s">
        <v>43</v>
      </c>
      <c r="K505" s="435" t="s">
        <v>43</v>
      </c>
      <c r="L505" s="435" t="s">
        <v>758</v>
      </c>
      <c r="M505" s="71" t="s">
        <v>44</v>
      </c>
      <c r="N505" s="435"/>
      <c r="O505" s="435"/>
      <c r="P505" s="435" t="s">
        <v>759</v>
      </c>
      <c r="R505" s="438"/>
      <c r="S505" s="569"/>
      <c r="T505" s="109"/>
      <c r="U505" s="105"/>
      <c r="W505" s="71" t="s">
        <v>2167</v>
      </c>
    </row>
    <row r="506" spans="1:23" s="71" customFormat="1" ht="14.25" customHeight="1">
      <c r="A506" s="561" t="s">
        <v>37</v>
      </c>
      <c r="B506" s="566" t="s">
        <v>38</v>
      </c>
      <c r="C506" s="566" t="s">
        <v>131</v>
      </c>
      <c r="D506" s="477" t="s">
        <v>1664</v>
      </c>
      <c r="I506" s="435"/>
      <c r="J506" s="71" t="s">
        <v>1463</v>
      </c>
      <c r="K506" s="561" t="s">
        <v>43</v>
      </c>
      <c r="L506" s="561" t="s">
        <v>43</v>
      </c>
      <c r="M506" s="71" t="s">
        <v>44</v>
      </c>
      <c r="N506" s="435"/>
      <c r="O506" s="435"/>
      <c r="P506" s="561" t="s">
        <v>759</v>
      </c>
      <c r="Q506" s="71" t="s">
        <v>778</v>
      </c>
      <c r="R506" s="568"/>
      <c r="S506" s="569"/>
      <c r="T506" s="109">
        <v>42747</v>
      </c>
      <c r="U506" s="105" t="s">
        <v>1093</v>
      </c>
      <c r="W506" s="561"/>
    </row>
    <row r="507" spans="1:23" s="71" customFormat="1" ht="14.25" customHeight="1">
      <c r="A507" s="573" t="s">
        <v>37</v>
      </c>
      <c r="B507" s="572" t="s">
        <v>144</v>
      </c>
      <c r="C507" s="566" t="s">
        <v>1962</v>
      </c>
      <c r="D507" s="477" t="s">
        <v>2869</v>
      </c>
      <c r="E507" s="71" t="s">
        <v>1968</v>
      </c>
      <c r="I507" s="71" t="s">
        <v>2140</v>
      </c>
      <c r="J507" s="71" t="s">
        <v>43</v>
      </c>
      <c r="K507" s="71" t="s">
        <v>43</v>
      </c>
      <c r="L507" s="71" t="s">
        <v>774</v>
      </c>
      <c r="M507" s="71" t="s">
        <v>44</v>
      </c>
      <c r="N507" s="435"/>
      <c r="O507" s="435"/>
      <c r="P507" s="566" t="s">
        <v>759</v>
      </c>
      <c r="Q507" s="71" t="s">
        <v>1946</v>
      </c>
      <c r="R507" s="438">
        <v>6</v>
      </c>
      <c r="S507" s="568">
        <v>32</v>
      </c>
      <c r="T507" s="109">
        <v>43276</v>
      </c>
      <c r="U507" s="105" t="s">
        <v>1995</v>
      </c>
      <c r="W507" s="429" t="s">
        <v>2275</v>
      </c>
    </row>
    <row r="508" spans="1:23" s="71" customFormat="1" ht="14.25" customHeight="1">
      <c r="A508" s="561" t="s">
        <v>37</v>
      </c>
      <c r="B508" s="561" t="s">
        <v>144</v>
      </c>
      <c r="C508" s="561" t="s">
        <v>145</v>
      </c>
      <c r="D508" s="477" t="s">
        <v>2869</v>
      </c>
      <c r="E508" s="71" t="s">
        <v>1537</v>
      </c>
      <c r="F508" s="71" t="s">
        <v>1741</v>
      </c>
      <c r="G508" s="71" t="s">
        <v>1816</v>
      </c>
      <c r="H508" s="71" t="s">
        <v>41</v>
      </c>
      <c r="I508" s="71" t="s">
        <v>133</v>
      </c>
      <c r="J508" s="71" t="s">
        <v>43</v>
      </c>
      <c r="K508" s="561" t="s">
        <v>43</v>
      </c>
      <c r="L508" s="561" t="s">
        <v>43</v>
      </c>
      <c r="M508" s="71" t="s">
        <v>44</v>
      </c>
      <c r="N508" s="435">
        <v>25.305669999999999</v>
      </c>
      <c r="O508" s="435">
        <v>96.922619999999995</v>
      </c>
      <c r="P508" s="435" t="s">
        <v>759</v>
      </c>
      <c r="Q508" s="435" t="s">
        <v>778</v>
      </c>
      <c r="R508" s="568">
        <v>13</v>
      </c>
      <c r="S508" s="568">
        <v>72</v>
      </c>
      <c r="T508" s="452"/>
      <c r="U508" s="105"/>
      <c r="V508" s="435" t="s">
        <v>145</v>
      </c>
      <c r="W508" s="561"/>
    </row>
    <row r="509" spans="1:23" s="71" customFormat="1" ht="14.25" customHeight="1">
      <c r="A509" s="573" t="s">
        <v>37</v>
      </c>
      <c r="B509" s="572" t="s">
        <v>144</v>
      </c>
      <c r="C509" s="573" t="s">
        <v>1992</v>
      </c>
      <c r="D509" s="567"/>
      <c r="J509" s="71" t="s">
        <v>1463</v>
      </c>
      <c r="K509" s="566" t="s">
        <v>43</v>
      </c>
      <c r="L509" s="566" t="s">
        <v>774</v>
      </c>
      <c r="N509" s="435"/>
      <c r="O509" s="435"/>
      <c r="P509" s="561" t="s">
        <v>1991</v>
      </c>
      <c r="Q509" s="71" t="s">
        <v>1946</v>
      </c>
      <c r="R509" s="576"/>
      <c r="S509" s="569"/>
      <c r="T509" s="109">
        <v>43285</v>
      </c>
      <c r="U509" s="105" t="s">
        <v>1997</v>
      </c>
      <c r="W509" s="561"/>
    </row>
    <row r="510" spans="1:23" s="71" customFormat="1" ht="14.25" customHeight="1">
      <c r="A510" s="573" t="s">
        <v>37</v>
      </c>
      <c r="B510" s="572" t="s">
        <v>144</v>
      </c>
      <c r="C510" s="566" t="s">
        <v>1961</v>
      </c>
      <c r="D510" s="477" t="s">
        <v>2869</v>
      </c>
      <c r="E510" s="71" t="s">
        <v>1966</v>
      </c>
      <c r="I510" s="71" t="s">
        <v>1328</v>
      </c>
      <c r="J510" s="71" t="s">
        <v>43</v>
      </c>
      <c r="K510" s="71" t="s">
        <v>43</v>
      </c>
      <c r="L510" s="566" t="s">
        <v>43</v>
      </c>
      <c r="M510" s="71" t="s">
        <v>44</v>
      </c>
      <c r="N510" s="435">
        <v>97.013800000000003</v>
      </c>
      <c r="O510" s="435">
        <v>25.383465999999999</v>
      </c>
      <c r="P510" s="566" t="s">
        <v>759</v>
      </c>
      <c r="Q510" s="435" t="s">
        <v>1946</v>
      </c>
      <c r="R510" s="568">
        <v>76</v>
      </c>
      <c r="S510" s="568">
        <v>381</v>
      </c>
      <c r="T510" s="452">
        <v>43276</v>
      </c>
      <c r="U510" s="105" t="s">
        <v>2233</v>
      </c>
      <c r="W510" s="429" t="s">
        <v>2276</v>
      </c>
    </row>
    <row r="511" spans="1:23" s="71" customFormat="1" ht="14.25" customHeight="1">
      <c r="A511" s="573" t="s">
        <v>37</v>
      </c>
      <c r="B511" s="572" t="s">
        <v>144</v>
      </c>
      <c r="C511" s="566" t="s">
        <v>1949</v>
      </c>
      <c r="D511" s="567"/>
      <c r="I511" s="435"/>
      <c r="J511" s="71" t="s">
        <v>1463</v>
      </c>
      <c r="K511" s="71" t="s">
        <v>43</v>
      </c>
      <c r="L511" s="71" t="s">
        <v>43</v>
      </c>
      <c r="M511" s="71" t="s">
        <v>44</v>
      </c>
      <c r="N511" s="435"/>
      <c r="O511" s="435"/>
      <c r="P511" s="561" t="s">
        <v>759</v>
      </c>
      <c r="Q511" s="71" t="s">
        <v>1946</v>
      </c>
      <c r="R511" s="576"/>
      <c r="S511" s="569"/>
      <c r="T511" s="109">
        <v>43270</v>
      </c>
      <c r="U511" s="105"/>
    </row>
    <row r="512" spans="1:23" s="71" customFormat="1" ht="14.25" customHeight="1">
      <c r="A512" s="573" t="s">
        <v>37</v>
      </c>
      <c r="B512" s="572" t="s">
        <v>144</v>
      </c>
      <c r="C512" s="566" t="s">
        <v>1948</v>
      </c>
      <c r="D512" s="567"/>
      <c r="J512" s="71" t="s">
        <v>1463</v>
      </c>
      <c r="K512" s="71" t="s">
        <v>43</v>
      </c>
      <c r="L512" s="435" t="s">
        <v>43</v>
      </c>
      <c r="M512" s="71" t="s">
        <v>44</v>
      </c>
      <c r="N512" s="435"/>
      <c r="O512" s="435"/>
      <c r="P512" s="435" t="s">
        <v>759</v>
      </c>
      <c r="Q512" s="71" t="s">
        <v>1946</v>
      </c>
      <c r="R512" s="576"/>
      <c r="S512" s="569"/>
      <c r="T512" s="109">
        <v>43270</v>
      </c>
      <c r="U512" s="440"/>
      <c r="W512" s="435"/>
    </row>
    <row r="513" spans="1:23" s="71" customFormat="1" ht="14.25" customHeight="1">
      <c r="A513" s="435" t="s">
        <v>37</v>
      </c>
      <c r="B513" s="435" t="s">
        <v>144</v>
      </c>
      <c r="C513" s="435" t="s">
        <v>2134</v>
      </c>
      <c r="D513" s="477" t="s">
        <v>2869</v>
      </c>
      <c r="E513" s="71" t="s">
        <v>1533</v>
      </c>
      <c r="H513" s="435" t="s">
        <v>41</v>
      </c>
      <c r="I513" s="71" t="s">
        <v>133</v>
      </c>
      <c r="J513" s="71" t="s">
        <v>43</v>
      </c>
      <c r="K513" s="435" t="s">
        <v>43</v>
      </c>
      <c r="L513" s="435" t="s">
        <v>43</v>
      </c>
      <c r="M513" s="71" t="s">
        <v>44</v>
      </c>
      <c r="N513" s="435">
        <v>25.296579999999999</v>
      </c>
      <c r="O513" s="435">
        <v>96.942279999999997</v>
      </c>
      <c r="P513" s="435" t="s">
        <v>759</v>
      </c>
      <c r="Q513" s="71" t="s">
        <v>778</v>
      </c>
      <c r="R513" s="438">
        <v>15</v>
      </c>
      <c r="S513" s="568">
        <v>74</v>
      </c>
      <c r="T513" s="109"/>
      <c r="U513" s="105"/>
      <c r="V513" s="71" t="s">
        <v>146</v>
      </c>
      <c r="W513" s="561"/>
    </row>
    <row r="514" spans="1:23" s="71" customFormat="1" ht="14.25" customHeight="1">
      <c r="A514" s="561" t="s">
        <v>37</v>
      </c>
      <c r="B514" s="561" t="s">
        <v>144</v>
      </c>
      <c r="C514" s="561" t="s">
        <v>232</v>
      </c>
      <c r="D514" s="477" t="s">
        <v>1742</v>
      </c>
      <c r="E514" s="71" t="s">
        <v>1534</v>
      </c>
      <c r="F514" s="71" t="s">
        <v>1813</v>
      </c>
      <c r="G514" s="71" t="s">
        <v>1814</v>
      </c>
      <c r="H514" s="435"/>
      <c r="I514" s="435">
        <v>0</v>
      </c>
      <c r="J514" s="71" t="s">
        <v>43</v>
      </c>
      <c r="K514" s="71" t="s">
        <v>43</v>
      </c>
      <c r="L514" s="561" t="s">
        <v>758</v>
      </c>
      <c r="M514" s="71" t="s">
        <v>44</v>
      </c>
      <c r="N514" s="435">
        <v>25.299679999999999</v>
      </c>
      <c r="O514" s="435">
        <v>96.942279999999997</v>
      </c>
      <c r="P514" s="561" t="s">
        <v>759</v>
      </c>
      <c r="Q514" s="71" t="s">
        <v>778</v>
      </c>
      <c r="R514" s="438"/>
      <c r="S514" s="569"/>
      <c r="T514" s="109">
        <v>42836</v>
      </c>
      <c r="U514" s="570" t="s">
        <v>2705</v>
      </c>
      <c r="V514" s="71" t="s">
        <v>232</v>
      </c>
      <c r="W514" s="429" t="s">
        <v>2168</v>
      </c>
    </row>
    <row r="515" spans="1:23" s="71" customFormat="1" ht="14.25" customHeight="1">
      <c r="A515" s="573" t="s">
        <v>37</v>
      </c>
      <c r="B515" s="572" t="s">
        <v>144</v>
      </c>
      <c r="C515" s="566" t="s">
        <v>1960</v>
      </c>
      <c r="D515" s="477" t="s">
        <v>2869</v>
      </c>
      <c r="E515" s="71" t="s">
        <v>1965</v>
      </c>
      <c r="H515" s="435"/>
      <c r="I515" s="71" t="s">
        <v>1328</v>
      </c>
      <c r="J515" s="71" t="s">
        <v>43</v>
      </c>
      <c r="K515" s="71" t="s">
        <v>43</v>
      </c>
      <c r="L515" s="566" t="s">
        <v>43</v>
      </c>
      <c r="M515" s="71" t="s">
        <v>44</v>
      </c>
      <c r="N515" s="435">
        <v>97.010629910000006</v>
      </c>
      <c r="O515" s="435">
        <v>25.37033053</v>
      </c>
      <c r="P515" s="566" t="s">
        <v>759</v>
      </c>
      <c r="Q515" s="71" t="s">
        <v>1946</v>
      </c>
      <c r="R515" s="568">
        <v>45</v>
      </c>
      <c r="S515" s="568">
        <v>235</v>
      </c>
      <c r="T515" s="109">
        <v>43276</v>
      </c>
      <c r="U515" s="574" t="s">
        <v>1996</v>
      </c>
      <c r="W515" s="429" t="s">
        <v>2276</v>
      </c>
    </row>
    <row r="516" spans="1:23" s="71" customFormat="1" ht="14.25" customHeight="1">
      <c r="A516" s="569" t="s">
        <v>37</v>
      </c>
      <c r="B516" s="572" t="s">
        <v>144</v>
      </c>
      <c r="C516" s="573" t="s">
        <v>2031</v>
      </c>
      <c r="D516" s="567"/>
      <c r="H516" s="435"/>
      <c r="I516" s="435"/>
      <c r="J516" s="71" t="s">
        <v>1463</v>
      </c>
      <c r="K516" s="435" t="s">
        <v>43</v>
      </c>
      <c r="L516" s="435" t="s">
        <v>774</v>
      </c>
      <c r="M516" s="71" t="s">
        <v>44</v>
      </c>
      <c r="N516" s="435"/>
      <c r="O516" s="435"/>
      <c r="P516" s="566" t="s">
        <v>1989</v>
      </c>
      <c r="R516" s="576"/>
      <c r="S516" s="569"/>
      <c r="T516" s="109">
        <v>43298</v>
      </c>
      <c r="U516" s="105"/>
      <c r="W516" s="435"/>
    </row>
    <row r="517" spans="1:23" s="71" customFormat="1" ht="14.25" customHeight="1">
      <c r="A517" s="561" t="s">
        <v>37</v>
      </c>
      <c r="B517" s="561" t="s">
        <v>144</v>
      </c>
      <c r="C517" s="561" t="s">
        <v>1120</v>
      </c>
      <c r="D517" s="477" t="s">
        <v>1665</v>
      </c>
      <c r="E517" s="435" t="s">
        <v>1975</v>
      </c>
      <c r="F517" s="435" t="s">
        <v>1741</v>
      </c>
      <c r="G517" s="435" t="s">
        <v>1120</v>
      </c>
      <c r="H517" s="435"/>
      <c r="I517" s="435">
        <v>0</v>
      </c>
      <c r="J517" s="435" t="s">
        <v>43</v>
      </c>
      <c r="K517" s="435" t="s">
        <v>43</v>
      </c>
      <c r="L517" s="435" t="s">
        <v>758</v>
      </c>
      <c r="M517" s="435" t="s">
        <v>44</v>
      </c>
      <c r="N517" s="435"/>
      <c r="O517" s="435"/>
      <c r="P517" s="561" t="s">
        <v>759</v>
      </c>
      <c r="Q517" s="435" t="s">
        <v>924</v>
      </c>
      <c r="R517" s="438"/>
      <c r="S517" s="569"/>
      <c r="T517" s="452"/>
      <c r="U517" s="570" t="s">
        <v>1121</v>
      </c>
      <c r="V517" s="435"/>
      <c r="W517" s="561" t="s">
        <v>2169</v>
      </c>
    </row>
    <row r="518" spans="1:23" s="71" customFormat="1" ht="14.25" customHeight="1">
      <c r="A518" s="573" t="s">
        <v>37</v>
      </c>
      <c r="B518" s="572" t="s">
        <v>144</v>
      </c>
      <c r="C518" s="566" t="s">
        <v>2133</v>
      </c>
      <c r="D518" s="477" t="s">
        <v>2869</v>
      </c>
      <c r="E518" s="71" t="s">
        <v>1967</v>
      </c>
      <c r="I518" s="71" t="s">
        <v>133</v>
      </c>
      <c r="J518" s="71" t="s">
        <v>43</v>
      </c>
      <c r="K518" s="71" t="s">
        <v>43</v>
      </c>
      <c r="L518" s="71" t="s">
        <v>43</v>
      </c>
      <c r="M518" s="71" t="s">
        <v>44</v>
      </c>
      <c r="N518" s="435">
        <v>97.104997409999996</v>
      </c>
      <c r="O518" s="435">
        <v>25.379014999999999</v>
      </c>
      <c r="P518" s="566" t="s">
        <v>759</v>
      </c>
      <c r="Q518" s="71" t="s">
        <v>1946</v>
      </c>
      <c r="R518" s="103">
        <v>112</v>
      </c>
      <c r="S518" s="568">
        <v>487</v>
      </c>
      <c r="T518" s="109">
        <v>43276</v>
      </c>
      <c r="U518" s="574" t="s">
        <v>1996</v>
      </c>
      <c r="W518" s="429" t="s">
        <v>2277</v>
      </c>
    </row>
    <row r="519" spans="1:23" s="71" customFormat="1" ht="14.25" customHeight="1">
      <c r="A519" s="435" t="s">
        <v>37</v>
      </c>
      <c r="B519" s="561" t="s">
        <v>144</v>
      </c>
      <c r="C519" s="561" t="s">
        <v>147</v>
      </c>
      <c r="D519" s="477" t="s">
        <v>2869</v>
      </c>
      <c r="E519" s="71" t="s">
        <v>1535</v>
      </c>
      <c r="F519" s="71" t="s">
        <v>1741</v>
      </c>
      <c r="G519" s="71" t="s">
        <v>1815</v>
      </c>
      <c r="H519" s="435" t="s">
        <v>41</v>
      </c>
      <c r="I519" s="435" t="s">
        <v>133</v>
      </c>
      <c r="J519" s="71" t="s">
        <v>43</v>
      </c>
      <c r="K519" s="71" t="s">
        <v>43</v>
      </c>
      <c r="L519" s="71" t="s">
        <v>43</v>
      </c>
      <c r="M519" s="71" t="s">
        <v>44</v>
      </c>
      <c r="N519" s="435">
        <v>25.30442</v>
      </c>
      <c r="O519" s="435">
        <v>96.948740000000001</v>
      </c>
      <c r="P519" s="71" t="s">
        <v>759</v>
      </c>
      <c r="Q519" s="71" t="s">
        <v>778</v>
      </c>
      <c r="R519" s="438">
        <v>10</v>
      </c>
      <c r="S519" s="568">
        <v>43</v>
      </c>
      <c r="T519" s="109"/>
      <c r="U519" s="105"/>
      <c r="V519" s="71" t="s">
        <v>147</v>
      </c>
      <c r="W519" s="561"/>
    </row>
    <row r="520" spans="1:23" s="71" customFormat="1" ht="14.25" customHeight="1">
      <c r="A520" s="435" t="s">
        <v>37</v>
      </c>
      <c r="B520" s="566" t="s">
        <v>144</v>
      </c>
      <c r="C520" s="566" t="s">
        <v>1038</v>
      </c>
      <c r="D520" s="477" t="s">
        <v>1665</v>
      </c>
      <c r="E520" s="71" t="s">
        <v>1530</v>
      </c>
      <c r="F520" s="71" t="s">
        <v>1723</v>
      </c>
      <c r="G520" s="71" t="s">
        <v>1723</v>
      </c>
      <c r="H520" s="435"/>
      <c r="I520" s="71">
        <v>0</v>
      </c>
      <c r="J520" s="71" t="s">
        <v>43</v>
      </c>
      <c r="K520" s="71" t="s">
        <v>43</v>
      </c>
      <c r="L520" s="71" t="s">
        <v>758</v>
      </c>
      <c r="M520" s="71" t="s">
        <v>44</v>
      </c>
      <c r="N520" s="435">
        <v>25.225000000000001</v>
      </c>
      <c r="O520" s="435">
        <v>96.793999999999997</v>
      </c>
      <c r="P520" s="435" t="s">
        <v>771</v>
      </c>
      <c r="Q520" s="71" t="s">
        <v>778</v>
      </c>
      <c r="R520" s="438"/>
      <c r="S520" s="569"/>
      <c r="T520" s="109">
        <v>42983</v>
      </c>
      <c r="U520" s="105" t="s">
        <v>1039</v>
      </c>
      <c r="V520" s="71" t="s">
        <v>1040</v>
      </c>
      <c r="W520" s="429" t="s">
        <v>2170</v>
      </c>
    </row>
    <row r="521" spans="1:23" s="71" customFormat="1" ht="14.25" customHeight="1">
      <c r="A521" s="435" t="s">
        <v>37</v>
      </c>
      <c r="B521" s="566" t="s">
        <v>144</v>
      </c>
      <c r="C521" s="566" t="s">
        <v>148</v>
      </c>
      <c r="D521" s="477" t="s">
        <v>2869</v>
      </c>
      <c r="E521" s="71" t="s">
        <v>1531</v>
      </c>
      <c r="F521" s="71" t="s">
        <v>1723</v>
      </c>
      <c r="G521" s="71" t="s">
        <v>1723</v>
      </c>
      <c r="H521" s="435" t="s">
        <v>41</v>
      </c>
      <c r="I521" s="435" t="s">
        <v>133</v>
      </c>
      <c r="J521" s="71" t="s">
        <v>43</v>
      </c>
      <c r="K521" s="71" t="s">
        <v>43</v>
      </c>
      <c r="L521" s="435" t="s">
        <v>43</v>
      </c>
      <c r="M521" s="71" t="s">
        <v>44</v>
      </c>
      <c r="N521" s="435">
        <v>25.225000000000001</v>
      </c>
      <c r="O521" s="435">
        <v>96.793999999999997</v>
      </c>
      <c r="P521" s="435" t="s">
        <v>759</v>
      </c>
      <c r="Q521" s="71" t="s">
        <v>778</v>
      </c>
      <c r="R521" s="438">
        <v>27</v>
      </c>
      <c r="S521" s="438">
        <v>135</v>
      </c>
      <c r="T521" s="109"/>
      <c r="U521" s="105"/>
      <c r="V521" s="71" t="s">
        <v>148</v>
      </c>
      <c r="W521" s="435"/>
    </row>
    <row r="522" spans="1:23" s="71" customFormat="1" ht="14.25" customHeight="1">
      <c r="A522" s="435" t="s">
        <v>37</v>
      </c>
      <c r="B522" s="435" t="s">
        <v>149</v>
      </c>
      <c r="C522" s="435" t="s">
        <v>1032</v>
      </c>
      <c r="D522" s="477" t="s">
        <v>2869</v>
      </c>
      <c r="E522" s="71" t="s">
        <v>1523</v>
      </c>
      <c r="F522" s="71" t="s">
        <v>1874</v>
      </c>
      <c r="G522" s="71" t="s">
        <v>1875</v>
      </c>
      <c r="H522" s="435"/>
      <c r="I522" s="435" t="s">
        <v>2140</v>
      </c>
      <c r="J522" s="71" t="s">
        <v>43</v>
      </c>
      <c r="K522" s="71" t="s">
        <v>43</v>
      </c>
      <c r="L522" s="71" t="s">
        <v>770</v>
      </c>
      <c r="M522" s="71" t="s">
        <v>44</v>
      </c>
      <c r="N522" s="435">
        <v>24.996279999999999</v>
      </c>
      <c r="O522" s="435">
        <v>96.52534</v>
      </c>
      <c r="P522" s="71" t="s">
        <v>771</v>
      </c>
      <c r="Q522" s="71" t="s">
        <v>760</v>
      </c>
      <c r="R522" s="438">
        <v>27</v>
      </c>
      <c r="S522" s="568">
        <v>126</v>
      </c>
      <c r="T522" s="109"/>
      <c r="U522" s="105" t="s">
        <v>1029</v>
      </c>
      <c r="V522" s="71" t="s">
        <v>1032</v>
      </c>
      <c r="W522" s="435"/>
    </row>
    <row r="523" spans="1:23" s="71" customFormat="1" ht="14.25" customHeight="1">
      <c r="A523" s="435" t="s">
        <v>37</v>
      </c>
      <c r="B523" s="435" t="s">
        <v>149</v>
      </c>
      <c r="C523" s="435" t="s">
        <v>1028</v>
      </c>
      <c r="D523" s="477" t="s">
        <v>2869</v>
      </c>
      <c r="E523" s="71" t="s">
        <v>1520</v>
      </c>
      <c r="F523" s="71" t="s">
        <v>1805</v>
      </c>
      <c r="G523" s="71">
        <v>0</v>
      </c>
      <c r="H523" s="435"/>
      <c r="I523" s="435" t="s">
        <v>2140</v>
      </c>
      <c r="J523" s="71" t="s">
        <v>43</v>
      </c>
      <c r="K523" s="71" t="s">
        <v>43</v>
      </c>
      <c r="L523" s="71" t="s">
        <v>770</v>
      </c>
      <c r="M523" s="71" t="s">
        <v>44</v>
      </c>
      <c r="N523" s="435">
        <v>24.764959999999999</v>
      </c>
      <c r="O523" s="435">
        <v>96.366919999999993</v>
      </c>
      <c r="P523" s="71" t="s">
        <v>771</v>
      </c>
      <c r="Q523" s="71" t="s">
        <v>760</v>
      </c>
      <c r="R523" s="438">
        <v>15</v>
      </c>
      <c r="S523" s="568">
        <v>71</v>
      </c>
      <c r="T523" s="109"/>
      <c r="U523" s="105" t="s">
        <v>1029</v>
      </c>
      <c r="V523" s="71" t="s">
        <v>1028</v>
      </c>
      <c r="W523" s="435"/>
    </row>
    <row r="524" spans="1:23" s="71" customFormat="1" ht="14.25" customHeight="1">
      <c r="A524" s="435" t="s">
        <v>37</v>
      </c>
      <c r="B524" s="435" t="s">
        <v>149</v>
      </c>
      <c r="C524" s="435" t="s">
        <v>149</v>
      </c>
      <c r="D524" s="477" t="s">
        <v>1664</v>
      </c>
      <c r="J524" s="71" t="s">
        <v>796</v>
      </c>
      <c r="K524" s="71" t="s">
        <v>796</v>
      </c>
      <c r="L524" s="71" t="s">
        <v>796</v>
      </c>
      <c r="N524" s="435"/>
      <c r="O524" s="435"/>
      <c r="P524" s="71" t="s">
        <v>797</v>
      </c>
      <c r="R524" s="438"/>
      <c r="S524" s="439"/>
      <c r="T524" s="109"/>
      <c r="U524" s="105"/>
      <c r="V524" s="71" t="s">
        <v>149</v>
      </c>
      <c r="W524" s="561"/>
    </row>
    <row r="525" spans="1:23" s="71" customFormat="1" ht="14.25" customHeight="1">
      <c r="A525" s="435" t="s">
        <v>37</v>
      </c>
      <c r="B525" s="435" t="s">
        <v>149</v>
      </c>
      <c r="C525" s="435" t="s">
        <v>1033</v>
      </c>
      <c r="D525" s="477" t="s">
        <v>1665</v>
      </c>
      <c r="E525" s="435" t="s">
        <v>1524</v>
      </c>
      <c r="F525" s="435" t="s">
        <v>1720</v>
      </c>
      <c r="G525" s="435" t="s">
        <v>1720</v>
      </c>
      <c r="H525" s="435" t="s">
        <v>41</v>
      </c>
      <c r="I525" s="435" t="s">
        <v>133</v>
      </c>
      <c r="J525" s="71" t="s">
        <v>43</v>
      </c>
      <c r="K525" s="71" t="s">
        <v>43</v>
      </c>
      <c r="L525" s="435" t="s">
        <v>758</v>
      </c>
      <c r="M525" s="71" t="s">
        <v>44</v>
      </c>
      <c r="N525" s="435">
        <v>24.998349999999999</v>
      </c>
      <c r="O525" s="435">
        <v>96.364949999999993</v>
      </c>
      <c r="P525" s="435" t="s">
        <v>759</v>
      </c>
      <c r="R525" s="438"/>
      <c r="S525" s="569"/>
      <c r="T525" s="109"/>
      <c r="U525" s="440"/>
      <c r="V525" s="435" t="s">
        <v>1033</v>
      </c>
      <c r="W525" s="561" t="s">
        <v>2171</v>
      </c>
    </row>
    <row r="526" spans="1:23" s="71" customFormat="1" ht="14.25" customHeight="1">
      <c r="A526" s="435" t="s">
        <v>37</v>
      </c>
      <c r="B526" s="561" t="s">
        <v>149</v>
      </c>
      <c r="C526" s="561" t="s">
        <v>150</v>
      </c>
      <c r="D526" s="477" t="s">
        <v>2869</v>
      </c>
      <c r="E526" s="71" t="s">
        <v>1525</v>
      </c>
      <c r="H526" s="435" t="s">
        <v>41</v>
      </c>
      <c r="I526" s="435" t="s">
        <v>133</v>
      </c>
      <c r="J526" s="71" t="s">
        <v>43</v>
      </c>
      <c r="K526" s="71" t="s">
        <v>43</v>
      </c>
      <c r="L526" s="71" t="s">
        <v>43</v>
      </c>
      <c r="M526" s="71" t="s">
        <v>44</v>
      </c>
      <c r="N526" s="435">
        <v>24.998349999999999</v>
      </c>
      <c r="O526" s="435">
        <v>96.364949999999993</v>
      </c>
      <c r="P526" s="435" t="s">
        <v>759</v>
      </c>
      <c r="Q526" s="71" t="s">
        <v>778</v>
      </c>
      <c r="R526" s="438">
        <v>26</v>
      </c>
      <c r="S526" s="568">
        <v>117</v>
      </c>
      <c r="T526" s="109"/>
      <c r="U526" s="105"/>
      <c r="V526" s="71" t="s">
        <v>1034</v>
      </c>
      <c r="W526" s="429" t="s">
        <v>2278</v>
      </c>
    </row>
    <row r="527" spans="1:23" s="71" customFormat="1" ht="14.25" customHeight="1">
      <c r="A527" s="561" t="s">
        <v>37</v>
      </c>
      <c r="B527" s="566" t="s">
        <v>149</v>
      </c>
      <c r="C527" s="566" t="s">
        <v>231</v>
      </c>
      <c r="D527" s="477" t="s">
        <v>2869</v>
      </c>
      <c r="E527" s="71" t="s">
        <v>1519</v>
      </c>
      <c r="F527" s="71" t="s">
        <v>1805</v>
      </c>
      <c r="G527" s="71" t="s">
        <v>1806</v>
      </c>
      <c r="H527" s="71" t="s">
        <v>41</v>
      </c>
      <c r="I527" s="71" t="s">
        <v>1328</v>
      </c>
      <c r="J527" s="71" t="s">
        <v>43</v>
      </c>
      <c r="K527" s="561" t="s">
        <v>43</v>
      </c>
      <c r="L527" s="561" t="s">
        <v>43</v>
      </c>
      <c r="M527" s="71" t="s">
        <v>44</v>
      </c>
      <c r="N527" s="435">
        <v>24.764800000000001</v>
      </c>
      <c r="O527" s="435">
        <v>96.367059999999995</v>
      </c>
      <c r="P527" s="71" t="s">
        <v>759</v>
      </c>
      <c r="Q527" s="71" t="s">
        <v>778</v>
      </c>
      <c r="R527" s="568">
        <v>11</v>
      </c>
      <c r="S527" s="568">
        <v>68</v>
      </c>
      <c r="T527" s="109"/>
      <c r="U527" s="105"/>
      <c r="V527" s="71" t="s">
        <v>231</v>
      </c>
      <c r="W527" s="435"/>
    </row>
    <row r="528" spans="1:23" s="71" customFormat="1" ht="14.25" customHeight="1">
      <c r="A528" s="569" t="s">
        <v>37</v>
      </c>
      <c r="B528" s="572" t="s">
        <v>2032</v>
      </c>
      <c r="C528" s="573" t="s">
        <v>2037</v>
      </c>
      <c r="D528" s="567"/>
      <c r="E528" s="435"/>
      <c r="F528" s="435"/>
      <c r="G528" s="435"/>
      <c r="H528" s="435"/>
      <c r="I528" s="435"/>
      <c r="J528" s="71" t="s">
        <v>1463</v>
      </c>
      <c r="K528" s="566" t="s">
        <v>43</v>
      </c>
      <c r="L528" s="566" t="s">
        <v>774</v>
      </c>
      <c r="M528" s="71" t="s">
        <v>776</v>
      </c>
      <c r="P528" s="435" t="s">
        <v>759</v>
      </c>
      <c r="R528" s="576"/>
      <c r="S528" s="439"/>
      <c r="T528" s="109">
        <v>43298</v>
      </c>
      <c r="U528" s="440"/>
      <c r="V528" s="435"/>
      <c r="W528" s="561"/>
    </row>
    <row r="529" spans="1:23" s="71" customFormat="1" ht="14.25" customHeight="1">
      <c r="A529" s="435" t="s">
        <v>37</v>
      </c>
      <c r="B529" s="435" t="s">
        <v>197</v>
      </c>
      <c r="C529" s="435" t="s">
        <v>198</v>
      </c>
      <c r="D529" s="477" t="s">
        <v>1664</v>
      </c>
      <c r="E529" s="435"/>
      <c r="F529" s="435"/>
      <c r="G529" s="435"/>
      <c r="H529" s="435"/>
      <c r="I529" s="435"/>
      <c r="J529" s="71" t="s">
        <v>1463</v>
      </c>
      <c r="K529" s="71" t="s">
        <v>43</v>
      </c>
      <c r="L529" s="435" t="s">
        <v>43</v>
      </c>
      <c r="M529" s="71" t="s">
        <v>44</v>
      </c>
      <c r="N529" s="435"/>
      <c r="O529" s="435"/>
      <c r="P529" s="435" t="s">
        <v>759</v>
      </c>
      <c r="Q529" s="71" t="s">
        <v>778</v>
      </c>
      <c r="R529" s="438"/>
      <c r="S529" s="439"/>
      <c r="T529" s="109"/>
      <c r="U529" s="440" t="s">
        <v>1088</v>
      </c>
      <c r="V529" s="435" t="s">
        <v>198</v>
      </c>
      <c r="W529" s="561"/>
    </row>
    <row r="530" spans="1:23" s="435" customFormat="1" ht="14.25" customHeight="1">
      <c r="A530" s="435" t="s">
        <v>37</v>
      </c>
      <c r="B530" s="435" t="s">
        <v>197</v>
      </c>
      <c r="C530" s="435" t="s">
        <v>1019</v>
      </c>
      <c r="D530" s="477" t="s">
        <v>1665</v>
      </c>
      <c r="E530" s="435" t="s">
        <v>1511</v>
      </c>
      <c r="F530" s="435" t="s">
        <v>1713</v>
      </c>
      <c r="G530" s="435" t="s">
        <v>1714</v>
      </c>
      <c r="I530" s="435">
        <v>0</v>
      </c>
      <c r="J530" s="435" t="s">
        <v>43</v>
      </c>
      <c r="K530" s="435" t="s">
        <v>43</v>
      </c>
      <c r="L530" s="435" t="s">
        <v>758</v>
      </c>
      <c r="M530" s="435" t="s">
        <v>44</v>
      </c>
      <c r="N530" s="435">
        <v>24.613976000000001</v>
      </c>
      <c r="O530" s="435">
        <v>97.461271999999994</v>
      </c>
      <c r="P530" s="435" t="s">
        <v>759</v>
      </c>
      <c r="Q530" s="435" t="s">
        <v>760</v>
      </c>
      <c r="R530" s="438"/>
      <c r="S530" s="569"/>
      <c r="T530" s="452">
        <v>42983</v>
      </c>
      <c r="U530" s="440" t="s">
        <v>1020</v>
      </c>
      <c r="V530" s="435" t="s">
        <v>1019</v>
      </c>
      <c r="W530" s="429" t="s">
        <v>2172</v>
      </c>
    </row>
    <row r="531" spans="1:23" s="71" customFormat="1" ht="14.25" customHeight="1">
      <c r="A531" s="435" t="s">
        <v>37</v>
      </c>
      <c r="B531" s="435" t="s">
        <v>197</v>
      </c>
      <c r="C531" s="435" t="s">
        <v>224</v>
      </c>
      <c r="D531" s="477" t="s">
        <v>2869</v>
      </c>
      <c r="E531" s="71" t="s">
        <v>1509</v>
      </c>
      <c r="F531" s="71" t="s">
        <v>1801</v>
      </c>
      <c r="G531" s="71" t="s">
        <v>1802</v>
      </c>
      <c r="H531" s="71" t="s">
        <v>41</v>
      </c>
      <c r="I531" s="435" t="s">
        <v>1328</v>
      </c>
      <c r="J531" s="71" t="s">
        <v>43</v>
      </c>
      <c r="K531" s="71" t="s">
        <v>43</v>
      </c>
      <c r="L531" s="71" t="s">
        <v>43</v>
      </c>
      <c r="M531" s="71" t="s">
        <v>776</v>
      </c>
      <c r="N531" s="435">
        <v>24.461033</v>
      </c>
      <c r="O531" s="435">
        <v>97.537099999999995</v>
      </c>
      <c r="P531" s="561" t="s">
        <v>759</v>
      </c>
      <c r="Q531" s="71" t="s">
        <v>778</v>
      </c>
      <c r="R531" s="438">
        <v>80</v>
      </c>
      <c r="S531" s="568">
        <v>378</v>
      </c>
      <c r="T531" s="109"/>
      <c r="U531" s="105"/>
      <c r="V531" s="71" t="s">
        <v>224</v>
      </c>
    </row>
    <row r="532" spans="1:23" s="71" customFormat="1" ht="14.25" customHeight="1">
      <c r="A532" s="561" t="s">
        <v>37</v>
      </c>
      <c r="B532" s="561" t="s">
        <v>197</v>
      </c>
      <c r="C532" s="561" t="s">
        <v>209</v>
      </c>
      <c r="D532" s="477" t="s">
        <v>2869</v>
      </c>
      <c r="E532" s="71" t="s">
        <v>1513</v>
      </c>
      <c r="F532" s="71" t="s">
        <v>1803</v>
      </c>
      <c r="G532" s="71" t="s">
        <v>1804</v>
      </c>
      <c r="H532" s="435" t="s">
        <v>41</v>
      </c>
      <c r="I532" s="435" t="s">
        <v>1328</v>
      </c>
      <c r="J532" s="71" t="s">
        <v>43</v>
      </c>
      <c r="K532" s="71" t="s">
        <v>43</v>
      </c>
      <c r="L532" s="71" t="s">
        <v>43</v>
      </c>
      <c r="M532" s="71" t="s">
        <v>776</v>
      </c>
      <c r="N532" s="435">
        <v>24.661905999999998</v>
      </c>
      <c r="O532" s="435">
        <v>97.573126000000002</v>
      </c>
      <c r="P532" s="17" t="s">
        <v>1991</v>
      </c>
      <c r="Q532" s="71" t="s">
        <v>778</v>
      </c>
      <c r="R532" s="568">
        <v>717</v>
      </c>
      <c r="S532" s="568">
        <v>3658</v>
      </c>
      <c r="T532" s="109"/>
      <c r="U532" s="105"/>
      <c r="V532" s="71" t="s">
        <v>209</v>
      </c>
      <c r="W532" s="435"/>
    </row>
    <row r="533" spans="1:23" s="71" customFormat="1" ht="14.25" customHeight="1">
      <c r="A533" s="435" t="s">
        <v>37</v>
      </c>
      <c r="B533" s="435" t="s">
        <v>197</v>
      </c>
      <c r="C533" s="435" t="s">
        <v>282</v>
      </c>
      <c r="D533" s="477" t="s">
        <v>2869</v>
      </c>
      <c r="E533" s="71" t="s">
        <v>1514</v>
      </c>
      <c r="F533" s="71" t="s">
        <v>1803</v>
      </c>
      <c r="G533" s="71" t="s">
        <v>1804</v>
      </c>
      <c r="H533" s="71" t="s">
        <v>41</v>
      </c>
      <c r="I533" s="435" t="s">
        <v>1328</v>
      </c>
      <c r="J533" s="71" t="s">
        <v>43</v>
      </c>
      <c r="K533" s="71" t="s">
        <v>43</v>
      </c>
      <c r="L533" s="71" t="s">
        <v>43</v>
      </c>
      <c r="M533" s="71" t="s">
        <v>776</v>
      </c>
      <c r="N533" s="71">
        <v>24.688338999999999</v>
      </c>
      <c r="O533" s="71">
        <v>97.568331999999998</v>
      </c>
      <c r="P533" s="17" t="s">
        <v>1991</v>
      </c>
      <c r="Q533" s="71" t="s">
        <v>778</v>
      </c>
      <c r="R533" s="438">
        <v>1527</v>
      </c>
      <c r="S533" s="568">
        <v>8721</v>
      </c>
      <c r="T533" s="109"/>
      <c r="U533" s="105"/>
      <c r="V533" s="71" t="s">
        <v>282</v>
      </c>
      <c r="W533" s="435"/>
    </row>
    <row r="534" spans="1:23" s="71" customFormat="1" ht="14.25" customHeight="1">
      <c r="A534" s="435" t="s">
        <v>37</v>
      </c>
      <c r="B534" s="435" t="s">
        <v>197</v>
      </c>
      <c r="C534" s="435" t="s">
        <v>199</v>
      </c>
      <c r="D534" s="477" t="s">
        <v>1664</v>
      </c>
      <c r="I534" s="435"/>
      <c r="J534" s="71" t="s">
        <v>1463</v>
      </c>
      <c r="K534" s="71" t="s">
        <v>43</v>
      </c>
      <c r="L534" s="71" t="s">
        <v>43</v>
      </c>
      <c r="M534" s="71" t="s">
        <v>44</v>
      </c>
      <c r="N534" s="435"/>
      <c r="O534" s="435"/>
      <c r="P534" s="71" t="s">
        <v>759</v>
      </c>
      <c r="Q534" s="435" t="s">
        <v>778</v>
      </c>
      <c r="R534" s="438"/>
      <c r="S534" s="569"/>
      <c r="T534" s="452"/>
      <c r="U534" s="105" t="s">
        <v>1088</v>
      </c>
      <c r="V534" s="71" t="s">
        <v>199</v>
      </c>
      <c r="W534" s="435"/>
    </row>
    <row r="535" spans="1:23" s="71" customFormat="1" ht="14.25" customHeight="1">
      <c r="A535" s="435" t="s">
        <v>37</v>
      </c>
      <c r="B535" s="435" t="s">
        <v>197</v>
      </c>
      <c r="C535" s="435" t="s">
        <v>201</v>
      </c>
      <c r="D535" s="477" t="s">
        <v>1664</v>
      </c>
      <c r="H535" s="435"/>
      <c r="I535" s="435"/>
      <c r="J535" s="71" t="s">
        <v>1463</v>
      </c>
      <c r="K535" s="435" t="s">
        <v>43</v>
      </c>
      <c r="L535" s="435" t="s">
        <v>43</v>
      </c>
      <c r="M535" s="71" t="s">
        <v>44</v>
      </c>
      <c r="N535" s="435"/>
      <c r="O535" s="435"/>
      <c r="P535" s="435" t="s">
        <v>759</v>
      </c>
      <c r="Q535" s="71" t="s">
        <v>778</v>
      </c>
      <c r="R535" s="438"/>
      <c r="S535" s="569"/>
      <c r="T535" s="109"/>
      <c r="U535" s="105" t="s">
        <v>1088</v>
      </c>
      <c r="V535" s="71" t="s">
        <v>201</v>
      </c>
      <c r="W535" s="435"/>
    </row>
    <row r="536" spans="1:23" s="71" customFormat="1" ht="14.25" customHeight="1">
      <c r="A536" s="435" t="s">
        <v>37</v>
      </c>
      <c r="B536" s="435" t="s">
        <v>197</v>
      </c>
      <c r="C536" s="435" t="s">
        <v>1010</v>
      </c>
      <c r="D536" s="477" t="s">
        <v>2869</v>
      </c>
      <c r="E536" s="71" t="s">
        <v>1504</v>
      </c>
      <c r="F536" s="71" t="s">
        <v>1872</v>
      </c>
      <c r="G536" s="71" t="s">
        <v>1873</v>
      </c>
      <c r="I536" s="71" t="s">
        <v>2140</v>
      </c>
      <c r="J536" s="71" t="s">
        <v>43</v>
      </c>
      <c r="K536" s="435" t="s">
        <v>43</v>
      </c>
      <c r="L536" s="435" t="s">
        <v>770</v>
      </c>
      <c r="M536" s="71" t="s">
        <v>44</v>
      </c>
      <c r="N536" s="71">
        <v>24.377054000000001</v>
      </c>
      <c r="O536" s="71">
        <v>97.343406999999999</v>
      </c>
      <c r="P536" s="435" t="s">
        <v>771</v>
      </c>
      <c r="Q536" s="435" t="s">
        <v>760</v>
      </c>
      <c r="R536" s="438">
        <v>3</v>
      </c>
      <c r="S536" s="568">
        <v>18</v>
      </c>
      <c r="T536" s="452"/>
      <c r="U536" s="105" t="s">
        <v>1011</v>
      </c>
      <c r="V536" s="71" t="s">
        <v>1010</v>
      </c>
      <c r="W536" s="561"/>
    </row>
    <row r="537" spans="1:23" s="71" customFormat="1" ht="14.25" customHeight="1">
      <c r="A537" s="435" t="s">
        <v>37</v>
      </c>
      <c r="B537" s="435" t="s">
        <v>197</v>
      </c>
      <c r="C537" s="435" t="s">
        <v>281</v>
      </c>
      <c r="D537" s="477" t="s">
        <v>1664</v>
      </c>
      <c r="I537" s="435"/>
      <c r="J537" s="71" t="s">
        <v>1463</v>
      </c>
      <c r="K537" s="435" t="s">
        <v>43</v>
      </c>
      <c r="L537" s="435" t="s">
        <v>1097</v>
      </c>
      <c r="M537" s="71" t="s">
        <v>776</v>
      </c>
      <c r="P537" s="71" t="s">
        <v>759</v>
      </c>
      <c r="Q537" s="71" t="s">
        <v>760</v>
      </c>
      <c r="R537" s="438"/>
      <c r="S537" s="569"/>
      <c r="T537" s="109">
        <v>42849</v>
      </c>
      <c r="U537" s="105"/>
      <c r="W537" s="435"/>
    </row>
    <row r="538" spans="1:23" s="71" customFormat="1" ht="14.25" customHeight="1">
      <c r="A538" s="435" t="s">
        <v>37</v>
      </c>
      <c r="B538" s="435" t="s">
        <v>197</v>
      </c>
      <c r="C538" s="435" t="s">
        <v>273</v>
      </c>
      <c r="D538" s="477" t="s">
        <v>2869</v>
      </c>
      <c r="E538" s="71" t="s">
        <v>1479</v>
      </c>
      <c r="F538" s="71" t="s">
        <v>1784</v>
      </c>
      <c r="G538" s="71" t="s">
        <v>1786</v>
      </c>
      <c r="H538" s="435" t="s">
        <v>41</v>
      </c>
      <c r="I538" s="435" t="s">
        <v>133</v>
      </c>
      <c r="J538" s="71" t="s">
        <v>43</v>
      </c>
      <c r="K538" s="435" t="s">
        <v>43</v>
      </c>
      <c r="L538" s="435" t="s">
        <v>43</v>
      </c>
      <c r="M538" s="71" t="s">
        <v>44</v>
      </c>
      <c r="N538" s="435">
        <v>24.200972</v>
      </c>
      <c r="O538" s="435">
        <v>97.718582999999995</v>
      </c>
      <c r="P538" s="435" t="s">
        <v>759</v>
      </c>
      <c r="Q538" s="71" t="s">
        <v>778</v>
      </c>
      <c r="R538" s="438">
        <v>38</v>
      </c>
      <c r="S538" s="438">
        <v>244</v>
      </c>
      <c r="T538" s="109"/>
      <c r="U538" s="105"/>
      <c r="V538" s="71" t="s">
        <v>273</v>
      </c>
      <c r="W538" s="435"/>
    </row>
    <row r="539" spans="1:23" s="71" customFormat="1" ht="14.25" customHeight="1">
      <c r="A539" s="435" t="s">
        <v>37</v>
      </c>
      <c r="B539" s="435" t="s">
        <v>197</v>
      </c>
      <c r="C539" s="435" t="s">
        <v>274</v>
      </c>
      <c r="D539" s="477" t="s">
        <v>2869</v>
      </c>
      <c r="E539" s="71" t="s">
        <v>1480</v>
      </c>
      <c r="F539" s="71" t="s">
        <v>1784</v>
      </c>
      <c r="G539" s="71" t="s">
        <v>1786</v>
      </c>
      <c r="H539" s="435" t="s">
        <v>41</v>
      </c>
      <c r="I539" s="71" t="s">
        <v>42</v>
      </c>
      <c r="J539" s="71" t="s">
        <v>43</v>
      </c>
      <c r="K539" s="435" t="s">
        <v>43</v>
      </c>
      <c r="L539" s="435" t="s">
        <v>43</v>
      </c>
      <c r="M539" s="71" t="s">
        <v>44</v>
      </c>
      <c r="N539" s="435">
        <v>24.205417000000001</v>
      </c>
      <c r="O539" s="435">
        <v>97.724566999999993</v>
      </c>
      <c r="P539" s="71" t="s">
        <v>759</v>
      </c>
      <c r="Q539" s="71" t="s">
        <v>778</v>
      </c>
      <c r="R539" s="438">
        <v>129</v>
      </c>
      <c r="S539" s="568">
        <v>646</v>
      </c>
      <c r="T539" s="109"/>
      <c r="U539" s="105"/>
      <c r="V539" s="71" t="s">
        <v>274</v>
      </c>
    </row>
    <row r="540" spans="1:23" s="71" customFormat="1" ht="14.25" customHeight="1">
      <c r="A540" s="435" t="s">
        <v>37</v>
      </c>
      <c r="B540" s="435" t="s">
        <v>197</v>
      </c>
      <c r="C540" s="435" t="s">
        <v>1105</v>
      </c>
      <c r="D540" s="477" t="s">
        <v>1664</v>
      </c>
      <c r="J540" s="71" t="s">
        <v>43</v>
      </c>
      <c r="K540" s="435" t="s">
        <v>43</v>
      </c>
      <c r="L540" s="435" t="s">
        <v>1085</v>
      </c>
      <c r="M540" s="71" t="s">
        <v>44</v>
      </c>
      <c r="P540" s="435" t="s">
        <v>759</v>
      </c>
      <c r="R540" s="438"/>
      <c r="S540" s="439"/>
      <c r="T540" s="109"/>
      <c r="U540" s="440"/>
      <c r="V540" s="71" t="s">
        <v>1106</v>
      </c>
      <c r="W540" s="435"/>
    </row>
    <row r="541" spans="1:23" s="71" customFormat="1" ht="14.25" customHeight="1">
      <c r="A541" s="435" t="s">
        <v>37</v>
      </c>
      <c r="B541" s="435" t="s">
        <v>197</v>
      </c>
      <c r="C541" s="435" t="s">
        <v>1107</v>
      </c>
      <c r="D541" s="477" t="s">
        <v>1664</v>
      </c>
      <c r="J541" s="71" t="s">
        <v>43</v>
      </c>
      <c r="K541" s="435" t="s">
        <v>43</v>
      </c>
      <c r="L541" s="435" t="s">
        <v>1085</v>
      </c>
      <c r="M541" s="71" t="s">
        <v>44</v>
      </c>
      <c r="N541" s="435"/>
      <c r="O541" s="435"/>
      <c r="P541" s="71" t="s">
        <v>759</v>
      </c>
      <c r="R541" s="438"/>
      <c r="S541" s="439"/>
      <c r="T541" s="109"/>
      <c r="U541" s="105"/>
      <c r="V541" s="71" t="s">
        <v>1108</v>
      </c>
      <c r="W541" s="435"/>
    </row>
    <row r="542" spans="1:23" s="71" customFormat="1" ht="14.25" customHeight="1">
      <c r="A542" s="561" t="s">
        <v>37</v>
      </c>
      <c r="B542" s="561" t="s">
        <v>197</v>
      </c>
      <c r="C542" s="561" t="s">
        <v>1109</v>
      </c>
      <c r="D542" s="477" t="s">
        <v>1664</v>
      </c>
      <c r="E542" s="561"/>
      <c r="F542" s="561"/>
      <c r="G542" s="561"/>
      <c r="H542" s="561"/>
      <c r="I542" s="561"/>
      <c r="J542" s="561" t="s">
        <v>43</v>
      </c>
      <c r="K542" s="561" t="s">
        <v>43</v>
      </c>
      <c r="L542" s="561" t="s">
        <v>1085</v>
      </c>
      <c r="M542" s="561" t="s">
        <v>44</v>
      </c>
      <c r="N542" s="561"/>
      <c r="O542" s="561"/>
      <c r="P542" s="71" t="s">
        <v>759</v>
      </c>
      <c r="Q542" s="561"/>
      <c r="R542" s="568"/>
      <c r="S542" s="569"/>
      <c r="T542" s="588"/>
      <c r="U542" s="570"/>
      <c r="V542" s="561" t="s">
        <v>1110</v>
      </c>
      <c r="W542" s="435"/>
    </row>
    <row r="543" spans="1:23" s="71" customFormat="1" ht="14.25" customHeight="1">
      <c r="A543" s="435" t="s">
        <v>37</v>
      </c>
      <c r="B543" s="435" t="s">
        <v>197</v>
      </c>
      <c r="C543" s="435" t="s">
        <v>275</v>
      </c>
      <c r="D543" s="477" t="s">
        <v>2869</v>
      </c>
      <c r="E543" s="71" t="s">
        <v>1478</v>
      </c>
      <c r="F543" s="71" t="s">
        <v>1784</v>
      </c>
      <c r="G543" s="71" t="s">
        <v>1785</v>
      </c>
      <c r="H543" s="71" t="s">
        <v>41</v>
      </c>
      <c r="I543" s="435" t="s">
        <v>133</v>
      </c>
      <c r="J543" s="71" t="s">
        <v>43</v>
      </c>
      <c r="K543" s="435" t="s">
        <v>43</v>
      </c>
      <c r="L543" s="435" t="s">
        <v>43</v>
      </c>
      <c r="M543" s="71" t="s">
        <v>44</v>
      </c>
      <c r="N543" s="71">
        <v>24.200433</v>
      </c>
      <c r="O543" s="71">
        <v>97.717133000000004</v>
      </c>
      <c r="P543" s="435" t="s">
        <v>759</v>
      </c>
      <c r="Q543" s="71" t="s">
        <v>778</v>
      </c>
      <c r="R543" s="438">
        <v>210</v>
      </c>
      <c r="S543" s="568">
        <v>1212</v>
      </c>
      <c r="T543" s="109"/>
      <c r="U543" s="105"/>
      <c r="V543" s="71" t="s">
        <v>275</v>
      </c>
      <c r="W543" s="435"/>
    </row>
    <row r="544" spans="1:23" s="71" customFormat="1" ht="14.25" customHeight="1">
      <c r="A544" s="435" t="s">
        <v>37</v>
      </c>
      <c r="B544" s="435" t="s">
        <v>197</v>
      </c>
      <c r="C544" s="435" t="s">
        <v>1111</v>
      </c>
      <c r="D544" s="477" t="s">
        <v>1664</v>
      </c>
      <c r="H544" s="435"/>
      <c r="J544" s="71" t="s">
        <v>1097</v>
      </c>
      <c r="K544" s="435" t="s">
        <v>43</v>
      </c>
      <c r="L544" s="435" t="s">
        <v>758</v>
      </c>
      <c r="M544" s="71" t="s">
        <v>44</v>
      </c>
      <c r="N544" s="435"/>
      <c r="O544" s="435"/>
      <c r="P544" s="435" t="s">
        <v>759</v>
      </c>
      <c r="R544" s="438"/>
      <c r="S544" s="439"/>
      <c r="T544" s="109"/>
      <c r="U544" s="105"/>
      <c r="V544" s="435" t="s">
        <v>1111</v>
      </c>
    </row>
    <row r="545" spans="1:23" s="71" customFormat="1" ht="14.25" customHeight="1">
      <c r="A545" s="435" t="s">
        <v>37</v>
      </c>
      <c r="B545" s="435" t="s">
        <v>197</v>
      </c>
      <c r="C545" s="435" t="s">
        <v>280</v>
      </c>
      <c r="D545" s="477" t="s">
        <v>1664</v>
      </c>
      <c r="J545" s="71" t="s">
        <v>1463</v>
      </c>
      <c r="K545" s="435" t="s">
        <v>43</v>
      </c>
      <c r="L545" s="435" t="s">
        <v>1097</v>
      </c>
      <c r="M545" s="71" t="s">
        <v>44</v>
      </c>
      <c r="P545" s="71" t="s">
        <v>759</v>
      </c>
      <c r="Q545" s="71" t="s">
        <v>760</v>
      </c>
      <c r="R545" s="438"/>
      <c r="S545" s="104"/>
      <c r="T545" s="109">
        <v>42849</v>
      </c>
      <c r="U545" s="105"/>
      <c r="V545" s="435"/>
      <c r="W545" s="561"/>
    </row>
    <row r="546" spans="1:23" s="71" customFormat="1" ht="14.25" customHeight="1">
      <c r="A546" s="435" t="s">
        <v>37</v>
      </c>
      <c r="B546" s="561" t="s">
        <v>197</v>
      </c>
      <c r="C546" s="561" t="s">
        <v>1016</v>
      </c>
      <c r="D546" s="477" t="s">
        <v>1665</v>
      </c>
      <c r="E546" s="71" t="s">
        <v>1508</v>
      </c>
      <c r="F546" s="71" t="s">
        <v>1711</v>
      </c>
      <c r="G546" s="71" t="s">
        <v>1711</v>
      </c>
      <c r="H546" s="435"/>
      <c r="I546" s="435">
        <v>0</v>
      </c>
      <c r="J546" s="71" t="s">
        <v>43</v>
      </c>
      <c r="K546" s="435" t="s">
        <v>43</v>
      </c>
      <c r="L546" s="435" t="s">
        <v>758</v>
      </c>
      <c r="M546" s="71" t="s">
        <v>44</v>
      </c>
      <c r="N546" s="435">
        <v>24.441697000000001</v>
      </c>
      <c r="O546" s="435">
        <v>97.409474000000003</v>
      </c>
      <c r="P546" s="435" t="s">
        <v>771</v>
      </c>
      <c r="Q546" s="71" t="s">
        <v>760</v>
      </c>
      <c r="R546" s="438"/>
      <c r="S546" s="569"/>
      <c r="T546" s="109">
        <v>42983</v>
      </c>
      <c r="U546" s="440" t="s">
        <v>1017</v>
      </c>
      <c r="V546" s="435" t="s">
        <v>1016</v>
      </c>
      <c r="W546" s="429" t="s">
        <v>2173</v>
      </c>
    </row>
    <row r="547" spans="1:23" s="71" customFormat="1" ht="14.25" customHeight="1">
      <c r="A547" s="435" t="s">
        <v>37</v>
      </c>
      <c r="B547" s="561" t="s">
        <v>197</v>
      </c>
      <c r="C547" s="561" t="s">
        <v>202</v>
      </c>
      <c r="D547" s="477" t="s">
        <v>2869</v>
      </c>
      <c r="E547" s="71" t="s">
        <v>1486</v>
      </c>
      <c r="F547" s="71" t="s">
        <v>1790</v>
      </c>
      <c r="G547" s="71" t="s">
        <v>1790</v>
      </c>
      <c r="H547" s="71" t="s">
        <v>41</v>
      </c>
      <c r="I547" s="435" t="s">
        <v>42</v>
      </c>
      <c r="J547" s="71" t="s">
        <v>43</v>
      </c>
      <c r="K547" s="71" t="s">
        <v>43</v>
      </c>
      <c r="L547" s="435" t="s">
        <v>43</v>
      </c>
      <c r="M547" s="71" t="s">
        <v>44</v>
      </c>
      <c r="N547" s="435">
        <v>24.245100000000001</v>
      </c>
      <c r="O547" s="435">
        <v>97.325019999999995</v>
      </c>
      <c r="P547" s="435" t="s">
        <v>759</v>
      </c>
      <c r="Q547" s="71" t="s">
        <v>778</v>
      </c>
      <c r="R547" s="438">
        <v>299</v>
      </c>
      <c r="S547" s="568">
        <v>1373</v>
      </c>
      <c r="T547" s="109"/>
      <c r="U547" s="105"/>
      <c r="V547" s="435" t="s">
        <v>202</v>
      </c>
      <c r="W547" s="561"/>
    </row>
    <row r="548" spans="1:23" s="71" customFormat="1" ht="14.25" customHeight="1">
      <c r="A548" s="435" t="s">
        <v>37</v>
      </c>
      <c r="B548" s="435" t="s">
        <v>197</v>
      </c>
      <c r="C548" s="435" t="s">
        <v>279</v>
      </c>
      <c r="D548" s="477" t="s">
        <v>1664</v>
      </c>
      <c r="E548" s="435"/>
      <c r="H548" s="435"/>
      <c r="I548" s="435"/>
      <c r="J548" s="435" t="s">
        <v>1463</v>
      </c>
      <c r="K548" s="435" t="s">
        <v>43</v>
      </c>
      <c r="L548" s="435" t="s">
        <v>43</v>
      </c>
      <c r="M548" s="435" t="s">
        <v>44</v>
      </c>
      <c r="N548" s="435"/>
      <c r="O548" s="435"/>
      <c r="P548" s="435" t="s">
        <v>759</v>
      </c>
      <c r="Q548" s="435" t="s">
        <v>778</v>
      </c>
      <c r="R548" s="438"/>
      <c r="S548" s="439"/>
      <c r="T548" s="452"/>
      <c r="U548" s="440" t="s">
        <v>1088</v>
      </c>
      <c r="V548" s="435" t="s">
        <v>279</v>
      </c>
    </row>
    <row r="549" spans="1:23" s="71" customFormat="1" ht="14.25" customHeight="1">
      <c r="A549" s="561" t="s">
        <v>37</v>
      </c>
      <c r="B549" s="561" t="s">
        <v>197</v>
      </c>
      <c r="C549" s="561" t="s">
        <v>1014</v>
      </c>
      <c r="D549" s="477" t="s">
        <v>1665</v>
      </c>
      <c r="E549" s="435" t="s">
        <v>1507</v>
      </c>
      <c r="F549" s="435" t="s">
        <v>1710</v>
      </c>
      <c r="G549" s="435" t="s">
        <v>1710</v>
      </c>
      <c r="H549" s="435"/>
      <c r="I549" s="435">
        <v>0</v>
      </c>
      <c r="J549" s="435" t="s">
        <v>43</v>
      </c>
      <c r="K549" s="561" t="s">
        <v>43</v>
      </c>
      <c r="L549" s="561" t="s">
        <v>758</v>
      </c>
      <c r="M549" s="435" t="s">
        <v>44</v>
      </c>
      <c r="N549" s="435">
        <v>24.410008999999999</v>
      </c>
      <c r="O549" s="435">
        <v>97.321659999999994</v>
      </c>
      <c r="P549" s="435" t="s">
        <v>771</v>
      </c>
      <c r="Q549" s="435" t="s">
        <v>760</v>
      </c>
      <c r="R549" s="568"/>
      <c r="S549" s="439"/>
      <c r="T549" s="452">
        <v>42983</v>
      </c>
      <c r="U549" s="440" t="s">
        <v>1015</v>
      </c>
      <c r="V549" s="435" t="s">
        <v>1014</v>
      </c>
      <c r="W549" s="561" t="s">
        <v>2174</v>
      </c>
    </row>
    <row r="550" spans="1:23" s="71" customFormat="1" ht="14.25" customHeight="1">
      <c r="A550" s="435" t="s">
        <v>37</v>
      </c>
      <c r="B550" s="435" t="s">
        <v>197</v>
      </c>
      <c r="C550" s="435" t="s">
        <v>1026</v>
      </c>
      <c r="D550" s="477" t="s">
        <v>1665</v>
      </c>
      <c r="E550" s="71" t="s">
        <v>1518</v>
      </c>
      <c r="F550" s="71" t="s">
        <v>1718</v>
      </c>
      <c r="G550" s="71" t="s">
        <v>1719</v>
      </c>
      <c r="I550" s="435">
        <v>0</v>
      </c>
      <c r="J550" s="71" t="s">
        <v>43</v>
      </c>
      <c r="K550" s="435" t="s">
        <v>43</v>
      </c>
      <c r="L550" s="435" t="s">
        <v>758</v>
      </c>
      <c r="M550" s="71" t="s">
        <v>44</v>
      </c>
      <c r="N550" s="435">
        <v>24.759551999999999</v>
      </c>
      <c r="O550" s="435">
        <v>97.276591999999994</v>
      </c>
      <c r="P550" s="435" t="s">
        <v>771</v>
      </c>
      <c r="Q550" s="71" t="s">
        <v>760</v>
      </c>
      <c r="R550" s="438"/>
      <c r="S550" s="569"/>
      <c r="T550" s="109">
        <v>42983</v>
      </c>
      <c r="U550" s="440" t="s">
        <v>1027</v>
      </c>
      <c r="V550" s="435" t="s">
        <v>1026</v>
      </c>
      <c r="W550" s="429" t="s">
        <v>2175</v>
      </c>
    </row>
    <row r="551" spans="1:23" s="71" customFormat="1" ht="14.25" customHeight="1">
      <c r="A551" s="435" t="s">
        <v>37</v>
      </c>
      <c r="B551" s="435" t="s">
        <v>197</v>
      </c>
      <c r="C551" s="435" t="s">
        <v>203</v>
      </c>
      <c r="D551" s="477" t="s">
        <v>1665</v>
      </c>
      <c r="E551" s="435" t="s">
        <v>1492</v>
      </c>
      <c r="F551" s="71" t="s">
        <v>1679</v>
      </c>
      <c r="G551" s="71" t="s">
        <v>1680</v>
      </c>
      <c r="H551" s="435"/>
      <c r="I551" s="435">
        <v>0</v>
      </c>
      <c r="J551" s="435" t="s">
        <v>43</v>
      </c>
      <c r="K551" s="435" t="s">
        <v>43</v>
      </c>
      <c r="L551" s="435" t="s">
        <v>758</v>
      </c>
      <c r="M551" s="435" t="s">
        <v>44</v>
      </c>
      <c r="N551" s="435">
        <v>24.251860000000001</v>
      </c>
      <c r="O551" s="435">
        <v>97.346940000000004</v>
      </c>
      <c r="P551" s="71" t="s">
        <v>759</v>
      </c>
      <c r="Q551" s="435" t="s">
        <v>778</v>
      </c>
      <c r="R551" s="438"/>
      <c r="S551" s="569"/>
      <c r="T551" s="452"/>
      <c r="U551" s="440" t="s">
        <v>997</v>
      </c>
      <c r="V551" s="71" t="s">
        <v>203</v>
      </c>
      <c r="W551" s="429" t="s">
        <v>2176</v>
      </c>
    </row>
    <row r="552" spans="1:23" s="71" customFormat="1" ht="14.25" customHeight="1">
      <c r="A552" s="435" t="s">
        <v>37</v>
      </c>
      <c r="B552" s="435" t="s">
        <v>197</v>
      </c>
      <c r="C552" s="435" t="s">
        <v>205</v>
      </c>
      <c r="D552" s="477" t="s">
        <v>2869</v>
      </c>
      <c r="E552" s="435" t="s">
        <v>1489</v>
      </c>
      <c r="F552" s="435" t="s">
        <v>1679</v>
      </c>
      <c r="G552" s="435" t="s">
        <v>1680</v>
      </c>
      <c r="H552" s="435" t="s">
        <v>41</v>
      </c>
      <c r="I552" s="435" t="s">
        <v>133</v>
      </c>
      <c r="J552" s="435" t="s">
        <v>43</v>
      </c>
      <c r="K552" s="435" t="s">
        <v>43</v>
      </c>
      <c r="L552" s="435" t="s">
        <v>43</v>
      </c>
      <c r="M552" s="435" t="s">
        <v>44</v>
      </c>
      <c r="N552" s="435">
        <v>24.250689999999999</v>
      </c>
      <c r="O552" s="435">
        <v>97.344359999999995</v>
      </c>
      <c r="P552" s="435" t="s">
        <v>759</v>
      </c>
      <c r="Q552" s="435" t="s">
        <v>778</v>
      </c>
      <c r="R552" s="438">
        <v>427</v>
      </c>
      <c r="S552" s="568">
        <v>2006</v>
      </c>
      <c r="T552" s="452"/>
      <c r="U552" s="440"/>
      <c r="V552" s="435" t="s">
        <v>205</v>
      </c>
    </row>
    <row r="553" spans="1:23" s="71" customFormat="1" ht="14.25" customHeight="1">
      <c r="A553" s="561" t="s">
        <v>37</v>
      </c>
      <c r="B553" s="561" t="s">
        <v>197</v>
      </c>
      <c r="C553" s="561" t="s">
        <v>1004</v>
      </c>
      <c r="D553" s="477" t="s">
        <v>1665</v>
      </c>
      <c r="E553" s="435" t="s">
        <v>1491</v>
      </c>
      <c r="F553" s="435" t="s">
        <v>1679</v>
      </c>
      <c r="G553" s="435" t="s">
        <v>1709</v>
      </c>
      <c r="H553" s="435" t="s">
        <v>41</v>
      </c>
      <c r="I553" s="435" t="s">
        <v>42</v>
      </c>
      <c r="J553" s="435" t="s">
        <v>43</v>
      </c>
      <c r="K553" s="435" t="s">
        <v>43</v>
      </c>
      <c r="L553" s="435" t="s">
        <v>758</v>
      </c>
      <c r="M553" s="435" t="s">
        <v>44</v>
      </c>
      <c r="N553" s="435">
        <v>24.25177</v>
      </c>
      <c r="O553" s="435">
        <v>97.346950000000007</v>
      </c>
      <c r="P553" s="435" t="s">
        <v>759</v>
      </c>
      <c r="Q553" s="435"/>
      <c r="R553" s="568"/>
      <c r="S553" s="439"/>
      <c r="T553" s="452"/>
      <c r="U553" s="440"/>
      <c r="V553" s="435" t="s">
        <v>1004</v>
      </c>
      <c r="W553" s="435" t="s">
        <v>2177</v>
      </c>
    </row>
    <row r="554" spans="1:23" s="71" customFormat="1" ht="14.25" customHeight="1">
      <c r="A554" s="573" t="s">
        <v>37</v>
      </c>
      <c r="B554" s="572" t="s">
        <v>197</v>
      </c>
      <c r="C554" s="566" t="s">
        <v>1950</v>
      </c>
      <c r="D554" s="567"/>
      <c r="I554" s="435"/>
      <c r="J554" s="71" t="s">
        <v>1463</v>
      </c>
      <c r="K554" s="435" t="s">
        <v>43</v>
      </c>
      <c r="L554" s="435" t="s">
        <v>43</v>
      </c>
      <c r="M554" s="71" t="s">
        <v>44</v>
      </c>
      <c r="N554" s="435"/>
      <c r="O554" s="435"/>
      <c r="P554" s="71" t="s">
        <v>759</v>
      </c>
      <c r="Q554" s="71" t="s">
        <v>1946</v>
      </c>
      <c r="R554" s="576"/>
      <c r="S554" s="569"/>
      <c r="T554" s="109">
        <v>43270</v>
      </c>
      <c r="U554" s="440"/>
      <c r="W554" s="435"/>
    </row>
    <row r="555" spans="1:23" s="71" customFormat="1" ht="14.25" customHeight="1">
      <c r="A555" s="435" t="s">
        <v>37</v>
      </c>
      <c r="B555" s="435" t="s">
        <v>197</v>
      </c>
      <c r="C555" s="435" t="s">
        <v>1002</v>
      </c>
      <c r="D555" s="477" t="s">
        <v>2869</v>
      </c>
      <c r="E555" s="71" t="s">
        <v>1490</v>
      </c>
      <c r="I555" s="71" t="s">
        <v>2140</v>
      </c>
      <c r="J555" s="71" t="s">
        <v>43</v>
      </c>
      <c r="K555" s="71" t="s">
        <v>43</v>
      </c>
      <c r="L555" s="435" t="s">
        <v>770</v>
      </c>
      <c r="M555" s="71" t="s">
        <v>44</v>
      </c>
      <c r="N555" s="435">
        <v>24.251232000000002</v>
      </c>
      <c r="O555" s="435">
        <v>97.348405</v>
      </c>
      <c r="P555" s="71" t="s">
        <v>771</v>
      </c>
      <c r="Q555" s="71" t="s">
        <v>760</v>
      </c>
      <c r="R555" s="438">
        <v>223</v>
      </c>
      <c r="S555" s="438">
        <v>1067</v>
      </c>
      <c r="T555" s="109"/>
      <c r="U555" s="440" t="s">
        <v>994</v>
      </c>
      <c r="V555" s="71" t="s">
        <v>1003</v>
      </c>
      <c r="W555" s="435"/>
    </row>
    <row r="556" spans="1:23" s="71" customFormat="1" ht="14.25" customHeight="1">
      <c r="A556" s="561" t="s">
        <v>37</v>
      </c>
      <c r="B556" s="561" t="s">
        <v>197</v>
      </c>
      <c r="C556" s="561" t="s">
        <v>1012</v>
      </c>
      <c r="D556" s="477" t="s">
        <v>2869</v>
      </c>
      <c r="E556" s="71" t="s">
        <v>1506</v>
      </c>
      <c r="F556" s="71" t="s">
        <v>1872</v>
      </c>
      <c r="G556" s="71" t="s">
        <v>1872</v>
      </c>
      <c r="H556" s="435"/>
      <c r="I556" s="71" t="s">
        <v>2140</v>
      </c>
      <c r="J556" s="71" t="s">
        <v>43</v>
      </c>
      <c r="K556" s="71" t="s">
        <v>43</v>
      </c>
      <c r="L556" s="435" t="s">
        <v>770</v>
      </c>
      <c r="M556" s="71" t="s">
        <v>44</v>
      </c>
      <c r="N556" s="435">
        <v>24.404876999999999</v>
      </c>
      <c r="O556" s="435">
        <v>97.407787999999996</v>
      </c>
      <c r="P556" s="561" t="s">
        <v>771</v>
      </c>
      <c r="Q556" s="71" t="s">
        <v>760</v>
      </c>
      <c r="R556" s="438">
        <v>26</v>
      </c>
      <c r="S556" s="438">
        <v>137</v>
      </c>
      <c r="T556" s="109"/>
      <c r="U556" s="105" t="s">
        <v>1013</v>
      </c>
      <c r="V556" s="71" t="s">
        <v>1012</v>
      </c>
      <c r="W556" s="561"/>
    </row>
    <row r="557" spans="1:23" s="71" customFormat="1" ht="14.25" customHeight="1">
      <c r="A557" s="561" t="s">
        <v>37</v>
      </c>
      <c r="B557" s="561" t="s">
        <v>197</v>
      </c>
      <c r="C557" s="561" t="s">
        <v>287</v>
      </c>
      <c r="D557" s="477" t="s">
        <v>2869</v>
      </c>
      <c r="E557" s="435" t="s">
        <v>1505</v>
      </c>
      <c r="F557" s="435" t="s">
        <v>1799</v>
      </c>
      <c r="G557" s="435" t="s">
        <v>1800</v>
      </c>
      <c r="H557" s="435" t="s">
        <v>41</v>
      </c>
      <c r="I557" s="435" t="s">
        <v>42</v>
      </c>
      <c r="J557" s="435" t="s">
        <v>43</v>
      </c>
      <c r="K557" s="435" t="s">
        <v>43</v>
      </c>
      <c r="L557" s="435" t="s">
        <v>43</v>
      </c>
      <c r="M557" s="435" t="s">
        <v>776</v>
      </c>
      <c r="N557" s="435">
        <v>24.378167000000001</v>
      </c>
      <c r="O557" s="435">
        <v>97.669366999999994</v>
      </c>
      <c r="P557" s="435" t="s">
        <v>759</v>
      </c>
      <c r="Q557" s="435" t="s">
        <v>760</v>
      </c>
      <c r="R557" s="568">
        <v>354</v>
      </c>
      <c r="S557" s="568">
        <v>1546</v>
      </c>
      <c r="T557" s="452"/>
      <c r="U557" s="440"/>
      <c r="V557" s="435" t="s">
        <v>287</v>
      </c>
      <c r="W557" s="561"/>
    </row>
    <row r="558" spans="1:23" s="71" customFormat="1" ht="14.25" customHeight="1">
      <c r="A558" s="435" t="s">
        <v>37</v>
      </c>
      <c r="B558" s="435" t="s">
        <v>197</v>
      </c>
      <c r="C558" s="435" t="s">
        <v>1005</v>
      </c>
      <c r="D558" s="477" t="s">
        <v>1665</v>
      </c>
      <c r="E558" s="71" t="s">
        <v>1494</v>
      </c>
      <c r="F558" s="71" t="s">
        <v>1679</v>
      </c>
      <c r="G558" s="71" t="s">
        <v>1680</v>
      </c>
      <c r="H558" s="71" t="s">
        <v>41</v>
      </c>
      <c r="I558" s="71" t="s">
        <v>234</v>
      </c>
      <c r="J558" s="71" t="s">
        <v>43</v>
      </c>
      <c r="K558" s="71" t="s">
        <v>43</v>
      </c>
      <c r="L558" s="561" t="s">
        <v>758</v>
      </c>
      <c r="M558" s="71" t="s">
        <v>44</v>
      </c>
      <c r="N558" s="435">
        <v>24.253769999999999</v>
      </c>
      <c r="O558" s="435">
        <v>97.347740000000002</v>
      </c>
      <c r="P558" s="71" t="s">
        <v>759</v>
      </c>
      <c r="R558" s="438"/>
      <c r="S558" s="569"/>
      <c r="T558" s="109"/>
      <c r="U558" s="105"/>
      <c r="V558" s="71" t="s">
        <v>1005</v>
      </c>
      <c r="W558" s="429" t="s">
        <v>2178</v>
      </c>
    </row>
    <row r="559" spans="1:23" s="71" customFormat="1" ht="14.25" customHeight="1">
      <c r="A559" s="435" t="s">
        <v>37</v>
      </c>
      <c r="B559" s="435" t="s">
        <v>197</v>
      </c>
      <c r="C559" s="435" t="s">
        <v>276</v>
      </c>
      <c r="D559" s="477" t="s">
        <v>2869</v>
      </c>
      <c r="E559" s="435" t="s">
        <v>1481</v>
      </c>
      <c r="F559" s="435" t="s">
        <v>1784</v>
      </c>
      <c r="G559" s="435" t="s">
        <v>1785</v>
      </c>
      <c r="H559" s="435" t="s">
        <v>41</v>
      </c>
      <c r="I559" s="435" t="s">
        <v>133</v>
      </c>
      <c r="J559" s="435" t="s">
        <v>43</v>
      </c>
      <c r="K559" s="435" t="s">
        <v>43</v>
      </c>
      <c r="L559" s="435" t="s">
        <v>43</v>
      </c>
      <c r="M559" s="435" t="s">
        <v>44</v>
      </c>
      <c r="N559" s="435">
        <v>24.205417000000001</v>
      </c>
      <c r="O559" s="435">
        <v>97.724483000000006</v>
      </c>
      <c r="P559" s="435" t="s">
        <v>759</v>
      </c>
      <c r="Q559" s="435" t="s">
        <v>778</v>
      </c>
      <c r="R559" s="438">
        <v>49</v>
      </c>
      <c r="S559" s="438">
        <v>300</v>
      </c>
      <c r="T559" s="452"/>
      <c r="U559" s="440"/>
      <c r="V559" s="435" t="s">
        <v>276</v>
      </c>
      <c r="W559" s="435"/>
    </row>
    <row r="560" spans="1:23" s="71" customFormat="1" ht="14.25" customHeight="1">
      <c r="A560" s="561" t="s">
        <v>37</v>
      </c>
      <c r="B560" s="561" t="s">
        <v>197</v>
      </c>
      <c r="C560" s="561" t="s">
        <v>288</v>
      </c>
      <c r="D560" s="477" t="s">
        <v>2869</v>
      </c>
      <c r="E560" s="561" t="s">
        <v>1501</v>
      </c>
      <c r="F560" s="71" t="s">
        <v>1796</v>
      </c>
      <c r="G560" s="71" t="s">
        <v>1797</v>
      </c>
      <c r="H560" s="435" t="s">
        <v>41</v>
      </c>
      <c r="I560" s="71" t="s">
        <v>42</v>
      </c>
      <c r="J560" s="71" t="s">
        <v>43</v>
      </c>
      <c r="K560" s="71" t="s">
        <v>43</v>
      </c>
      <c r="L560" s="71" t="s">
        <v>43</v>
      </c>
      <c r="M560" s="71" t="s">
        <v>776</v>
      </c>
      <c r="N560" s="435">
        <v>24.2744</v>
      </c>
      <c r="O560" s="435">
        <v>97.752667000000002</v>
      </c>
      <c r="P560" s="71" t="s">
        <v>759</v>
      </c>
      <c r="Q560" s="71" t="s">
        <v>760</v>
      </c>
      <c r="R560" s="438">
        <v>632</v>
      </c>
      <c r="S560" s="568">
        <v>3550</v>
      </c>
      <c r="T560" s="109"/>
      <c r="U560" s="105"/>
      <c r="V560" s="71" t="s">
        <v>288</v>
      </c>
    </row>
    <row r="561" spans="1:23" s="71" customFormat="1" ht="14.25" customHeight="1">
      <c r="A561" s="561" t="s">
        <v>37</v>
      </c>
      <c r="B561" s="561" t="s">
        <v>197</v>
      </c>
      <c r="C561" s="561" t="s">
        <v>1126</v>
      </c>
      <c r="D561" s="477" t="s">
        <v>1664</v>
      </c>
      <c r="H561" s="435"/>
      <c r="I561" s="435"/>
      <c r="J561" s="71" t="s">
        <v>43</v>
      </c>
      <c r="K561" s="561" t="s">
        <v>43</v>
      </c>
      <c r="L561" s="561" t="s">
        <v>1085</v>
      </c>
      <c r="M561" s="71" t="s">
        <v>776</v>
      </c>
      <c r="N561" s="435"/>
      <c r="O561" s="435"/>
      <c r="P561" s="71" t="s">
        <v>759</v>
      </c>
      <c r="R561" s="568"/>
      <c r="S561" s="439"/>
      <c r="T561" s="109"/>
      <c r="U561" s="105"/>
      <c r="V561" s="71" t="s">
        <v>1126</v>
      </c>
      <c r="W561" s="435"/>
    </row>
    <row r="562" spans="1:23" s="71" customFormat="1" ht="14.25" customHeight="1">
      <c r="A562" s="435" t="s">
        <v>37</v>
      </c>
      <c r="B562" s="435" t="s">
        <v>197</v>
      </c>
      <c r="C562" s="435" t="s">
        <v>1127</v>
      </c>
      <c r="D562" s="477" t="s">
        <v>1664</v>
      </c>
      <c r="I562" s="435"/>
      <c r="J562" s="71" t="s">
        <v>43</v>
      </c>
      <c r="K562" s="71" t="s">
        <v>43</v>
      </c>
      <c r="L562" s="71" t="s">
        <v>1085</v>
      </c>
      <c r="M562" s="71" t="s">
        <v>776</v>
      </c>
      <c r="N562" s="435"/>
      <c r="O562" s="435"/>
      <c r="P562" s="71" t="s">
        <v>759</v>
      </c>
      <c r="R562" s="438"/>
      <c r="S562" s="569"/>
      <c r="T562" s="109"/>
      <c r="U562" s="105"/>
      <c r="V562" s="71" t="s">
        <v>1127</v>
      </c>
      <c r="W562" s="561"/>
    </row>
    <row r="563" spans="1:23" s="71" customFormat="1" ht="14.25" customHeight="1">
      <c r="A563" s="561" t="s">
        <v>37</v>
      </c>
      <c r="B563" s="561" t="s">
        <v>197</v>
      </c>
      <c r="C563" s="561" t="s">
        <v>1128</v>
      </c>
      <c r="D563" s="477" t="s">
        <v>1664</v>
      </c>
      <c r="E563" s="561"/>
      <c r="F563" s="561"/>
      <c r="G563" s="561"/>
      <c r="H563" s="561"/>
      <c r="I563" s="561"/>
      <c r="J563" s="561" t="s">
        <v>1097</v>
      </c>
      <c r="K563" s="561" t="s">
        <v>43</v>
      </c>
      <c r="L563" s="561" t="s">
        <v>758</v>
      </c>
      <c r="M563" s="561" t="s">
        <v>776</v>
      </c>
      <c r="N563" s="561"/>
      <c r="O563" s="561"/>
      <c r="P563" s="435" t="s">
        <v>759</v>
      </c>
      <c r="Q563" s="561"/>
      <c r="R563" s="568"/>
      <c r="S563" s="569"/>
      <c r="T563" s="588"/>
      <c r="U563" s="570"/>
      <c r="V563" s="561" t="s">
        <v>1128</v>
      </c>
      <c r="W563" s="435"/>
    </row>
    <row r="564" spans="1:23" s="71" customFormat="1" ht="14.25" customHeight="1">
      <c r="A564" s="566" t="s">
        <v>37</v>
      </c>
      <c r="B564" s="566" t="s">
        <v>197</v>
      </c>
      <c r="C564" s="566" t="s">
        <v>1129</v>
      </c>
      <c r="D564" s="479" t="s">
        <v>1664</v>
      </c>
      <c r="E564" s="566"/>
      <c r="F564" s="566"/>
      <c r="G564" s="566"/>
      <c r="H564" s="566"/>
      <c r="I564" s="566"/>
      <c r="J564" s="566" t="s">
        <v>1097</v>
      </c>
      <c r="K564" s="566" t="s">
        <v>43</v>
      </c>
      <c r="L564" s="566" t="s">
        <v>758</v>
      </c>
      <c r="M564" s="566" t="s">
        <v>776</v>
      </c>
      <c r="N564" s="566"/>
      <c r="O564" s="566"/>
      <c r="P564" s="561" t="s">
        <v>759</v>
      </c>
      <c r="Q564" s="566"/>
      <c r="R564" s="572"/>
      <c r="S564" s="573"/>
      <c r="T564" s="589"/>
      <c r="U564" s="574"/>
      <c r="V564" s="566" t="s">
        <v>1129</v>
      </c>
    </row>
    <row r="565" spans="1:23" s="71" customFormat="1" ht="14.25" customHeight="1">
      <c r="A565" s="435" t="s">
        <v>37</v>
      </c>
      <c r="B565" s="435" t="s">
        <v>197</v>
      </c>
      <c r="C565" s="435" t="s">
        <v>1130</v>
      </c>
      <c r="D565" s="477" t="s">
        <v>1664</v>
      </c>
      <c r="E565" s="435"/>
      <c r="F565" s="435"/>
      <c r="G565" s="435"/>
      <c r="H565" s="435"/>
      <c r="I565" s="435"/>
      <c r="J565" s="71" t="s">
        <v>796</v>
      </c>
      <c r="K565" s="435" t="s">
        <v>796</v>
      </c>
      <c r="L565" s="435" t="s">
        <v>796</v>
      </c>
      <c r="M565" s="435" t="s">
        <v>776</v>
      </c>
      <c r="N565" s="435"/>
      <c r="O565" s="435"/>
      <c r="P565" s="71" t="s">
        <v>797</v>
      </c>
      <c r="Q565" s="435"/>
      <c r="R565" s="438"/>
      <c r="S565" s="569"/>
      <c r="T565" s="452"/>
      <c r="U565" s="440"/>
      <c r="V565" s="435" t="s">
        <v>1130</v>
      </c>
    </row>
    <row r="566" spans="1:23" s="71" customFormat="1" ht="14.25" customHeight="1">
      <c r="A566" s="435" t="s">
        <v>37</v>
      </c>
      <c r="B566" s="435" t="s">
        <v>197</v>
      </c>
      <c r="C566" s="435" t="s">
        <v>1131</v>
      </c>
      <c r="D566" s="477" t="s">
        <v>1664</v>
      </c>
      <c r="H566" s="435"/>
      <c r="I566" s="435"/>
      <c r="J566" s="71" t="s">
        <v>1097</v>
      </c>
      <c r="K566" s="71" t="s">
        <v>43</v>
      </c>
      <c r="L566" s="71" t="s">
        <v>758</v>
      </c>
      <c r="M566" s="71" t="s">
        <v>776</v>
      </c>
      <c r="N566" s="435"/>
      <c r="O566" s="435"/>
      <c r="P566" s="435" t="s">
        <v>759</v>
      </c>
      <c r="R566" s="438"/>
      <c r="S566" s="569"/>
      <c r="T566" s="109"/>
      <c r="U566" s="105"/>
      <c r="V566" s="71" t="s">
        <v>1131</v>
      </c>
      <c r="W566" s="561"/>
    </row>
    <row r="567" spans="1:23" s="71" customFormat="1" ht="14.25" customHeight="1">
      <c r="A567" s="435" t="s">
        <v>37</v>
      </c>
      <c r="B567" s="561" t="s">
        <v>197</v>
      </c>
      <c r="C567" s="561" t="s">
        <v>1021</v>
      </c>
      <c r="D567" s="477" t="s">
        <v>1665</v>
      </c>
      <c r="E567" s="435" t="s">
        <v>1512</v>
      </c>
      <c r="F567" s="435" t="s">
        <v>1715</v>
      </c>
      <c r="G567" s="435" t="s">
        <v>1716</v>
      </c>
      <c r="H567" s="435"/>
      <c r="I567" s="435">
        <v>0</v>
      </c>
      <c r="J567" s="435" t="s">
        <v>43</v>
      </c>
      <c r="K567" s="435" t="s">
        <v>43</v>
      </c>
      <c r="L567" s="435" t="s">
        <v>758</v>
      </c>
      <c r="M567" s="435" t="s">
        <v>44</v>
      </c>
      <c r="N567" s="435">
        <v>24.630859999999998</v>
      </c>
      <c r="O567" s="435">
        <v>97.429860000000005</v>
      </c>
      <c r="P567" s="435" t="s">
        <v>771</v>
      </c>
      <c r="Q567" s="435" t="s">
        <v>760</v>
      </c>
      <c r="R567" s="438"/>
      <c r="S567" s="569"/>
      <c r="T567" s="452">
        <v>42983</v>
      </c>
      <c r="U567" s="440" t="s">
        <v>1022</v>
      </c>
      <c r="V567" s="435" t="s">
        <v>1021</v>
      </c>
      <c r="W567" s="429" t="s">
        <v>2179</v>
      </c>
    </row>
    <row r="568" spans="1:23" s="71" customFormat="1" ht="14.25" customHeight="1">
      <c r="A568" s="435" t="s">
        <v>37</v>
      </c>
      <c r="B568" s="566" t="s">
        <v>197</v>
      </c>
      <c r="C568" s="566" t="s">
        <v>278</v>
      </c>
      <c r="D568" s="477" t="s">
        <v>2869</v>
      </c>
      <c r="E568" s="71" t="s">
        <v>1483</v>
      </c>
      <c r="F568" s="71" t="s">
        <v>1784</v>
      </c>
      <c r="G568" s="71" t="s">
        <v>1787</v>
      </c>
      <c r="H568" s="435" t="s">
        <v>41</v>
      </c>
      <c r="I568" s="71" t="s">
        <v>133</v>
      </c>
      <c r="J568" s="71" t="s">
        <v>43</v>
      </c>
      <c r="K568" s="71" t="s">
        <v>43</v>
      </c>
      <c r="L568" s="71" t="s">
        <v>43</v>
      </c>
      <c r="M568" s="71" t="s">
        <v>44</v>
      </c>
      <c r="N568" s="435">
        <v>24.207332999999998</v>
      </c>
      <c r="O568" s="435">
        <v>97.710864000000001</v>
      </c>
      <c r="P568" s="71" t="s">
        <v>759</v>
      </c>
      <c r="Q568" s="71" t="s">
        <v>778</v>
      </c>
      <c r="R568" s="438">
        <v>44</v>
      </c>
      <c r="S568" s="568">
        <v>276</v>
      </c>
      <c r="T568" s="109"/>
      <c r="U568" s="105"/>
      <c r="V568" s="71" t="s">
        <v>278</v>
      </c>
      <c r="W568" s="561"/>
    </row>
    <row r="569" spans="1:23" s="71" customFormat="1" ht="14.25" customHeight="1">
      <c r="A569" s="435" t="s">
        <v>37</v>
      </c>
      <c r="B569" s="566" t="s">
        <v>197</v>
      </c>
      <c r="C569" s="566" t="s">
        <v>1018</v>
      </c>
      <c r="D569" s="477" t="s">
        <v>1665</v>
      </c>
      <c r="E569" s="71" t="s">
        <v>1510</v>
      </c>
      <c r="F569" s="71" t="s">
        <v>1712</v>
      </c>
      <c r="G569" s="71" t="s">
        <v>1712</v>
      </c>
      <c r="H569" s="435"/>
      <c r="I569" s="435">
        <v>0</v>
      </c>
      <c r="J569" s="71" t="s">
        <v>43</v>
      </c>
      <c r="K569" s="71" t="s">
        <v>43</v>
      </c>
      <c r="L569" s="71" t="s">
        <v>758</v>
      </c>
      <c r="M569" s="71" t="s">
        <v>44</v>
      </c>
      <c r="N569" s="435">
        <v>24.492493</v>
      </c>
      <c r="O569" s="435">
        <v>97.416826999999998</v>
      </c>
      <c r="P569" s="435" t="s">
        <v>771</v>
      </c>
      <c r="Q569" s="71" t="s">
        <v>760</v>
      </c>
      <c r="R569" s="438"/>
      <c r="S569" s="569"/>
      <c r="T569" s="109">
        <v>42983</v>
      </c>
      <c r="U569" s="105" t="s">
        <v>1015</v>
      </c>
      <c r="V569" s="71" t="s">
        <v>1018</v>
      </c>
      <c r="W569" s="429" t="s">
        <v>2180</v>
      </c>
    </row>
    <row r="570" spans="1:23" s="71" customFormat="1" ht="14.25" customHeight="1">
      <c r="A570" s="561" t="s">
        <v>37</v>
      </c>
      <c r="B570" s="561" t="s">
        <v>151</v>
      </c>
      <c r="C570" s="561" t="s">
        <v>1086</v>
      </c>
      <c r="D570" s="477" t="s">
        <v>1665</v>
      </c>
      <c r="E570" s="71" t="s">
        <v>1974</v>
      </c>
      <c r="F570" s="71" t="s">
        <v>1725</v>
      </c>
      <c r="G570" s="71" t="s">
        <v>1740</v>
      </c>
      <c r="H570" s="435"/>
      <c r="I570" s="435" t="s">
        <v>2140</v>
      </c>
      <c r="J570" s="71" t="s">
        <v>43</v>
      </c>
      <c r="K570" s="561" t="s">
        <v>43</v>
      </c>
      <c r="L570" s="561" t="s">
        <v>758</v>
      </c>
      <c r="M570" s="71" t="s">
        <v>44</v>
      </c>
      <c r="N570" s="435"/>
      <c r="O570" s="435"/>
      <c r="P570" s="435" t="s">
        <v>759</v>
      </c>
      <c r="Q570" s="71" t="s">
        <v>924</v>
      </c>
      <c r="R570" s="568"/>
      <c r="S570" s="569"/>
      <c r="T570" s="109"/>
      <c r="U570" s="105" t="s">
        <v>1087</v>
      </c>
      <c r="W570" s="435" t="s">
        <v>2181</v>
      </c>
    </row>
    <row r="571" spans="1:23" s="71" customFormat="1" ht="14.25" customHeight="1">
      <c r="A571" s="569" t="s">
        <v>37</v>
      </c>
      <c r="B571" s="572" t="s">
        <v>151</v>
      </c>
      <c r="C571" s="573" t="s">
        <v>2034</v>
      </c>
      <c r="D571" s="567"/>
      <c r="E571" s="435"/>
      <c r="F571" s="435"/>
      <c r="G571" s="435"/>
      <c r="H571" s="435"/>
      <c r="I571" s="435"/>
      <c r="J571" s="435" t="s">
        <v>1463</v>
      </c>
      <c r="K571" s="566" t="s">
        <v>43</v>
      </c>
      <c r="L571" s="566" t="s">
        <v>774</v>
      </c>
      <c r="M571" s="435" t="s">
        <v>776</v>
      </c>
      <c r="N571" s="435"/>
      <c r="O571" s="435"/>
      <c r="P571" s="435" t="s">
        <v>759</v>
      </c>
      <c r="Q571" s="435"/>
      <c r="R571" s="576"/>
      <c r="S571" s="569"/>
      <c r="T571" s="452">
        <v>43298</v>
      </c>
      <c r="U571" s="440"/>
      <c r="V571" s="435"/>
    </row>
    <row r="572" spans="1:23" s="71" customFormat="1" ht="14.25" customHeight="1">
      <c r="A572" s="561" t="s">
        <v>37</v>
      </c>
      <c r="B572" s="561" t="s">
        <v>151</v>
      </c>
      <c r="C572" s="561" t="s">
        <v>152</v>
      </c>
      <c r="D572" s="477" t="s">
        <v>2869</v>
      </c>
      <c r="E572" s="71" t="s">
        <v>1556</v>
      </c>
      <c r="F572" s="71" t="s">
        <v>1725</v>
      </c>
      <c r="G572" s="71" t="s">
        <v>1827</v>
      </c>
      <c r="H572" s="435" t="s">
        <v>41</v>
      </c>
      <c r="I572" s="435" t="s">
        <v>133</v>
      </c>
      <c r="J572" s="71" t="s">
        <v>43</v>
      </c>
      <c r="K572" s="561" t="s">
        <v>43</v>
      </c>
      <c r="L572" s="561" t="s">
        <v>43</v>
      </c>
      <c r="M572" s="71" t="s">
        <v>44</v>
      </c>
      <c r="N572" s="435">
        <v>25.395974089999999</v>
      </c>
      <c r="O572" s="435">
        <v>97.382997579999994</v>
      </c>
      <c r="P572" s="561" t="s">
        <v>759</v>
      </c>
      <c r="Q572" s="71" t="s">
        <v>778</v>
      </c>
      <c r="R572" s="438">
        <v>44</v>
      </c>
      <c r="S572" s="568">
        <v>197</v>
      </c>
      <c r="T572" s="109">
        <v>42983</v>
      </c>
      <c r="U572" s="105" t="s">
        <v>1049</v>
      </c>
      <c r="V572" s="71" t="s">
        <v>1050</v>
      </c>
      <c r="W572" s="561"/>
    </row>
    <row r="573" spans="1:23" s="71" customFormat="1" ht="14.25" customHeight="1">
      <c r="A573" s="435" t="s">
        <v>37</v>
      </c>
      <c r="B573" s="435" t="s">
        <v>151</v>
      </c>
      <c r="C573" s="561" t="s">
        <v>1052</v>
      </c>
      <c r="D573" s="477" t="s">
        <v>1664</v>
      </c>
      <c r="E573" s="71" t="s">
        <v>1558</v>
      </c>
      <c r="H573" s="435"/>
      <c r="J573" s="71" t="s">
        <v>43</v>
      </c>
      <c r="K573" s="71" t="s">
        <v>43</v>
      </c>
      <c r="L573" s="71" t="s">
        <v>758</v>
      </c>
      <c r="M573" s="71" t="s">
        <v>44</v>
      </c>
      <c r="N573" s="435">
        <v>25.400270190000001</v>
      </c>
      <c r="O573" s="435">
        <v>97.384729629999995</v>
      </c>
      <c r="P573" s="71" t="s">
        <v>759</v>
      </c>
      <c r="Q573" s="71" t="s">
        <v>778</v>
      </c>
      <c r="R573" s="438"/>
      <c r="S573" s="569"/>
      <c r="T573" s="109"/>
      <c r="U573" s="105" t="s">
        <v>1049</v>
      </c>
      <c r="V573" s="71" t="s">
        <v>1052</v>
      </c>
      <c r="W573" s="435"/>
    </row>
    <row r="574" spans="1:23" s="71" customFormat="1" ht="14.25" customHeight="1">
      <c r="A574" s="435" t="s">
        <v>37</v>
      </c>
      <c r="B574" s="435" t="s">
        <v>151</v>
      </c>
      <c r="C574" s="561" t="s">
        <v>1050</v>
      </c>
      <c r="D574" s="477" t="s">
        <v>1664</v>
      </c>
      <c r="H574" s="435"/>
      <c r="J574" s="71" t="s">
        <v>43</v>
      </c>
      <c r="K574" s="71" t="s">
        <v>43</v>
      </c>
      <c r="L574" s="71" t="s">
        <v>758</v>
      </c>
      <c r="M574" s="71" t="s">
        <v>44</v>
      </c>
      <c r="N574" s="435">
        <v>25.395974089999999</v>
      </c>
      <c r="O574" s="435">
        <v>97.382997579999994</v>
      </c>
      <c r="P574" s="71" t="s">
        <v>759</v>
      </c>
      <c r="Q574" s="71" t="s">
        <v>778</v>
      </c>
      <c r="R574" s="438"/>
      <c r="S574" s="569"/>
      <c r="T574" s="109"/>
      <c r="U574" s="105"/>
      <c r="V574" s="71" t="s">
        <v>1050</v>
      </c>
      <c r="W574" s="435"/>
    </row>
    <row r="575" spans="1:23" s="71" customFormat="1" ht="14.25" customHeight="1">
      <c r="A575" s="435" t="s">
        <v>37</v>
      </c>
      <c r="B575" s="561" t="s">
        <v>151</v>
      </c>
      <c r="C575" s="561" t="s">
        <v>1051</v>
      </c>
      <c r="D575" s="477" t="s">
        <v>1664</v>
      </c>
      <c r="E575" s="71" t="s">
        <v>1557</v>
      </c>
      <c r="H575" s="435"/>
      <c r="I575" s="435"/>
      <c r="J575" s="71" t="s">
        <v>43</v>
      </c>
      <c r="K575" s="71" t="s">
        <v>43</v>
      </c>
      <c r="L575" s="71" t="s">
        <v>758</v>
      </c>
      <c r="M575" s="71" t="s">
        <v>44</v>
      </c>
      <c r="N575" s="435">
        <v>25.396492500000001</v>
      </c>
      <c r="O575" s="435">
        <v>97.381325000000004</v>
      </c>
      <c r="P575" s="71" t="s">
        <v>759</v>
      </c>
      <c r="Q575" s="71" t="s">
        <v>778</v>
      </c>
      <c r="R575" s="438"/>
      <c r="S575" s="569"/>
      <c r="T575" s="109"/>
      <c r="U575" s="105" t="s">
        <v>1049</v>
      </c>
      <c r="V575" s="71" t="s">
        <v>1051</v>
      </c>
      <c r="W575" s="435"/>
    </row>
    <row r="576" spans="1:23" s="71" customFormat="1" ht="14.25" customHeight="1">
      <c r="A576" s="561" t="s">
        <v>37</v>
      </c>
      <c r="B576" s="561" t="s">
        <v>151</v>
      </c>
      <c r="C576" s="561" t="s">
        <v>153</v>
      </c>
      <c r="D576" s="477" t="s">
        <v>2869</v>
      </c>
      <c r="E576" s="435" t="s">
        <v>1560</v>
      </c>
      <c r="F576" s="435" t="s">
        <v>1725</v>
      </c>
      <c r="G576" s="435" t="s">
        <v>1828</v>
      </c>
      <c r="H576" s="435" t="s">
        <v>41</v>
      </c>
      <c r="I576" s="435" t="s">
        <v>133</v>
      </c>
      <c r="J576" s="435" t="s">
        <v>43</v>
      </c>
      <c r="K576" s="435" t="s">
        <v>43</v>
      </c>
      <c r="L576" s="435" t="s">
        <v>43</v>
      </c>
      <c r="M576" s="435" t="s">
        <v>44</v>
      </c>
      <c r="N576" s="435">
        <v>25.403476999999999</v>
      </c>
      <c r="O576" s="435">
        <v>97.373361000000003</v>
      </c>
      <c r="P576" s="561" t="s">
        <v>759</v>
      </c>
      <c r="Q576" s="435" t="s">
        <v>778</v>
      </c>
      <c r="R576" s="438">
        <v>199</v>
      </c>
      <c r="S576" s="438">
        <v>1131</v>
      </c>
      <c r="T576" s="452"/>
      <c r="U576" s="440"/>
      <c r="V576" s="435" t="s">
        <v>153</v>
      </c>
      <c r="W576" s="561"/>
    </row>
    <row r="577" spans="1:23" s="71" customFormat="1" ht="14.25" customHeight="1">
      <c r="A577" s="561" t="s">
        <v>37</v>
      </c>
      <c r="B577" s="561" t="s">
        <v>151</v>
      </c>
      <c r="C577" s="561" t="s">
        <v>225</v>
      </c>
      <c r="D577" s="477" t="s">
        <v>2869</v>
      </c>
      <c r="E577" s="71" t="s">
        <v>1559</v>
      </c>
      <c r="F577" s="71" t="s">
        <v>1725</v>
      </c>
      <c r="G577" s="71" t="s">
        <v>1828</v>
      </c>
      <c r="H577" s="71" t="s">
        <v>41</v>
      </c>
      <c r="I577" s="71" t="s">
        <v>1328</v>
      </c>
      <c r="J577" s="71" t="s">
        <v>43</v>
      </c>
      <c r="K577" s="71" t="s">
        <v>43</v>
      </c>
      <c r="L577" s="71" t="s">
        <v>43</v>
      </c>
      <c r="M577" s="71" t="s">
        <v>44</v>
      </c>
      <c r="N577" s="435">
        <v>25.401061110000001</v>
      </c>
      <c r="O577" s="435">
        <v>97.379594999999995</v>
      </c>
      <c r="P577" s="561" t="s">
        <v>759</v>
      </c>
      <c r="Q577" s="71" t="s">
        <v>778</v>
      </c>
      <c r="R577" s="438">
        <v>100</v>
      </c>
      <c r="S577" s="568">
        <v>485</v>
      </c>
      <c r="T577" s="109"/>
      <c r="U577" s="105"/>
      <c r="V577" s="71" t="s">
        <v>225</v>
      </c>
      <c r="W577" s="561"/>
    </row>
    <row r="578" spans="1:23" s="71" customFormat="1" ht="14.25" customHeight="1">
      <c r="A578" s="573" t="s">
        <v>37</v>
      </c>
      <c r="B578" s="572" t="s">
        <v>151</v>
      </c>
      <c r="C578" s="436" t="s">
        <v>2125</v>
      </c>
      <c r="D578" s="477" t="s">
        <v>2869</v>
      </c>
      <c r="E578" s="435" t="s">
        <v>1971</v>
      </c>
      <c r="F578" s="435"/>
      <c r="G578" s="435"/>
      <c r="H578" s="435"/>
      <c r="I578" s="435" t="s">
        <v>133</v>
      </c>
      <c r="J578" s="435" t="s">
        <v>43</v>
      </c>
      <c r="K578" s="435" t="s">
        <v>43</v>
      </c>
      <c r="L578" s="435" t="s">
        <v>43</v>
      </c>
      <c r="M578" s="435" t="s">
        <v>44</v>
      </c>
      <c r="N578" s="435"/>
      <c r="O578" s="435"/>
      <c r="P578" s="566" t="s">
        <v>759</v>
      </c>
      <c r="Q578" s="435" t="s">
        <v>1946</v>
      </c>
      <c r="R578" s="568">
        <v>140</v>
      </c>
      <c r="S578" s="568">
        <v>620</v>
      </c>
      <c r="T578" s="452">
        <v>43276</v>
      </c>
      <c r="U578" s="440" t="s">
        <v>1996</v>
      </c>
      <c r="V578" s="435"/>
      <c r="W578" s="429" t="s">
        <v>2279</v>
      </c>
    </row>
    <row r="579" spans="1:23" s="71" customFormat="1" ht="14.25" customHeight="1">
      <c r="A579" s="573" t="s">
        <v>37</v>
      </c>
      <c r="B579" s="572" t="s">
        <v>151</v>
      </c>
      <c r="C579" s="566" t="s">
        <v>1953</v>
      </c>
      <c r="D579" s="567"/>
      <c r="H579" s="435"/>
      <c r="I579" s="435"/>
      <c r="J579" s="71" t="s">
        <v>1463</v>
      </c>
      <c r="K579" s="435" t="s">
        <v>43</v>
      </c>
      <c r="L579" s="561" t="s">
        <v>43</v>
      </c>
      <c r="M579" s="71" t="s">
        <v>44</v>
      </c>
      <c r="N579" s="435"/>
      <c r="O579" s="435"/>
      <c r="P579" s="435" t="s">
        <v>759</v>
      </c>
      <c r="Q579" s="71" t="s">
        <v>1946</v>
      </c>
      <c r="R579" s="576"/>
      <c r="S579" s="569"/>
      <c r="T579" s="109">
        <v>43270</v>
      </c>
      <c r="U579" s="105"/>
      <c r="W579" s="561"/>
    </row>
    <row r="580" spans="1:23" s="71" customFormat="1" ht="14.25" customHeight="1">
      <c r="A580" s="435" t="s">
        <v>37</v>
      </c>
      <c r="B580" s="561" t="s">
        <v>151</v>
      </c>
      <c r="C580" s="561" t="s">
        <v>1100</v>
      </c>
      <c r="D580" s="477" t="s">
        <v>2869</v>
      </c>
      <c r="E580" s="435" t="s">
        <v>1959</v>
      </c>
      <c r="F580" s="435" t="s">
        <v>1725</v>
      </c>
      <c r="G580" s="435" t="s">
        <v>1881</v>
      </c>
      <c r="H580" s="435"/>
      <c r="I580" s="435" t="s">
        <v>1328</v>
      </c>
      <c r="J580" s="435" t="s">
        <v>43</v>
      </c>
      <c r="K580" s="435" t="s">
        <v>43</v>
      </c>
      <c r="L580" s="566" t="s">
        <v>43</v>
      </c>
      <c r="M580" s="435" t="s">
        <v>44</v>
      </c>
      <c r="N580" s="435"/>
      <c r="O580" s="435"/>
      <c r="P580" s="435" t="s">
        <v>759</v>
      </c>
      <c r="Q580" s="435" t="s">
        <v>924</v>
      </c>
      <c r="R580" s="438">
        <v>14</v>
      </c>
      <c r="S580" s="438">
        <v>40</v>
      </c>
      <c r="T580" s="452">
        <v>42983</v>
      </c>
      <c r="U580" s="440" t="s">
        <v>1101</v>
      </c>
      <c r="V580" s="435"/>
      <c r="W580" s="429" t="s">
        <v>2280</v>
      </c>
    </row>
    <row r="581" spans="1:23" s="71" customFormat="1" ht="14.25" customHeight="1">
      <c r="A581" s="561" t="s">
        <v>37</v>
      </c>
      <c r="B581" s="561" t="s">
        <v>151</v>
      </c>
      <c r="C581" s="561" t="s">
        <v>154</v>
      </c>
      <c r="D581" s="477" t="s">
        <v>2698</v>
      </c>
      <c r="E581" s="561" t="s">
        <v>1551</v>
      </c>
      <c r="F581" s="71" t="s">
        <v>1725</v>
      </c>
      <c r="G581" s="71" t="s">
        <v>1825</v>
      </c>
      <c r="H581" s="435" t="s">
        <v>41</v>
      </c>
      <c r="I581" s="435" t="s">
        <v>133</v>
      </c>
      <c r="J581" s="71" t="s">
        <v>43</v>
      </c>
      <c r="K581" s="71" t="s">
        <v>43</v>
      </c>
      <c r="L581" s="435" t="s">
        <v>758</v>
      </c>
      <c r="M581" s="71" t="s">
        <v>44</v>
      </c>
      <c r="N581" s="435">
        <v>25.36600361</v>
      </c>
      <c r="O581" s="435">
        <v>97.405202779999996</v>
      </c>
      <c r="P581" s="435" t="s">
        <v>759</v>
      </c>
      <c r="Q581" s="71" t="s">
        <v>778</v>
      </c>
      <c r="R581" s="438"/>
      <c r="S581" s="438"/>
      <c r="T581" s="109"/>
      <c r="U581" s="440"/>
      <c r="V581" s="435" t="s">
        <v>154</v>
      </c>
      <c r="W581" s="435"/>
    </row>
    <row r="582" spans="1:23" s="71" customFormat="1" ht="14.25" customHeight="1">
      <c r="A582" s="573" t="s">
        <v>37</v>
      </c>
      <c r="B582" s="572" t="s">
        <v>151</v>
      </c>
      <c r="C582" s="573" t="s">
        <v>769</v>
      </c>
      <c r="D582" s="477" t="s">
        <v>2869</v>
      </c>
      <c r="E582" s="599" t="s">
        <v>1331</v>
      </c>
      <c r="F582" s="435"/>
      <c r="G582" s="435"/>
      <c r="H582" s="435"/>
      <c r="I582" s="435" t="s">
        <v>2140</v>
      </c>
      <c r="J582" s="71" t="s">
        <v>43</v>
      </c>
      <c r="K582" s="561" t="s">
        <v>43</v>
      </c>
      <c r="L582" s="561" t="s">
        <v>758</v>
      </c>
      <c r="M582" s="71" t="s">
        <v>44</v>
      </c>
      <c r="N582" s="435">
        <v>0</v>
      </c>
      <c r="O582" s="435">
        <v>0</v>
      </c>
      <c r="P582" s="435" t="s">
        <v>759</v>
      </c>
      <c r="Q582" s="71" t="s">
        <v>2128</v>
      </c>
      <c r="R582" s="568"/>
      <c r="S582" s="568"/>
      <c r="T582" s="109">
        <v>43360</v>
      </c>
      <c r="U582" s="440" t="s">
        <v>2130</v>
      </c>
      <c r="V582" s="435"/>
      <c r="W582" s="435"/>
    </row>
    <row r="583" spans="1:23" s="71" customFormat="1" ht="14.25" customHeight="1">
      <c r="A583" s="569" t="s">
        <v>37</v>
      </c>
      <c r="B583" s="572" t="s">
        <v>151</v>
      </c>
      <c r="C583" s="573" t="s">
        <v>2038</v>
      </c>
      <c r="D583" s="567"/>
      <c r="F583" s="435"/>
      <c r="H583" s="435"/>
      <c r="J583" s="71" t="s">
        <v>1463</v>
      </c>
      <c r="K583" s="566" t="s">
        <v>43</v>
      </c>
      <c r="L583" s="566" t="s">
        <v>774</v>
      </c>
      <c r="M583" s="71" t="s">
        <v>776</v>
      </c>
      <c r="N583" s="435"/>
      <c r="O583" s="435"/>
      <c r="P583" s="435" t="s">
        <v>759</v>
      </c>
      <c r="R583" s="576"/>
      <c r="S583" s="569"/>
      <c r="T583" s="109">
        <v>43298</v>
      </c>
      <c r="U583" s="105"/>
      <c r="W583" s="561"/>
    </row>
    <row r="584" spans="1:23" s="71" customFormat="1" ht="14.25" customHeight="1">
      <c r="A584" s="561" t="s">
        <v>37</v>
      </c>
      <c r="B584" s="561" t="s">
        <v>151</v>
      </c>
      <c r="C584" s="561" t="s">
        <v>155</v>
      </c>
      <c r="D584" s="477" t="s">
        <v>2869</v>
      </c>
      <c r="E584" s="561" t="s">
        <v>1550</v>
      </c>
      <c r="F584" s="561" t="s">
        <v>1725</v>
      </c>
      <c r="G584" s="561" t="s">
        <v>1819</v>
      </c>
      <c r="H584" s="561" t="s">
        <v>41</v>
      </c>
      <c r="I584" s="561" t="s">
        <v>2702</v>
      </c>
      <c r="J584" s="435" t="s">
        <v>43</v>
      </c>
      <c r="K584" s="435" t="s">
        <v>43</v>
      </c>
      <c r="L584" s="561" t="s">
        <v>43</v>
      </c>
      <c r="M584" s="435" t="s">
        <v>44</v>
      </c>
      <c r="N584" s="435">
        <v>25.362420757575801</v>
      </c>
      <c r="O584" s="435">
        <v>97.409035000000003</v>
      </c>
      <c r="P584" s="561" t="s">
        <v>759</v>
      </c>
      <c r="Q584" s="435" t="s">
        <v>778</v>
      </c>
      <c r="R584" s="438">
        <v>152</v>
      </c>
      <c r="S584" s="438">
        <v>770</v>
      </c>
      <c r="T584" s="452"/>
      <c r="U584" s="570"/>
      <c r="V584" s="561" t="s">
        <v>155</v>
      </c>
      <c r="W584" s="429" t="s">
        <v>2281</v>
      </c>
    </row>
    <row r="585" spans="1:23" s="71" customFormat="1" ht="14.25" customHeight="1">
      <c r="A585" s="561" t="s">
        <v>37</v>
      </c>
      <c r="B585" s="561" t="s">
        <v>151</v>
      </c>
      <c r="C585" s="561" t="s">
        <v>156</v>
      </c>
      <c r="D585" s="477" t="s">
        <v>2869</v>
      </c>
      <c r="E585" s="435" t="s">
        <v>1542</v>
      </c>
      <c r="F585" s="435" t="s">
        <v>1725</v>
      </c>
      <c r="G585" s="435" t="s">
        <v>1819</v>
      </c>
      <c r="H585" s="435" t="s">
        <v>41</v>
      </c>
      <c r="I585" s="435" t="s">
        <v>2702</v>
      </c>
      <c r="J585" s="71" t="s">
        <v>43</v>
      </c>
      <c r="K585" s="71" t="s">
        <v>43</v>
      </c>
      <c r="L585" s="71" t="s">
        <v>43</v>
      </c>
      <c r="M585" s="71" t="s">
        <v>44</v>
      </c>
      <c r="N585" s="435">
        <v>25.3510167948718</v>
      </c>
      <c r="O585" s="435">
        <v>97.403402307692303</v>
      </c>
      <c r="P585" s="561" t="s">
        <v>759</v>
      </c>
      <c r="Q585" s="71" t="s">
        <v>778</v>
      </c>
      <c r="R585" s="438">
        <v>138</v>
      </c>
      <c r="S585" s="438">
        <v>709</v>
      </c>
      <c r="T585" s="109"/>
      <c r="U585" s="440"/>
      <c r="V585" s="435" t="s">
        <v>156</v>
      </c>
      <c r="W585" s="561"/>
    </row>
    <row r="586" spans="1:23" s="71" customFormat="1" ht="14.25" customHeight="1">
      <c r="A586" s="561" t="s">
        <v>37</v>
      </c>
      <c r="B586" s="561" t="s">
        <v>151</v>
      </c>
      <c r="C586" s="561" t="s">
        <v>157</v>
      </c>
      <c r="D586" s="477" t="s">
        <v>2869</v>
      </c>
      <c r="E586" s="435" t="s">
        <v>1549</v>
      </c>
      <c r="F586" s="435" t="s">
        <v>1725</v>
      </c>
      <c r="G586" s="435" t="s">
        <v>1824</v>
      </c>
      <c r="H586" s="435" t="s">
        <v>41</v>
      </c>
      <c r="I586" s="435" t="s">
        <v>2702</v>
      </c>
      <c r="J586" s="435" t="s">
        <v>43</v>
      </c>
      <c r="K586" s="435" t="s">
        <v>43</v>
      </c>
      <c r="L586" s="435" t="s">
        <v>43</v>
      </c>
      <c r="M586" s="435" t="s">
        <v>44</v>
      </c>
      <c r="N586" s="435">
        <v>25.360463124999999</v>
      </c>
      <c r="O586" s="435">
        <v>97.4113064583333</v>
      </c>
      <c r="P586" s="17" t="s">
        <v>759</v>
      </c>
      <c r="Q586" s="435" t="s">
        <v>778</v>
      </c>
      <c r="R586" s="568">
        <v>61</v>
      </c>
      <c r="S586" s="568">
        <v>312</v>
      </c>
      <c r="T586" s="452"/>
      <c r="U586" s="440"/>
      <c r="V586" s="435" t="s">
        <v>157</v>
      </c>
      <c r="W586" s="435"/>
    </row>
    <row r="587" spans="1:23" s="71" customFormat="1" ht="14.25" customHeight="1">
      <c r="A587" s="435" t="s">
        <v>37</v>
      </c>
      <c r="B587" s="561" t="s">
        <v>151</v>
      </c>
      <c r="C587" s="561" t="s">
        <v>158</v>
      </c>
      <c r="D587" s="477" t="s">
        <v>2869</v>
      </c>
      <c r="E587" s="71" t="s">
        <v>1575</v>
      </c>
      <c r="F587" s="71" t="s">
        <v>1725</v>
      </c>
      <c r="G587" s="71" t="s">
        <v>1836</v>
      </c>
      <c r="H587" s="71" t="s">
        <v>41</v>
      </c>
      <c r="I587" s="71" t="s">
        <v>2702</v>
      </c>
      <c r="J587" s="71" t="s">
        <v>43</v>
      </c>
      <c r="K587" s="71" t="s">
        <v>43</v>
      </c>
      <c r="L587" s="71" t="s">
        <v>43</v>
      </c>
      <c r="M587" s="71" t="s">
        <v>44</v>
      </c>
      <c r="N587" s="435">
        <v>25.428910999999999</v>
      </c>
      <c r="O587" s="435">
        <v>97.418694000000002</v>
      </c>
      <c r="P587" s="71" t="s">
        <v>759</v>
      </c>
      <c r="Q587" s="71" t="s">
        <v>778</v>
      </c>
      <c r="R587" s="438">
        <v>103</v>
      </c>
      <c r="S587" s="568">
        <v>586</v>
      </c>
      <c r="T587" s="109"/>
      <c r="U587" s="105"/>
      <c r="V587" s="71" t="s">
        <v>158</v>
      </c>
      <c r="W587" s="435"/>
    </row>
    <row r="588" spans="1:23" s="71" customFormat="1" ht="14.25" customHeight="1">
      <c r="A588" s="435" t="s">
        <v>37</v>
      </c>
      <c r="B588" s="435" t="s">
        <v>151</v>
      </c>
      <c r="C588" s="435" t="s">
        <v>255</v>
      </c>
      <c r="D588" s="477" t="s">
        <v>2869</v>
      </c>
      <c r="E588" s="435" t="s">
        <v>1553</v>
      </c>
      <c r="F588" s="435" t="s">
        <v>1826</v>
      </c>
      <c r="G588" s="435" t="s">
        <v>1826</v>
      </c>
      <c r="H588" s="435" t="s">
        <v>41</v>
      </c>
      <c r="I588" s="435" t="s">
        <v>234</v>
      </c>
      <c r="J588" s="71" t="s">
        <v>43</v>
      </c>
      <c r="K588" s="71" t="s">
        <v>43</v>
      </c>
      <c r="L588" s="71" t="s">
        <v>43</v>
      </c>
      <c r="M588" s="71" t="s">
        <v>44</v>
      </c>
      <c r="N588" s="435">
        <v>25.374343974359</v>
      </c>
      <c r="O588" s="435">
        <v>97.2843958974359</v>
      </c>
      <c r="P588" s="71" t="s">
        <v>759</v>
      </c>
      <c r="Q588" s="71" t="s">
        <v>778</v>
      </c>
      <c r="R588" s="438">
        <v>22</v>
      </c>
      <c r="S588" s="568">
        <v>92</v>
      </c>
      <c r="T588" s="109"/>
      <c r="U588" s="440"/>
      <c r="V588" s="435" t="s">
        <v>255</v>
      </c>
      <c r="W588" s="435"/>
    </row>
    <row r="589" spans="1:23" s="71" customFormat="1" ht="14.25" customHeight="1">
      <c r="A589" s="435" t="s">
        <v>37</v>
      </c>
      <c r="B589" s="435" t="s">
        <v>151</v>
      </c>
      <c r="C589" s="435" t="s">
        <v>256</v>
      </c>
      <c r="D589" s="477" t="s">
        <v>2869</v>
      </c>
      <c r="E589" s="435" t="s">
        <v>1552</v>
      </c>
      <c r="F589" s="435" t="s">
        <v>1826</v>
      </c>
      <c r="G589" s="435" t="s">
        <v>1826</v>
      </c>
      <c r="H589" s="435" t="s">
        <v>41</v>
      </c>
      <c r="I589" s="561" t="s">
        <v>234</v>
      </c>
      <c r="J589" s="71" t="s">
        <v>43</v>
      </c>
      <c r="K589" s="435" t="s">
        <v>43</v>
      </c>
      <c r="L589" s="435" t="s">
        <v>43</v>
      </c>
      <c r="M589" s="71" t="s">
        <v>44</v>
      </c>
      <c r="N589" s="435">
        <v>25.371049444444399</v>
      </c>
      <c r="O589" s="435">
        <v>97.290952037037002</v>
      </c>
      <c r="P589" s="71" t="s">
        <v>759</v>
      </c>
      <c r="Q589" s="71" t="s">
        <v>778</v>
      </c>
      <c r="R589" s="438">
        <v>21</v>
      </c>
      <c r="S589" s="568">
        <v>123</v>
      </c>
      <c r="T589" s="109"/>
      <c r="U589" s="440"/>
      <c r="V589" s="435" t="s">
        <v>256</v>
      </c>
      <c r="W589" s="561"/>
    </row>
    <row r="590" spans="1:23" s="71" customFormat="1" ht="14.25" customHeight="1">
      <c r="A590" s="435" t="s">
        <v>37</v>
      </c>
      <c r="B590" s="435" t="s">
        <v>151</v>
      </c>
      <c r="C590" s="435" t="s">
        <v>1047</v>
      </c>
      <c r="D590" s="477" t="s">
        <v>1665</v>
      </c>
      <c r="E590" s="71" t="s">
        <v>1555</v>
      </c>
      <c r="F590" s="435" t="s">
        <v>1725</v>
      </c>
      <c r="G590" s="71" t="s">
        <v>1727</v>
      </c>
      <c r="H590" s="71" t="s">
        <v>41</v>
      </c>
      <c r="I590" s="71" t="s">
        <v>234</v>
      </c>
      <c r="J590" s="71" t="s">
        <v>43</v>
      </c>
      <c r="K590" s="435" t="s">
        <v>43</v>
      </c>
      <c r="L590" s="435" t="s">
        <v>758</v>
      </c>
      <c r="M590" s="71" t="s">
        <v>44</v>
      </c>
      <c r="N590" s="435">
        <v>25.387862999999999</v>
      </c>
      <c r="O590" s="435">
        <v>97.376671999999999</v>
      </c>
      <c r="P590" s="71" t="s">
        <v>759</v>
      </c>
      <c r="R590" s="438"/>
      <c r="S590" s="569"/>
      <c r="T590" s="109"/>
      <c r="U590" s="105"/>
      <c r="V590" s="71" t="s">
        <v>1047</v>
      </c>
      <c r="W590" s="429" t="s">
        <v>2182</v>
      </c>
    </row>
    <row r="591" spans="1:23" s="71" customFormat="1" ht="14.25" customHeight="1">
      <c r="A591" s="435" t="s">
        <v>37</v>
      </c>
      <c r="B591" s="435" t="s">
        <v>151</v>
      </c>
      <c r="C591" s="435" t="s">
        <v>226</v>
      </c>
      <c r="D591" s="477" t="s">
        <v>2869</v>
      </c>
      <c r="E591" s="71" t="s">
        <v>1564</v>
      </c>
      <c r="F591" s="71" t="s">
        <v>1831</v>
      </c>
      <c r="G591" s="71" t="s">
        <v>1831</v>
      </c>
      <c r="H591" s="71" t="s">
        <v>41</v>
      </c>
      <c r="I591" s="71" t="s">
        <v>1328</v>
      </c>
      <c r="J591" s="71" t="s">
        <v>43</v>
      </c>
      <c r="K591" s="435" t="s">
        <v>43</v>
      </c>
      <c r="L591" s="435" t="s">
        <v>43</v>
      </c>
      <c r="M591" s="71" t="s">
        <v>44</v>
      </c>
      <c r="N591" s="71">
        <v>25.410569299999999</v>
      </c>
      <c r="O591" s="435">
        <v>97.359320179999997</v>
      </c>
      <c r="P591" s="71" t="s">
        <v>759</v>
      </c>
      <c r="Q591" s="71" t="s">
        <v>778</v>
      </c>
      <c r="R591" s="438">
        <v>60</v>
      </c>
      <c r="S591" s="568">
        <v>316</v>
      </c>
      <c r="T591" s="109"/>
      <c r="U591" s="105"/>
      <c r="V591" s="71" t="s">
        <v>226</v>
      </c>
      <c r="W591" s="561"/>
    </row>
    <row r="592" spans="1:23" s="71" customFormat="1" ht="14.25" customHeight="1">
      <c r="A592" s="435" t="s">
        <v>37</v>
      </c>
      <c r="B592" s="435" t="s">
        <v>151</v>
      </c>
      <c r="C592" s="435" t="s">
        <v>159</v>
      </c>
      <c r="D592" s="477" t="s">
        <v>2869</v>
      </c>
      <c r="E592" s="71" t="s">
        <v>1571</v>
      </c>
      <c r="F592" s="71" t="s">
        <v>1725</v>
      </c>
      <c r="G592" s="71" t="s">
        <v>1835</v>
      </c>
      <c r="H592" s="71" t="s">
        <v>41</v>
      </c>
      <c r="I592" s="71" t="s">
        <v>2702</v>
      </c>
      <c r="J592" s="71" t="s">
        <v>43</v>
      </c>
      <c r="K592" s="71" t="s">
        <v>43</v>
      </c>
      <c r="L592" s="71" t="s">
        <v>43</v>
      </c>
      <c r="M592" s="71" t="s">
        <v>44</v>
      </c>
      <c r="N592" s="71">
        <v>25.422194000000001</v>
      </c>
      <c r="O592" s="71">
        <v>97.394547000000003</v>
      </c>
      <c r="P592" s="71" t="s">
        <v>759</v>
      </c>
      <c r="Q592" s="71" t="s">
        <v>778</v>
      </c>
      <c r="R592" s="103">
        <v>67</v>
      </c>
      <c r="S592" s="568">
        <v>291</v>
      </c>
      <c r="T592" s="109"/>
      <c r="U592" s="105"/>
      <c r="V592" s="71" t="s">
        <v>159</v>
      </c>
      <c r="W592" s="435"/>
    </row>
    <row r="593" spans="1:23" s="71" customFormat="1" ht="14.25" customHeight="1">
      <c r="A593" s="561" t="s">
        <v>37</v>
      </c>
      <c r="B593" s="561" t="s">
        <v>151</v>
      </c>
      <c r="C593" s="561" t="s">
        <v>227</v>
      </c>
      <c r="D593" s="477" t="s">
        <v>2869</v>
      </c>
      <c r="E593" s="71" t="s">
        <v>1577</v>
      </c>
      <c r="F593" s="71" t="s">
        <v>1838</v>
      </c>
      <c r="G593" s="71" t="s">
        <v>1839</v>
      </c>
      <c r="H593" s="71" t="s">
        <v>41</v>
      </c>
      <c r="I593" s="561" t="s">
        <v>1328</v>
      </c>
      <c r="J593" s="71" t="s">
        <v>43</v>
      </c>
      <c r="K593" s="561" t="s">
        <v>43</v>
      </c>
      <c r="L593" s="561" t="s">
        <v>43</v>
      </c>
      <c r="M593" s="71" t="s">
        <v>44</v>
      </c>
      <c r="N593" s="71">
        <v>25.493819999999999</v>
      </c>
      <c r="O593" s="71">
        <v>97.4345</v>
      </c>
      <c r="P593" s="561" t="s">
        <v>759</v>
      </c>
      <c r="Q593" s="71" t="s">
        <v>778</v>
      </c>
      <c r="R593" s="438">
        <v>149</v>
      </c>
      <c r="S593" s="438">
        <v>885</v>
      </c>
      <c r="T593" s="109"/>
      <c r="U593" s="105"/>
      <c r="V593" s="71" t="s">
        <v>227</v>
      </c>
      <c r="W593" s="561"/>
    </row>
    <row r="594" spans="1:23" s="71" customFormat="1" ht="14.25" customHeight="1">
      <c r="A594" s="573" t="s">
        <v>37</v>
      </c>
      <c r="B594" s="572" t="s">
        <v>151</v>
      </c>
      <c r="C594" s="573" t="s">
        <v>2126</v>
      </c>
      <c r="D594" s="477" t="s">
        <v>2869</v>
      </c>
      <c r="E594" s="71" t="s">
        <v>2127</v>
      </c>
      <c r="H594" s="71" t="s">
        <v>41</v>
      </c>
      <c r="I594" s="71" t="s">
        <v>1328</v>
      </c>
      <c r="J594" s="71" t="s">
        <v>43</v>
      </c>
      <c r="K594" s="566" t="s">
        <v>43</v>
      </c>
      <c r="L594" s="566" t="s">
        <v>43</v>
      </c>
      <c r="M594" s="71" t="s">
        <v>44</v>
      </c>
      <c r="N594" s="435">
        <v>25.493819999999999</v>
      </c>
      <c r="O594" s="435">
        <v>97.4345</v>
      </c>
      <c r="P594" s="566" t="s">
        <v>759</v>
      </c>
      <c r="Q594" s="71" t="s">
        <v>2128</v>
      </c>
      <c r="R594" s="568">
        <v>255</v>
      </c>
      <c r="S594" s="568">
        <v>1373</v>
      </c>
      <c r="T594" s="109">
        <v>43360</v>
      </c>
      <c r="U594" s="105" t="s">
        <v>2129</v>
      </c>
      <c r="W594" s="429" t="s">
        <v>2282</v>
      </c>
    </row>
    <row r="595" spans="1:23" s="71" customFormat="1" ht="14.25" customHeight="1">
      <c r="A595" s="561" t="s">
        <v>37</v>
      </c>
      <c r="B595" s="561" t="s">
        <v>151</v>
      </c>
      <c r="C595" s="566" t="s">
        <v>160</v>
      </c>
      <c r="D595" s="477" t="s">
        <v>2869</v>
      </c>
      <c r="E595" s="435" t="s">
        <v>1566</v>
      </c>
      <c r="F595" s="435" t="s">
        <v>1725</v>
      </c>
      <c r="G595" s="435" t="s">
        <v>1832</v>
      </c>
      <c r="H595" s="435" t="s">
        <v>41</v>
      </c>
      <c r="I595" s="435" t="s">
        <v>2702</v>
      </c>
      <c r="J595" s="435" t="s">
        <v>43</v>
      </c>
      <c r="K595" s="561" t="s">
        <v>43</v>
      </c>
      <c r="L595" s="561" t="s">
        <v>43</v>
      </c>
      <c r="M595" s="435" t="s">
        <v>44</v>
      </c>
      <c r="N595" s="435">
        <v>25.412313000000001</v>
      </c>
      <c r="O595" s="435">
        <v>97.399628000000007</v>
      </c>
      <c r="P595" s="435" t="s">
        <v>759</v>
      </c>
      <c r="Q595" s="435" t="s">
        <v>778</v>
      </c>
      <c r="R595" s="568">
        <v>124</v>
      </c>
      <c r="S595" s="568">
        <v>609</v>
      </c>
      <c r="T595" s="452"/>
      <c r="U595" s="440"/>
      <c r="V595" s="435" t="s">
        <v>160</v>
      </c>
      <c r="W595" s="435"/>
    </row>
    <row r="596" spans="1:23" s="71" customFormat="1" ht="14.25" customHeight="1">
      <c r="A596" s="435" t="s">
        <v>37</v>
      </c>
      <c r="B596" s="561" t="s">
        <v>151</v>
      </c>
      <c r="C596" s="436" t="s">
        <v>257</v>
      </c>
      <c r="D596" s="477" t="s">
        <v>2869</v>
      </c>
      <c r="E596" s="71" t="s">
        <v>1573</v>
      </c>
      <c r="F596" s="71" t="s">
        <v>1725</v>
      </c>
      <c r="G596" s="71" t="s">
        <v>1832</v>
      </c>
      <c r="H596" s="71" t="s">
        <v>41</v>
      </c>
      <c r="I596" s="71" t="s">
        <v>234</v>
      </c>
      <c r="J596" s="71" t="s">
        <v>43</v>
      </c>
      <c r="K596" s="71" t="s">
        <v>43</v>
      </c>
      <c r="L596" s="71" t="s">
        <v>43</v>
      </c>
      <c r="M596" s="71" t="s">
        <v>44</v>
      </c>
      <c r="N596" s="71">
        <v>25.423817</v>
      </c>
      <c r="O596" s="71">
        <v>97.418004999999994</v>
      </c>
      <c r="P596" s="71" t="s">
        <v>759</v>
      </c>
      <c r="Q596" s="71" t="s">
        <v>778</v>
      </c>
      <c r="R596" s="103">
        <v>24</v>
      </c>
      <c r="S596" s="438">
        <v>111</v>
      </c>
      <c r="T596" s="109"/>
      <c r="U596" s="105"/>
      <c r="V596" s="71" t="s">
        <v>257</v>
      </c>
    </row>
    <row r="597" spans="1:23" s="71" customFormat="1" ht="14.25" customHeight="1">
      <c r="A597" s="561" t="s">
        <v>37</v>
      </c>
      <c r="B597" s="566" t="s">
        <v>151</v>
      </c>
      <c r="C597" s="436" t="s">
        <v>161</v>
      </c>
      <c r="D597" s="477" t="s">
        <v>2869</v>
      </c>
      <c r="E597" s="435" t="s">
        <v>1576</v>
      </c>
      <c r="F597" s="435" t="s">
        <v>1725</v>
      </c>
      <c r="G597" s="435" t="s">
        <v>1837</v>
      </c>
      <c r="H597" s="435" t="s">
        <v>41</v>
      </c>
      <c r="I597" s="435" t="s">
        <v>2702</v>
      </c>
      <c r="J597" s="435" t="s">
        <v>43</v>
      </c>
      <c r="K597" s="435" t="s">
        <v>43</v>
      </c>
      <c r="L597" s="435" t="s">
        <v>43</v>
      </c>
      <c r="M597" s="435" t="s">
        <v>44</v>
      </c>
      <c r="N597" s="435">
        <v>25.440928</v>
      </c>
      <c r="O597" s="435">
        <v>97.419403000000003</v>
      </c>
      <c r="P597" s="561" t="s">
        <v>759</v>
      </c>
      <c r="Q597" s="435" t="s">
        <v>778</v>
      </c>
      <c r="R597" s="438">
        <v>95</v>
      </c>
      <c r="S597" s="438">
        <v>549</v>
      </c>
      <c r="T597" s="452"/>
      <c r="U597" s="440"/>
      <c r="V597" s="435" t="s">
        <v>161</v>
      </c>
      <c r="W597" s="561"/>
    </row>
    <row r="598" spans="1:23" s="71" customFormat="1" ht="14.25" customHeight="1">
      <c r="A598" s="573" t="s">
        <v>37</v>
      </c>
      <c r="B598" s="572" t="s">
        <v>151</v>
      </c>
      <c r="C598" s="436" t="s">
        <v>1963</v>
      </c>
      <c r="D598" s="477" t="s">
        <v>2698</v>
      </c>
      <c r="E598" s="435" t="s">
        <v>1970</v>
      </c>
      <c r="F598" s="435"/>
      <c r="G598" s="435"/>
      <c r="H598" s="435"/>
      <c r="I598" s="435" t="s">
        <v>2140</v>
      </c>
      <c r="J598" s="435" t="s">
        <v>43</v>
      </c>
      <c r="K598" s="435" t="s">
        <v>43</v>
      </c>
      <c r="L598" s="435" t="s">
        <v>758</v>
      </c>
      <c r="M598" s="435" t="s">
        <v>44</v>
      </c>
      <c r="N598" s="435">
        <v>97.49136</v>
      </c>
      <c r="O598" s="435">
        <v>25.717300000000002</v>
      </c>
      <c r="P598" s="566" t="s">
        <v>759</v>
      </c>
      <c r="Q598" s="435" t="s">
        <v>1946</v>
      </c>
      <c r="R598" s="438"/>
      <c r="S598" s="568"/>
      <c r="T598" s="452">
        <v>43276</v>
      </c>
      <c r="U598" s="440" t="s">
        <v>1995</v>
      </c>
      <c r="V598" s="435"/>
      <c r="W598" s="429" t="s">
        <v>2283</v>
      </c>
    </row>
    <row r="599" spans="1:23" s="71" customFormat="1" ht="14.25" customHeight="1">
      <c r="A599" s="435" t="s">
        <v>37</v>
      </c>
      <c r="B599" s="436" t="s">
        <v>151</v>
      </c>
      <c r="C599" s="436" t="s">
        <v>1142</v>
      </c>
      <c r="D599" s="477" t="s">
        <v>1664</v>
      </c>
      <c r="J599" s="71" t="s">
        <v>43</v>
      </c>
      <c r="K599" s="71" t="s">
        <v>43</v>
      </c>
      <c r="L599" s="71" t="s">
        <v>1085</v>
      </c>
      <c r="M599" s="71" t="s">
        <v>44</v>
      </c>
      <c r="P599" s="71" t="s">
        <v>759</v>
      </c>
      <c r="R599" s="438"/>
      <c r="S599" s="569"/>
      <c r="T599" s="109"/>
      <c r="U599" s="105"/>
      <c r="V599" s="71" t="s">
        <v>1142</v>
      </c>
    </row>
    <row r="600" spans="1:23" s="71" customFormat="1" ht="14.25" customHeight="1">
      <c r="A600" s="561" t="s">
        <v>37</v>
      </c>
      <c r="B600" s="566" t="s">
        <v>151</v>
      </c>
      <c r="C600" s="566" t="s">
        <v>162</v>
      </c>
      <c r="D600" s="477" t="s">
        <v>2869</v>
      </c>
      <c r="E600" s="71" t="s">
        <v>1567</v>
      </c>
      <c r="F600" s="71" t="s">
        <v>1725</v>
      </c>
      <c r="G600" s="71" t="s">
        <v>1829</v>
      </c>
      <c r="H600" s="71" t="s">
        <v>41</v>
      </c>
      <c r="I600" s="71" t="s">
        <v>2702</v>
      </c>
      <c r="J600" s="71" t="s">
        <v>43</v>
      </c>
      <c r="K600" s="561" t="s">
        <v>43</v>
      </c>
      <c r="L600" s="561" t="s">
        <v>43</v>
      </c>
      <c r="M600" s="71" t="s">
        <v>44</v>
      </c>
      <c r="N600" s="435">
        <v>25.415482000000001</v>
      </c>
      <c r="O600" s="435">
        <v>97.386718999999999</v>
      </c>
      <c r="P600" s="71" t="s">
        <v>759</v>
      </c>
      <c r="Q600" s="71" t="s">
        <v>778</v>
      </c>
      <c r="R600" s="568">
        <v>78</v>
      </c>
      <c r="S600" s="568">
        <v>424</v>
      </c>
      <c r="T600" s="109"/>
      <c r="U600" s="105"/>
      <c r="V600" s="71" t="s">
        <v>162</v>
      </c>
    </row>
    <row r="601" spans="1:23" s="71" customFormat="1" ht="14.25" customHeight="1">
      <c r="A601" s="561" t="s">
        <v>37</v>
      </c>
      <c r="B601" s="566" t="s">
        <v>151</v>
      </c>
      <c r="C601" s="566" t="s">
        <v>258</v>
      </c>
      <c r="D601" s="477" t="s">
        <v>2869</v>
      </c>
      <c r="E601" s="71" t="s">
        <v>1572</v>
      </c>
      <c r="F601" s="71" t="s">
        <v>1725</v>
      </c>
      <c r="G601" s="71" t="s">
        <v>1829</v>
      </c>
      <c r="H601" s="71" t="s">
        <v>41</v>
      </c>
      <c r="I601" s="71" t="s">
        <v>234</v>
      </c>
      <c r="J601" s="71" t="s">
        <v>43</v>
      </c>
      <c r="K601" s="561" t="s">
        <v>43</v>
      </c>
      <c r="L601" s="561" t="s">
        <v>43</v>
      </c>
      <c r="M601" s="71" t="s">
        <v>44</v>
      </c>
      <c r="N601" s="71">
        <v>25.423209</v>
      </c>
      <c r="O601" s="71">
        <v>97.379987</v>
      </c>
      <c r="P601" s="71" t="s">
        <v>759</v>
      </c>
      <c r="Q601" s="71" t="s">
        <v>778</v>
      </c>
      <c r="R601" s="568">
        <v>54</v>
      </c>
      <c r="S601" s="568">
        <v>250</v>
      </c>
      <c r="T601" s="109"/>
      <c r="U601" s="105"/>
      <c r="V601" s="71" t="s">
        <v>1053</v>
      </c>
    </row>
    <row r="602" spans="1:23" s="71" customFormat="1" ht="14.25" customHeight="1">
      <c r="A602" s="435" t="s">
        <v>37</v>
      </c>
      <c r="B602" s="566" t="s">
        <v>151</v>
      </c>
      <c r="C602" s="566" t="s">
        <v>259</v>
      </c>
      <c r="D602" s="477" t="s">
        <v>2869</v>
      </c>
      <c r="E602" s="71" t="s">
        <v>1569</v>
      </c>
      <c r="F602" s="71" t="s">
        <v>1725</v>
      </c>
      <c r="G602" s="71" t="s">
        <v>1829</v>
      </c>
      <c r="H602" s="71" t="s">
        <v>41</v>
      </c>
      <c r="I602" s="561" t="s">
        <v>234</v>
      </c>
      <c r="J602" s="71" t="s">
        <v>43</v>
      </c>
      <c r="K602" s="71" t="s">
        <v>43</v>
      </c>
      <c r="L602" s="561" t="s">
        <v>43</v>
      </c>
      <c r="M602" s="71" t="s">
        <v>44</v>
      </c>
      <c r="N602" s="435">
        <v>25.417733999999999</v>
      </c>
      <c r="O602" s="435">
        <v>97.389778000000007</v>
      </c>
      <c r="P602" s="561" t="s">
        <v>759</v>
      </c>
      <c r="Q602" s="71" t="s">
        <v>778</v>
      </c>
      <c r="R602" s="438">
        <v>17</v>
      </c>
      <c r="S602" s="438">
        <v>83</v>
      </c>
      <c r="T602" s="109"/>
      <c r="U602" s="105"/>
      <c r="V602" s="71" t="s">
        <v>259</v>
      </c>
    </row>
    <row r="603" spans="1:23" s="71" customFormat="1" ht="14.25" customHeight="1">
      <c r="A603" s="435" t="s">
        <v>37</v>
      </c>
      <c r="B603" s="566" t="s">
        <v>151</v>
      </c>
      <c r="C603" s="566" t="s">
        <v>163</v>
      </c>
      <c r="D603" s="477" t="s">
        <v>2869</v>
      </c>
      <c r="E603" s="71" t="s">
        <v>1562</v>
      </c>
      <c r="F603" s="71" t="s">
        <v>1725</v>
      </c>
      <c r="G603" s="71" t="s">
        <v>1829</v>
      </c>
      <c r="H603" s="71" t="s">
        <v>41</v>
      </c>
      <c r="I603" s="71" t="s">
        <v>2702</v>
      </c>
      <c r="J603" s="71" t="s">
        <v>43</v>
      </c>
      <c r="K603" s="71" t="s">
        <v>43</v>
      </c>
      <c r="L603" s="71" t="s">
        <v>43</v>
      </c>
      <c r="M603" s="71" t="s">
        <v>44</v>
      </c>
      <c r="N603" s="71">
        <v>25.404752999999999</v>
      </c>
      <c r="O603" s="71">
        <v>97.377662999999998</v>
      </c>
      <c r="P603" s="561" t="s">
        <v>759</v>
      </c>
      <c r="Q603" s="71" t="s">
        <v>778</v>
      </c>
      <c r="R603" s="438">
        <v>33</v>
      </c>
      <c r="S603" s="438">
        <v>184</v>
      </c>
      <c r="T603" s="109"/>
      <c r="U603" s="105"/>
      <c r="V603" s="71" t="s">
        <v>163</v>
      </c>
    </row>
    <row r="604" spans="1:23" s="71" customFormat="1" ht="14.25" customHeight="1">
      <c r="A604" s="561" t="s">
        <v>37</v>
      </c>
      <c r="B604" s="566" t="s">
        <v>151</v>
      </c>
      <c r="C604" s="566" t="s">
        <v>164</v>
      </c>
      <c r="D604" s="477" t="s">
        <v>2869</v>
      </c>
      <c r="E604" s="435" t="s">
        <v>1561</v>
      </c>
      <c r="F604" s="435" t="s">
        <v>1725</v>
      </c>
      <c r="G604" s="435" t="s">
        <v>1829</v>
      </c>
      <c r="H604" s="435" t="s">
        <v>41</v>
      </c>
      <c r="I604" s="435" t="s">
        <v>2702</v>
      </c>
      <c r="J604" s="435" t="s">
        <v>43</v>
      </c>
      <c r="K604" s="435" t="s">
        <v>43</v>
      </c>
      <c r="L604" s="435" t="s">
        <v>43</v>
      </c>
      <c r="M604" s="435" t="s">
        <v>44</v>
      </c>
      <c r="N604" s="435">
        <v>25.404015000000001</v>
      </c>
      <c r="O604" s="435">
        <v>97.382192000000003</v>
      </c>
      <c r="P604" s="71" t="s">
        <v>759</v>
      </c>
      <c r="Q604" s="435" t="s">
        <v>778</v>
      </c>
      <c r="R604" s="568">
        <v>46</v>
      </c>
      <c r="S604" s="568">
        <v>242</v>
      </c>
      <c r="T604" s="452"/>
      <c r="U604" s="440"/>
      <c r="V604" s="435" t="s">
        <v>164</v>
      </c>
    </row>
    <row r="605" spans="1:23" s="71" customFormat="1" ht="14.25" customHeight="1">
      <c r="A605" s="573" t="s">
        <v>37</v>
      </c>
      <c r="B605" s="572" t="s">
        <v>151</v>
      </c>
      <c r="C605" s="436" t="s">
        <v>1951</v>
      </c>
      <c r="D605" s="567"/>
      <c r="E605" s="561"/>
      <c r="F605" s="561"/>
      <c r="G605" s="561"/>
      <c r="H605" s="561"/>
      <c r="I605" s="561"/>
      <c r="J605" s="71" t="s">
        <v>1463</v>
      </c>
      <c r="K605" s="71" t="s">
        <v>43</v>
      </c>
      <c r="L605" s="561" t="s">
        <v>43</v>
      </c>
      <c r="M605" s="71" t="s">
        <v>44</v>
      </c>
      <c r="P605" s="561" t="s">
        <v>759</v>
      </c>
      <c r="Q605" s="71" t="s">
        <v>1946</v>
      </c>
      <c r="R605" s="576"/>
      <c r="S605" s="569"/>
      <c r="T605" s="109">
        <v>43270</v>
      </c>
      <c r="U605" s="570"/>
      <c r="V605" s="561"/>
      <c r="W605" s="561"/>
    </row>
    <row r="606" spans="1:23" s="71" customFormat="1" ht="14.25" customHeight="1">
      <c r="A606" s="573" t="s">
        <v>37</v>
      </c>
      <c r="B606" s="572" t="s">
        <v>151</v>
      </c>
      <c r="C606" s="436" t="s">
        <v>1964</v>
      </c>
      <c r="D606" s="477" t="s">
        <v>2869</v>
      </c>
      <c r="E606" s="566" t="s">
        <v>1972</v>
      </c>
      <c r="F606" s="566"/>
      <c r="G606" s="566"/>
      <c r="H606" s="566"/>
      <c r="I606" s="566" t="s">
        <v>2140</v>
      </c>
      <c r="J606" s="71" t="s">
        <v>43</v>
      </c>
      <c r="K606" s="71" t="s">
        <v>43</v>
      </c>
      <c r="L606" s="566" t="s">
        <v>774</v>
      </c>
      <c r="M606" s="71" t="s">
        <v>44</v>
      </c>
      <c r="N606" s="71">
        <v>0</v>
      </c>
      <c r="O606" s="71">
        <v>0</v>
      </c>
      <c r="P606" s="17" t="s">
        <v>759</v>
      </c>
      <c r="Q606" s="71" t="s">
        <v>1946</v>
      </c>
      <c r="R606" s="438">
        <v>8</v>
      </c>
      <c r="S606" s="438">
        <v>32</v>
      </c>
      <c r="T606" s="109">
        <v>43276</v>
      </c>
      <c r="U606" s="574" t="s">
        <v>1996</v>
      </c>
      <c r="V606" s="566"/>
      <c r="W606" s="429" t="s">
        <v>2151</v>
      </c>
    </row>
    <row r="607" spans="1:23" s="71" customFormat="1" ht="14.25" customHeight="1">
      <c r="A607" s="573" t="s">
        <v>37</v>
      </c>
      <c r="B607" s="572" t="s">
        <v>151</v>
      </c>
      <c r="C607" s="436" t="s">
        <v>2135</v>
      </c>
      <c r="D607" s="477" t="s">
        <v>2869</v>
      </c>
      <c r="E607" s="561" t="s">
        <v>1969</v>
      </c>
      <c r="H607" s="561" t="s">
        <v>41</v>
      </c>
      <c r="I607" s="561" t="s">
        <v>2702</v>
      </c>
      <c r="J607" s="561" t="s">
        <v>43</v>
      </c>
      <c r="K607" s="561" t="s">
        <v>43</v>
      </c>
      <c r="L607" s="561" t="s">
        <v>43</v>
      </c>
      <c r="M607" s="561" t="s">
        <v>44</v>
      </c>
      <c r="N607" s="561">
        <v>25.480989999999998</v>
      </c>
      <c r="O607" s="561">
        <v>97.431079999999994</v>
      </c>
      <c r="P607" s="566" t="s">
        <v>759</v>
      </c>
      <c r="Q607" s="561" t="s">
        <v>1946</v>
      </c>
      <c r="R607" s="568">
        <v>205</v>
      </c>
      <c r="S607" s="568">
        <v>960</v>
      </c>
      <c r="T607" s="588">
        <v>43276</v>
      </c>
      <c r="U607" s="570" t="s">
        <v>1995</v>
      </c>
      <c r="W607" s="429" t="s">
        <v>2284</v>
      </c>
    </row>
    <row r="608" spans="1:23" s="71" customFormat="1" ht="14.25" customHeight="1">
      <c r="A608" s="573" t="s">
        <v>37</v>
      </c>
      <c r="B608" s="572" t="s">
        <v>151</v>
      </c>
      <c r="C608" s="566" t="s">
        <v>1952</v>
      </c>
      <c r="D608" s="567"/>
      <c r="E608" s="561"/>
      <c r="F608" s="561"/>
      <c r="G608" s="561"/>
      <c r="H608" s="561"/>
      <c r="I608" s="561"/>
      <c r="J608" s="561" t="s">
        <v>1463</v>
      </c>
      <c r="K608" s="561" t="s">
        <v>43</v>
      </c>
      <c r="L608" s="561" t="s">
        <v>43</v>
      </c>
      <c r="M608" s="561" t="s">
        <v>44</v>
      </c>
      <c r="N608" s="561"/>
      <c r="O608" s="561"/>
      <c r="P608" s="561" t="s">
        <v>759</v>
      </c>
      <c r="Q608" s="561" t="s">
        <v>1946</v>
      </c>
      <c r="R608" s="576"/>
      <c r="S608" s="569"/>
      <c r="T608" s="588">
        <v>43270</v>
      </c>
      <c r="U608" s="570"/>
      <c r="V608" s="561"/>
    </row>
    <row r="609" spans="1:23" s="71" customFormat="1" ht="14.25" customHeight="1">
      <c r="A609" s="561" t="s">
        <v>37</v>
      </c>
      <c r="B609" s="566" t="s">
        <v>151</v>
      </c>
      <c r="C609" s="566" t="s">
        <v>1045</v>
      </c>
      <c r="D609" s="477" t="s">
        <v>1665</v>
      </c>
      <c r="E609" s="71" t="s">
        <v>1554</v>
      </c>
      <c r="F609" s="71" t="s">
        <v>1725</v>
      </c>
      <c r="G609" s="71" t="s">
        <v>1726</v>
      </c>
      <c r="H609" s="71" t="s">
        <v>41</v>
      </c>
      <c r="I609" s="71" t="s">
        <v>234</v>
      </c>
      <c r="J609" s="71" t="s">
        <v>43</v>
      </c>
      <c r="K609" s="561" t="s">
        <v>43</v>
      </c>
      <c r="L609" s="561" t="s">
        <v>758</v>
      </c>
      <c r="M609" s="71" t="s">
        <v>44</v>
      </c>
      <c r="N609" s="71">
        <v>25.377038169999999</v>
      </c>
      <c r="O609" s="71">
        <v>97.403878500000005</v>
      </c>
      <c r="P609" s="71" t="s">
        <v>759</v>
      </c>
      <c r="Q609" s="71" t="s">
        <v>778</v>
      </c>
      <c r="R609" s="568"/>
      <c r="S609" s="439"/>
      <c r="T609" s="109">
        <v>42983</v>
      </c>
      <c r="U609" s="570" t="s">
        <v>1046</v>
      </c>
      <c r="V609" s="71" t="s">
        <v>1045</v>
      </c>
      <c r="W609" s="435" t="s">
        <v>2183</v>
      </c>
    </row>
    <row r="610" spans="1:23" s="71" customFormat="1" ht="14.25" customHeight="1">
      <c r="A610" s="435" t="s">
        <v>37</v>
      </c>
      <c r="B610" s="561" t="s">
        <v>165</v>
      </c>
      <c r="C610" s="561" t="s">
        <v>1098</v>
      </c>
      <c r="D610" s="477" t="s">
        <v>1664</v>
      </c>
      <c r="I610" s="561"/>
      <c r="J610" s="71" t="s">
        <v>43</v>
      </c>
      <c r="K610" s="71" t="s">
        <v>43</v>
      </c>
      <c r="L610" s="561" t="s">
        <v>1085</v>
      </c>
      <c r="M610" s="71" t="s">
        <v>44</v>
      </c>
      <c r="N610" s="435"/>
      <c r="O610" s="435"/>
      <c r="P610" s="71" t="s">
        <v>759</v>
      </c>
      <c r="R610" s="438"/>
      <c r="S610" s="569"/>
      <c r="T610" s="109"/>
      <c r="U610" s="570"/>
      <c r="V610" s="71" t="s">
        <v>1098</v>
      </c>
      <c r="W610" s="561"/>
    </row>
    <row r="611" spans="1:23" s="71" customFormat="1" ht="14.25" customHeight="1">
      <c r="A611" s="435" t="s">
        <v>37</v>
      </c>
      <c r="B611" s="561" t="s">
        <v>165</v>
      </c>
      <c r="C611" s="561" t="s">
        <v>1072</v>
      </c>
      <c r="D611" s="477" t="s">
        <v>2869</v>
      </c>
      <c r="E611" s="71" t="s">
        <v>1618</v>
      </c>
      <c r="F611" s="71" t="s">
        <v>1738</v>
      </c>
      <c r="G611" s="71" t="s">
        <v>1879</v>
      </c>
      <c r="I611" s="566" t="s">
        <v>2140</v>
      </c>
      <c r="J611" s="71" t="s">
        <v>43</v>
      </c>
      <c r="K611" s="71" t="s">
        <v>43</v>
      </c>
      <c r="L611" s="71" t="s">
        <v>770</v>
      </c>
      <c r="M611" s="71" t="s">
        <v>44</v>
      </c>
      <c r="N611" s="71">
        <v>27.248964999999998</v>
      </c>
      <c r="O611" s="71">
        <v>97.561105999999995</v>
      </c>
      <c r="P611" s="71" t="s">
        <v>771</v>
      </c>
      <c r="Q611" s="71" t="s">
        <v>760</v>
      </c>
      <c r="R611" s="438">
        <v>10</v>
      </c>
      <c r="S611" s="438">
        <v>56</v>
      </c>
      <c r="T611" s="109"/>
      <c r="U611" s="105" t="s">
        <v>1073</v>
      </c>
      <c r="W611" s="435"/>
    </row>
    <row r="612" spans="1:23" s="71" customFormat="1" ht="14.25" customHeight="1">
      <c r="A612" s="435" t="s">
        <v>37</v>
      </c>
      <c r="B612" s="561" t="s">
        <v>165</v>
      </c>
      <c r="C612" s="561" t="s">
        <v>166</v>
      </c>
      <c r="D612" s="477" t="s">
        <v>2869</v>
      </c>
      <c r="E612" s="71" t="s">
        <v>1622</v>
      </c>
      <c r="F612" s="71" t="s">
        <v>1854</v>
      </c>
      <c r="G612" s="71" t="s">
        <v>1855</v>
      </c>
      <c r="H612" s="71" t="s">
        <v>41</v>
      </c>
      <c r="I612" s="71" t="s">
        <v>2702</v>
      </c>
      <c r="J612" s="71" t="s">
        <v>43</v>
      </c>
      <c r="K612" s="435" t="s">
        <v>43</v>
      </c>
      <c r="L612" s="561" t="s">
        <v>43</v>
      </c>
      <c r="M612" s="71" t="s">
        <v>44</v>
      </c>
      <c r="N612" s="71">
        <v>27.337499999999999</v>
      </c>
      <c r="O612" s="71">
        <v>97.416121000000004</v>
      </c>
      <c r="P612" s="71" t="s">
        <v>759</v>
      </c>
      <c r="Q612" s="71" t="s">
        <v>778</v>
      </c>
      <c r="R612" s="438">
        <v>61</v>
      </c>
      <c r="S612" s="568">
        <v>281</v>
      </c>
      <c r="T612" s="109"/>
      <c r="U612" s="105"/>
      <c r="V612" s="71" t="s">
        <v>1080</v>
      </c>
      <c r="W612" s="561"/>
    </row>
    <row r="613" spans="1:23" s="71" customFormat="1" ht="14.25" customHeight="1">
      <c r="A613" s="435" t="s">
        <v>37</v>
      </c>
      <c r="B613" s="561" t="s">
        <v>165</v>
      </c>
      <c r="C613" s="561" t="s">
        <v>1074</v>
      </c>
      <c r="D613" s="477" t="s">
        <v>1665</v>
      </c>
      <c r="E613" s="71" t="s">
        <v>1619</v>
      </c>
      <c r="F613" s="71" t="s">
        <v>1738</v>
      </c>
      <c r="G613" s="71" t="s">
        <v>1739</v>
      </c>
      <c r="I613" s="71">
        <v>0</v>
      </c>
      <c r="J613" s="71" t="s">
        <v>43</v>
      </c>
      <c r="K613" s="71" t="s">
        <v>43</v>
      </c>
      <c r="L613" s="71" t="s">
        <v>758</v>
      </c>
      <c r="M613" s="71" t="s">
        <v>44</v>
      </c>
      <c r="N613" s="71">
        <v>27.270199999999999</v>
      </c>
      <c r="O613" s="71">
        <v>97.58184</v>
      </c>
      <c r="P613" s="71" t="s">
        <v>759</v>
      </c>
      <c r="R613" s="438"/>
      <c r="S613" s="569"/>
      <c r="T613" s="109"/>
      <c r="U613" s="105"/>
      <c r="V613" s="71" t="s">
        <v>1074</v>
      </c>
      <c r="W613" s="429" t="s">
        <v>2184</v>
      </c>
    </row>
    <row r="614" spans="1:23" s="71" customFormat="1" ht="14.25" customHeight="1">
      <c r="A614" s="561" t="s">
        <v>37</v>
      </c>
      <c r="B614" s="561" t="s">
        <v>165</v>
      </c>
      <c r="C614" s="561" t="s">
        <v>1123</v>
      </c>
      <c r="D614" s="477" t="s">
        <v>1664</v>
      </c>
      <c r="I614" s="561"/>
      <c r="J614" s="71" t="s">
        <v>43</v>
      </c>
      <c r="K614" s="71" t="s">
        <v>43</v>
      </c>
      <c r="L614" s="71" t="s">
        <v>1085</v>
      </c>
      <c r="M614" s="71" t="s">
        <v>44</v>
      </c>
      <c r="P614" s="71" t="s">
        <v>759</v>
      </c>
      <c r="R614" s="568"/>
      <c r="S614" s="569"/>
      <c r="T614" s="109"/>
      <c r="U614" s="105"/>
      <c r="V614" s="71" t="s">
        <v>1123</v>
      </c>
      <c r="W614" s="435"/>
    </row>
    <row r="615" spans="1:23" s="71" customFormat="1" ht="14.25" customHeight="1">
      <c r="A615" s="561" t="s">
        <v>37</v>
      </c>
      <c r="B615" s="566" t="s">
        <v>165</v>
      </c>
      <c r="C615" s="566" t="s">
        <v>1078</v>
      </c>
      <c r="D615" s="477" t="s">
        <v>2869</v>
      </c>
      <c r="E615" s="435" t="s">
        <v>1621</v>
      </c>
      <c r="F615" s="435" t="s">
        <v>1854</v>
      </c>
      <c r="G615" s="435" t="s">
        <v>1880</v>
      </c>
      <c r="H615" s="435"/>
      <c r="I615" s="566" t="s">
        <v>2140</v>
      </c>
      <c r="J615" s="435" t="s">
        <v>43</v>
      </c>
      <c r="K615" s="561" t="s">
        <v>43</v>
      </c>
      <c r="L615" s="561" t="s">
        <v>770</v>
      </c>
      <c r="M615" s="435" t="s">
        <v>44</v>
      </c>
      <c r="N615" s="435">
        <v>27.311699999999998</v>
      </c>
      <c r="O615" s="435">
        <v>97.415289999999999</v>
      </c>
      <c r="P615" s="435" t="s">
        <v>771</v>
      </c>
      <c r="Q615" s="435" t="s">
        <v>760</v>
      </c>
      <c r="R615" s="568">
        <v>17</v>
      </c>
      <c r="S615" s="568">
        <v>92</v>
      </c>
      <c r="T615" s="452"/>
      <c r="U615" s="440" t="s">
        <v>1079</v>
      </c>
      <c r="V615" s="435" t="s">
        <v>1078</v>
      </c>
      <c r="W615" s="435"/>
    </row>
    <row r="616" spans="1:23" s="71" customFormat="1" ht="14.25" customHeight="1">
      <c r="A616" s="569" t="s">
        <v>37</v>
      </c>
      <c r="B616" s="572" t="s">
        <v>206</v>
      </c>
      <c r="C616" s="573" t="s">
        <v>2036</v>
      </c>
      <c r="D616" s="567"/>
      <c r="J616" s="71" t="s">
        <v>1463</v>
      </c>
      <c r="K616" s="566" t="s">
        <v>43</v>
      </c>
      <c r="L616" s="566" t="s">
        <v>774</v>
      </c>
      <c r="M616" s="71" t="s">
        <v>776</v>
      </c>
      <c r="N616" s="435"/>
      <c r="O616" s="435"/>
      <c r="P616" s="71" t="s">
        <v>759</v>
      </c>
      <c r="R616" s="576"/>
      <c r="S616" s="104"/>
      <c r="T616" s="109">
        <v>43298</v>
      </c>
      <c r="U616" s="105"/>
      <c r="W616" s="435"/>
    </row>
    <row r="617" spans="1:23" s="71" customFormat="1" ht="14.25" customHeight="1">
      <c r="A617" s="569" t="s">
        <v>37</v>
      </c>
      <c r="B617" s="572" t="s">
        <v>206</v>
      </c>
      <c r="C617" s="455" t="s">
        <v>2028</v>
      </c>
      <c r="D617" s="567" t="s">
        <v>2869</v>
      </c>
      <c r="E617" s="71" t="s">
        <v>2870</v>
      </c>
      <c r="F617" s="435"/>
      <c r="J617" s="71" t="s">
        <v>43</v>
      </c>
      <c r="K617" s="566" t="s">
        <v>43</v>
      </c>
      <c r="L617" s="566" t="s">
        <v>774</v>
      </c>
      <c r="M617" s="71" t="s">
        <v>776</v>
      </c>
      <c r="P617" s="71" t="s">
        <v>759</v>
      </c>
      <c r="R617" s="576">
        <v>361</v>
      </c>
      <c r="S617" s="569">
        <v>1397</v>
      </c>
      <c r="T617" s="109">
        <v>43628</v>
      </c>
      <c r="U617" s="105"/>
      <c r="W617" s="435" t="s">
        <v>2871</v>
      </c>
    </row>
    <row r="618" spans="1:23" s="71" customFormat="1" ht="14.25" customHeight="1">
      <c r="A618" s="435" t="s">
        <v>37</v>
      </c>
      <c r="B618" s="566" t="s">
        <v>206</v>
      </c>
      <c r="C618" s="566" t="s">
        <v>207</v>
      </c>
      <c r="D618" s="477" t="s">
        <v>2869</v>
      </c>
      <c r="E618" s="71" t="s">
        <v>1476</v>
      </c>
      <c r="F618" s="71" t="s">
        <v>1783</v>
      </c>
      <c r="G618" s="71" t="s">
        <v>1783</v>
      </c>
      <c r="H618" s="71" t="s">
        <v>41</v>
      </c>
      <c r="I618" s="561" t="s">
        <v>2701</v>
      </c>
      <c r="J618" s="71" t="s">
        <v>43</v>
      </c>
      <c r="K618" s="71" t="s">
        <v>43</v>
      </c>
      <c r="L618" s="71" t="s">
        <v>43</v>
      </c>
      <c r="M618" s="71" t="s">
        <v>44</v>
      </c>
      <c r="N618" s="71">
        <v>24.200361000000001</v>
      </c>
      <c r="O618" s="71">
        <v>96.807353000000006</v>
      </c>
      <c r="P618" s="71" t="s">
        <v>759</v>
      </c>
      <c r="Q618" s="71" t="s">
        <v>778</v>
      </c>
      <c r="R618" s="438">
        <v>47</v>
      </c>
      <c r="S618" s="438">
        <v>276</v>
      </c>
      <c r="T618" s="109"/>
      <c r="U618" s="105"/>
      <c r="V618" s="71" t="s">
        <v>207</v>
      </c>
      <c r="W618" s="435"/>
    </row>
    <row r="619" spans="1:23" s="71" customFormat="1" ht="14.25" customHeight="1">
      <c r="A619" s="435" t="s">
        <v>37</v>
      </c>
      <c r="B619" s="566" t="s">
        <v>206</v>
      </c>
      <c r="C619" s="566" t="s">
        <v>208</v>
      </c>
      <c r="D619" s="477" t="s">
        <v>2869</v>
      </c>
      <c r="E619" s="71" t="s">
        <v>1477</v>
      </c>
      <c r="F619" s="71" t="s">
        <v>1783</v>
      </c>
      <c r="G619" s="71" t="s">
        <v>1783</v>
      </c>
      <c r="H619" s="71" t="s">
        <v>41</v>
      </c>
      <c r="I619" s="71" t="s">
        <v>42</v>
      </c>
      <c r="J619" s="71" t="s">
        <v>43</v>
      </c>
      <c r="K619" s="71" t="s">
        <v>43</v>
      </c>
      <c r="L619" s="71" t="s">
        <v>43</v>
      </c>
      <c r="M619" s="71" t="s">
        <v>44</v>
      </c>
      <c r="N619" s="71">
        <v>24.200367</v>
      </c>
      <c r="O619" s="71">
        <v>96.807353000000006</v>
      </c>
      <c r="P619" s="71" t="s">
        <v>759</v>
      </c>
      <c r="Q619" s="71" t="s">
        <v>778</v>
      </c>
      <c r="R619" s="438">
        <v>47</v>
      </c>
      <c r="S619" s="568">
        <v>194</v>
      </c>
      <c r="T619" s="109"/>
      <c r="U619" s="105"/>
      <c r="V619" s="71" t="s">
        <v>208</v>
      </c>
    </row>
    <row r="620" spans="1:23" s="71" customFormat="1" ht="14.25" customHeight="1">
      <c r="A620" s="435" t="s">
        <v>37</v>
      </c>
      <c r="B620" s="566" t="s">
        <v>206</v>
      </c>
      <c r="C620" s="566" t="s">
        <v>1136</v>
      </c>
      <c r="D620" s="477" t="s">
        <v>1664</v>
      </c>
      <c r="J620" s="71" t="s">
        <v>1085</v>
      </c>
      <c r="K620" s="71" t="s">
        <v>43</v>
      </c>
      <c r="L620" s="71" t="s">
        <v>758</v>
      </c>
      <c r="M620" s="71" t="s">
        <v>44</v>
      </c>
      <c r="N620" s="435"/>
      <c r="O620" s="435"/>
      <c r="P620" s="71" t="s">
        <v>759</v>
      </c>
      <c r="R620" s="438"/>
      <c r="S620" s="569"/>
      <c r="T620" s="109"/>
      <c r="U620" s="105"/>
      <c r="V620" s="71" t="s">
        <v>1136</v>
      </c>
      <c r="W620" s="435"/>
    </row>
    <row r="621" spans="1:23" s="71" customFormat="1" ht="14.25" customHeight="1">
      <c r="A621" s="561" t="s">
        <v>37</v>
      </c>
      <c r="B621" s="566" t="s">
        <v>206</v>
      </c>
      <c r="C621" s="566" t="s">
        <v>1000</v>
      </c>
      <c r="D621" s="477" t="s">
        <v>1664</v>
      </c>
      <c r="E621" s="71" t="s">
        <v>1485</v>
      </c>
      <c r="F621" s="435"/>
      <c r="I621" s="561">
        <v>0</v>
      </c>
      <c r="J621" s="71" t="s">
        <v>43</v>
      </c>
      <c r="K621" s="561" t="s">
        <v>43</v>
      </c>
      <c r="L621" s="561" t="s">
        <v>758</v>
      </c>
      <c r="M621" s="71" t="s">
        <v>44</v>
      </c>
      <c r="N621" s="435">
        <v>24.224830999999998</v>
      </c>
      <c r="O621" s="435">
        <v>96.793177</v>
      </c>
      <c r="P621" s="71" t="s">
        <v>759</v>
      </c>
      <c r="Q621" s="71" t="s">
        <v>760</v>
      </c>
      <c r="R621" s="568"/>
      <c r="S621" s="569"/>
      <c r="T621" s="109">
        <v>42983</v>
      </c>
      <c r="U621" s="105" t="s">
        <v>1001</v>
      </c>
      <c r="W621" s="435" t="s">
        <v>2185</v>
      </c>
    </row>
    <row r="622" spans="1:23" s="71" customFormat="1" ht="14.25" customHeight="1">
      <c r="A622" s="569" t="s">
        <v>37</v>
      </c>
      <c r="B622" s="572" t="s">
        <v>206</v>
      </c>
      <c r="C622" s="573" t="s">
        <v>2035</v>
      </c>
      <c r="D622" s="567"/>
      <c r="J622" s="71" t="s">
        <v>1463</v>
      </c>
      <c r="K622" s="566" t="s">
        <v>43</v>
      </c>
      <c r="L622" s="566" t="s">
        <v>774</v>
      </c>
      <c r="M622" s="71" t="s">
        <v>776</v>
      </c>
      <c r="N622" s="435"/>
      <c r="O622" s="435"/>
      <c r="P622" s="71" t="s">
        <v>759</v>
      </c>
      <c r="R622" s="576"/>
      <c r="S622" s="104"/>
      <c r="T622" s="109">
        <v>43298</v>
      </c>
      <c r="U622" s="105"/>
      <c r="V622" s="435"/>
      <c r="W622" s="561"/>
    </row>
    <row r="623" spans="1:23" s="71" customFormat="1" ht="14.25" customHeight="1">
      <c r="A623" s="569" t="s">
        <v>37</v>
      </c>
      <c r="B623" s="572" t="s">
        <v>206</v>
      </c>
      <c r="C623" s="573" t="s">
        <v>2033</v>
      </c>
      <c r="D623" s="567"/>
      <c r="E623" s="435"/>
      <c r="F623" s="435"/>
      <c r="G623" s="435"/>
      <c r="H623" s="435"/>
      <c r="I623" s="561"/>
      <c r="J623" s="71" t="s">
        <v>1463</v>
      </c>
      <c r="K623" s="566" t="s">
        <v>43</v>
      </c>
      <c r="L623" s="566" t="s">
        <v>774</v>
      </c>
      <c r="M623" s="435" t="s">
        <v>776</v>
      </c>
      <c r="N623" s="435"/>
      <c r="O623" s="435"/>
      <c r="P623" s="561" t="s">
        <v>759</v>
      </c>
      <c r="Q623" s="435"/>
      <c r="R623" s="576"/>
      <c r="S623" s="569"/>
      <c r="T623" s="452">
        <v>43298</v>
      </c>
      <c r="U623" s="440"/>
      <c r="V623" s="435"/>
    </row>
    <row r="624" spans="1:23" s="71" customFormat="1" ht="14.25" customHeight="1">
      <c r="A624" s="435" t="s">
        <v>37</v>
      </c>
      <c r="B624" s="435" t="s">
        <v>176</v>
      </c>
      <c r="C624" s="476" t="s">
        <v>2699</v>
      </c>
      <c r="D624" s="477" t="s">
        <v>2869</v>
      </c>
      <c r="E624" s="435" t="s">
        <v>2700</v>
      </c>
      <c r="F624" s="435">
        <v>0</v>
      </c>
      <c r="G624" s="435">
        <v>0</v>
      </c>
      <c r="H624" s="435"/>
      <c r="I624" s="566" t="s">
        <v>2140</v>
      </c>
      <c r="J624" s="435" t="s">
        <v>43</v>
      </c>
      <c r="K624" s="435" t="s">
        <v>43</v>
      </c>
      <c r="L624" s="475" t="s">
        <v>774</v>
      </c>
      <c r="M624" s="435" t="s">
        <v>44</v>
      </c>
      <c r="N624" s="435">
        <v>25.415667500000001</v>
      </c>
      <c r="O624" s="435">
        <v>97.437782499999997</v>
      </c>
      <c r="P624" s="17" t="s">
        <v>759</v>
      </c>
      <c r="Q624" s="435" t="s">
        <v>2663</v>
      </c>
      <c r="R624" s="438">
        <v>29</v>
      </c>
      <c r="S624" s="438">
        <v>140</v>
      </c>
      <c r="T624" s="452">
        <v>43579</v>
      </c>
      <c r="U624" s="440"/>
      <c r="V624" s="435"/>
      <c r="W624" s="435"/>
    </row>
    <row r="625" spans="1:23" s="71" customFormat="1" ht="14.25" customHeight="1">
      <c r="A625" s="435" t="s">
        <v>37</v>
      </c>
      <c r="B625" s="435" t="s">
        <v>176</v>
      </c>
      <c r="C625" s="435" t="s">
        <v>177</v>
      </c>
      <c r="D625" s="477" t="s">
        <v>2869</v>
      </c>
      <c r="E625" s="71" t="s">
        <v>1616</v>
      </c>
      <c r="F625" s="71">
        <v>0</v>
      </c>
      <c r="G625" s="71">
        <v>0</v>
      </c>
      <c r="H625" s="71" t="s">
        <v>41</v>
      </c>
      <c r="I625" s="71" t="s">
        <v>2702</v>
      </c>
      <c r="J625" s="71" t="s">
        <v>43</v>
      </c>
      <c r="K625" s="435" t="s">
        <v>43</v>
      </c>
      <c r="L625" s="435" t="s">
        <v>43</v>
      </c>
      <c r="M625" s="71" t="s">
        <v>776</v>
      </c>
      <c r="N625" s="435">
        <v>26.569633</v>
      </c>
      <c r="O625" s="435">
        <v>97.745480999999998</v>
      </c>
      <c r="P625" s="17" t="s">
        <v>759</v>
      </c>
      <c r="Q625" s="71" t="s">
        <v>760</v>
      </c>
      <c r="R625" s="103">
        <v>111</v>
      </c>
      <c r="S625" s="568">
        <v>564</v>
      </c>
      <c r="T625" s="109"/>
      <c r="U625" s="105"/>
      <c r="V625" s="71" t="s">
        <v>1069</v>
      </c>
    </row>
    <row r="626" spans="1:23" s="71" customFormat="1" ht="14.25" customHeight="1">
      <c r="A626" s="435" t="s">
        <v>37</v>
      </c>
      <c r="B626" s="561" t="s">
        <v>176</v>
      </c>
      <c r="C626" s="561" t="s">
        <v>1122</v>
      </c>
      <c r="D626" s="477" t="s">
        <v>1664</v>
      </c>
      <c r="J626" s="71" t="s">
        <v>43</v>
      </c>
      <c r="K626" s="435" t="s">
        <v>43</v>
      </c>
      <c r="L626" s="435" t="s">
        <v>1085</v>
      </c>
      <c r="M626" s="71" t="s">
        <v>44</v>
      </c>
      <c r="N626" s="435"/>
      <c r="O626" s="435"/>
      <c r="P626" s="561" t="s">
        <v>759</v>
      </c>
      <c r="R626" s="103"/>
      <c r="S626" s="569"/>
      <c r="T626" s="109"/>
      <c r="U626" s="105"/>
      <c r="V626" s="71" t="s">
        <v>1122</v>
      </c>
      <c r="W626" s="435"/>
    </row>
    <row r="627" spans="1:23" s="71" customFormat="1" ht="14.25" customHeight="1">
      <c r="A627" s="435" t="s">
        <v>37</v>
      </c>
      <c r="B627" s="566" t="s">
        <v>176</v>
      </c>
      <c r="C627" s="566" t="s">
        <v>179</v>
      </c>
      <c r="D627" s="477" t="s">
        <v>2869</v>
      </c>
      <c r="E627" s="571" t="s">
        <v>1615</v>
      </c>
      <c r="F627" s="435">
        <v>0</v>
      </c>
      <c r="G627" s="71">
        <v>0</v>
      </c>
      <c r="H627" s="71" t="s">
        <v>41</v>
      </c>
      <c r="I627" s="561" t="s">
        <v>2702</v>
      </c>
      <c r="J627" s="71" t="s">
        <v>43</v>
      </c>
      <c r="K627" s="71" t="s">
        <v>43</v>
      </c>
      <c r="L627" s="71" t="s">
        <v>43</v>
      </c>
      <c r="M627" s="71" t="s">
        <v>776</v>
      </c>
      <c r="N627" s="435">
        <v>26.548506</v>
      </c>
      <c r="O627" s="435">
        <v>97.75609</v>
      </c>
      <c r="P627" s="17" t="s">
        <v>759</v>
      </c>
      <c r="Q627" s="71" t="s">
        <v>760</v>
      </c>
      <c r="R627" s="438">
        <v>67</v>
      </c>
      <c r="S627" s="438">
        <v>311</v>
      </c>
      <c r="T627" s="109">
        <v>42788</v>
      </c>
      <c r="U627" s="105"/>
    </row>
    <row r="628" spans="1:23" s="71" customFormat="1" ht="14.25" customHeight="1">
      <c r="A628" s="561" t="s">
        <v>37</v>
      </c>
      <c r="B628" s="566" t="s">
        <v>176</v>
      </c>
      <c r="C628" s="566" t="s">
        <v>176</v>
      </c>
      <c r="D628" s="477" t="s">
        <v>2869</v>
      </c>
      <c r="E628" s="566" t="s">
        <v>1614</v>
      </c>
      <c r="F628" s="71" t="s">
        <v>1878</v>
      </c>
      <c r="G628" s="71">
        <v>0</v>
      </c>
      <c r="H628" s="561"/>
      <c r="I628" s="566" t="s">
        <v>2140</v>
      </c>
      <c r="J628" s="561" t="s">
        <v>43</v>
      </c>
      <c r="K628" s="561" t="s">
        <v>43</v>
      </c>
      <c r="L628" s="561" t="s">
        <v>774</v>
      </c>
      <c r="M628" s="561" t="s">
        <v>44</v>
      </c>
      <c r="N628" s="561">
        <v>26.541930000000001</v>
      </c>
      <c r="O628" s="561">
        <v>97.568836000000005</v>
      </c>
      <c r="P628" s="71" t="s">
        <v>759</v>
      </c>
      <c r="Q628" s="561" t="s">
        <v>760</v>
      </c>
      <c r="R628" s="568">
        <v>5</v>
      </c>
      <c r="S628" s="568">
        <v>32</v>
      </c>
      <c r="T628" s="588"/>
      <c r="U628" s="570" t="s">
        <v>1068</v>
      </c>
      <c r="V628" s="435" t="s">
        <v>176</v>
      </c>
      <c r="W628" s="561"/>
    </row>
    <row r="629" spans="1:23" s="71" customFormat="1" ht="14.25" customHeight="1">
      <c r="A629" s="566" t="s">
        <v>37</v>
      </c>
      <c r="B629" s="566" t="s">
        <v>176</v>
      </c>
      <c r="C629" s="566" t="s">
        <v>1150</v>
      </c>
      <c r="D629" s="477" t="s">
        <v>1664</v>
      </c>
      <c r="E629" s="566"/>
      <c r="F629" s="561"/>
      <c r="G629" s="561"/>
      <c r="H629" s="566"/>
      <c r="I629" s="566"/>
      <c r="J629" s="566" t="s">
        <v>1463</v>
      </c>
      <c r="K629" s="566" t="s">
        <v>43</v>
      </c>
      <c r="L629" s="566" t="s">
        <v>758</v>
      </c>
      <c r="M629" s="566" t="s">
        <v>44</v>
      </c>
      <c r="N629" s="566"/>
      <c r="O629" s="566"/>
      <c r="P629" s="561" t="s">
        <v>759</v>
      </c>
      <c r="Q629" s="566" t="s">
        <v>760</v>
      </c>
      <c r="R629" s="572"/>
      <c r="S629" s="573"/>
      <c r="T629" s="589">
        <v>42788</v>
      </c>
      <c r="U629" s="574"/>
      <c r="V629" s="561"/>
      <c r="W629" s="561"/>
    </row>
    <row r="630" spans="1:23" s="71" customFormat="1" ht="14.25" customHeight="1">
      <c r="A630" s="573" t="s">
        <v>37</v>
      </c>
      <c r="B630" s="572" t="s">
        <v>1137</v>
      </c>
      <c r="C630" s="573" t="s">
        <v>1993</v>
      </c>
      <c r="D630" s="478"/>
      <c r="E630" s="566"/>
      <c r="F630" s="566"/>
      <c r="G630" s="566"/>
      <c r="H630" s="566"/>
      <c r="I630" s="566"/>
      <c r="J630" s="566" t="s">
        <v>1463</v>
      </c>
      <c r="K630" s="566" t="s">
        <v>43</v>
      </c>
      <c r="L630" s="566" t="s">
        <v>774</v>
      </c>
      <c r="M630" s="566"/>
      <c r="N630" s="566"/>
      <c r="O630" s="566"/>
      <c r="P630" s="566" t="s">
        <v>1991</v>
      </c>
      <c r="Q630" s="566" t="s">
        <v>1946</v>
      </c>
      <c r="R630" s="577"/>
      <c r="S630" s="573"/>
      <c r="T630" s="589">
        <v>43285</v>
      </c>
      <c r="U630" s="574" t="s">
        <v>1998</v>
      </c>
      <c r="V630" s="566"/>
    </row>
    <row r="631" spans="1:23" s="71" customFormat="1" ht="14.25" customHeight="1">
      <c r="A631" s="573" t="s">
        <v>37</v>
      </c>
      <c r="B631" s="572" t="s">
        <v>1137</v>
      </c>
      <c r="C631" s="573" t="s">
        <v>1994</v>
      </c>
      <c r="D631" s="567"/>
      <c r="J631" s="71" t="s">
        <v>1463</v>
      </c>
      <c r="K631" s="566" t="s">
        <v>43</v>
      </c>
      <c r="L631" s="566" t="s">
        <v>774</v>
      </c>
      <c r="N631" s="435"/>
      <c r="O631" s="435"/>
      <c r="P631" s="71" t="s">
        <v>1991</v>
      </c>
      <c r="Q631" s="71" t="s">
        <v>1946</v>
      </c>
      <c r="R631" s="576"/>
      <c r="S631" s="569"/>
      <c r="T631" s="109">
        <v>43285</v>
      </c>
      <c r="U631" s="574" t="s">
        <v>1998</v>
      </c>
      <c r="W631" s="561"/>
    </row>
    <row r="632" spans="1:23" s="71" customFormat="1" ht="14.25" customHeight="1">
      <c r="A632" s="435" t="s">
        <v>37</v>
      </c>
      <c r="B632" s="566" t="s">
        <v>1137</v>
      </c>
      <c r="C632" s="566" t="s">
        <v>2254</v>
      </c>
      <c r="D632" s="477" t="s">
        <v>2869</v>
      </c>
      <c r="E632" s="71" t="s">
        <v>1630</v>
      </c>
      <c r="F632" s="71" t="s">
        <v>1137</v>
      </c>
      <c r="G632" s="71">
        <v>0</v>
      </c>
      <c r="H632" s="71" t="s">
        <v>41</v>
      </c>
      <c r="I632" s="71" t="s">
        <v>1328</v>
      </c>
      <c r="J632" s="71" t="s">
        <v>43</v>
      </c>
      <c r="K632" s="71" t="s">
        <v>43</v>
      </c>
      <c r="L632" s="566" t="s">
        <v>43</v>
      </c>
      <c r="M632" s="71" t="s">
        <v>44</v>
      </c>
      <c r="N632" s="71">
        <v>0</v>
      </c>
      <c r="O632" s="71">
        <v>0</v>
      </c>
      <c r="P632" s="71" t="s">
        <v>759</v>
      </c>
      <c r="Q632" s="71" t="s">
        <v>924</v>
      </c>
      <c r="R632" s="438">
        <v>145</v>
      </c>
      <c r="S632" s="438">
        <v>644</v>
      </c>
      <c r="T632" s="109">
        <v>43444</v>
      </c>
      <c r="U632" s="192" t="s">
        <v>2253</v>
      </c>
      <c r="V632" s="71" t="s">
        <v>1141</v>
      </c>
      <c r="W632" s="429" t="s">
        <v>2253</v>
      </c>
    </row>
    <row r="633" spans="1:23" s="71" customFormat="1" ht="14.25" customHeight="1">
      <c r="A633" s="435" t="s">
        <v>37</v>
      </c>
      <c r="B633" s="566" t="s">
        <v>1137</v>
      </c>
      <c r="C633" s="566" t="s">
        <v>1983</v>
      </c>
      <c r="D633" s="477" t="s">
        <v>2256</v>
      </c>
      <c r="E633" s="71" t="s">
        <v>1627</v>
      </c>
      <c r="F633" s="435" t="s">
        <v>1137</v>
      </c>
      <c r="G633" s="71">
        <v>0</v>
      </c>
      <c r="I633" s="71" t="s">
        <v>2140</v>
      </c>
      <c r="J633" s="71" t="s">
        <v>43</v>
      </c>
      <c r="K633" s="71" t="s">
        <v>43</v>
      </c>
      <c r="L633" s="561" t="s">
        <v>758</v>
      </c>
      <c r="M633" s="71" t="s">
        <v>44</v>
      </c>
      <c r="P633" s="71" t="s">
        <v>759</v>
      </c>
      <c r="Q633" s="71" t="s">
        <v>924</v>
      </c>
      <c r="R633" s="103"/>
      <c r="S633" s="438"/>
      <c r="T633" s="109">
        <v>43444</v>
      </c>
      <c r="U633" s="105" t="s">
        <v>2704</v>
      </c>
      <c r="W633" s="561" t="s">
        <v>2255</v>
      </c>
    </row>
    <row r="634" spans="1:23" s="71" customFormat="1" ht="14.25" customHeight="1">
      <c r="A634" s="435" t="s">
        <v>37</v>
      </c>
      <c r="B634" s="566" t="s">
        <v>1137</v>
      </c>
      <c r="C634" s="566" t="s">
        <v>1139</v>
      </c>
      <c r="D634" s="477" t="s">
        <v>2869</v>
      </c>
      <c r="E634" s="71" t="s">
        <v>1628</v>
      </c>
      <c r="F634" s="71" t="s">
        <v>1137</v>
      </c>
      <c r="G634" s="71">
        <v>0</v>
      </c>
      <c r="H634" s="71" t="s">
        <v>41</v>
      </c>
      <c r="I634" s="71" t="s">
        <v>1328</v>
      </c>
      <c r="J634" s="71" t="s">
        <v>43</v>
      </c>
      <c r="K634" s="71" t="s">
        <v>43</v>
      </c>
      <c r="L634" s="566" t="s">
        <v>43</v>
      </c>
      <c r="M634" s="71" t="s">
        <v>44</v>
      </c>
      <c r="N634" s="71">
        <v>0</v>
      </c>
      <c r="O634" s="71">
        <v>0</v>
      </c>
      <c r="P634" s="71" t="s">
        <v>759</v>
      </c>
      <c r="Q634" s="71" t="s">
        <v>924</v>
      </c>
      <c r="R634" s="438">
        <v>34</v>
      </c>
      <c r="S634" s="438">
        <v>147</v>
      </c>
      <c r="T634" s="109">
        <v>42983</v>
      </c>
      <c r="U634" s="105" t="s">
        <v>1138</v>
      </c>
      <c r="W634" s="429" t="s">
        <v>2285</v>
      </c>
    </row>
    <row r="635" spans="1:23" s="71" customFormat="1" ht="14.25" customHeight="1">
      <c r="A635" s="561" t="s">
        <v>37</v>
      </c>
      <c r="B635" s="566" t="s">
        <v>1137</v>
      </c>
      <c r="C635" s="566" t="s">
        <v>2136</v>
      </c>
      <c r="D635" s="477" t="s">
        <v>2869</v>
      </c>
      <c r="E635" s="71" t="s">
        <v>1629</v>
      </c>
      <c r="F635" s="71" t="s">
        <v>1137</v>
      </c>
      <c r="G635" s="71">
        <v>0</v>
      </c>
      <c r="H635" s="71" t="s">
        <v>41</v>
      </c>
      <c r="I635" s="71" t="s">
        <v>2702</v>
      </c>
      <c r="J635" s="71" t="s">
        <v>43</v>
      </c>
      <c r="K635" s="71" t="s">
        <v>43</v>
      </c>
      <c r="L635" s="71" t="s">
        <v>43</v>
      </c>
      <c r="M635" s="71" t="s">
        <v>44</v>
      </c>
      <c r="N635" s="71">
        <v>0</v>
      </c>
      <c r="O635" s="71">
        <v>0</v>
      </c>
      <c r="P635" s="71" t="s">
        <v>759</v>
      </c>
      <c r="Q635" s="71" t="s">
        <v>924</v>
      </c>
      <c r="R635" s="568">
        <v>97</v>
      </c>
      <c r="S635" s="568">
        <v>365</v>
      </c>
      <c r="T635" s="109">
        <v>42983</v>
      </c>
      <c r="U635" s="105" t="s">
        <v>1140</v>
      </c>
      <c r="W635" s="429" t="s">
        <v>2286</v>
      </c>
    </row>
    <row r="636" spans="1:23" s="71" customFormat="1" ht="14.25" customHeight="1">
      <c r="A636" s="573" t="s">
        <v>37</v>
      </c>
      <c r="B636" s="572" t="s">
        <v>1137</v>
      </c>
      <c r="C636" s="566" t="s">
        <v>1955</v>
      </c>
      <c r="D636" s="567"/>
      <c r="E636" s="435"/>
      <c r="J636" s="71" t="s">
        <v>1463</v>
      </c>
      <c r="K636" s="71" t="s">
        <v>43</v>
      </c>
      <c r="L636" s="71" t="s">
        <v>43</v>
      </c>
      <c r="M636" s="71" t="s">
        <v>44</v>
      </c>
      <c r="N636" s="435"/>
      <c r="O636" s="435"/>
      <c r="P636" s="71" t="s">
        <v>759</v>
      </c>
      <c r="Q636" s="71" t="s">
        <v>1946</v>
      </c>
      <c r="R636" s="576"/>
      <c r="S636" s="569"/>
      <c r="T636" s="109">
        <v>43270</v>
      </c>
      <c r="U636" s="105"/>
      <c r="W636" s="561"/>
    </row>
    <row r="637" spans="1:23" s="71" customFormat="1" ht="14.25" customHeight="1">
      <c r="A637" s="561" t="s">
        <v>37</v>
      </c>
      <c r="B637" s="561" t="s">
        <v>134</v>
      </c>
      <c r="C637" s="561" t="s">
        <v>228</v>
      </c>
      <c r="D637" s="477" t="s">
        <v>2869</v>
      </c>
      <c r="E637" s="561" t="s">
        <v>1529</v>
      </c>
      <c r="F637" s="435" t="s">
        <v>1812</v>
      </c>
      <c r="G637" s="71" t="s">
        <v>1810</v>
      </c>
      <c r="H637" s="561" t="s">
        <v>41</v>
      </c>
      <c r="I637" s="561" t="s">
        <v>1328</v>
      </c>
      <c r="J637" s="71" t="s">
        <v>43</v>
      </c>
      <c r="K637" s="71" t="s">
        <v>43</v>
      </c>
      <c r="L637" s="561" t="s">
        <v>43</v>
      </c>
      <c r="M637" s="71" t="s">
        <v>776</v>
      </c>
      <c r="N637" s="71">
        <v>25.220278</v>
      </c>
      <c r="O637" s="71">
        <v>97.915833000000006</v>
      </c>
      <c r="P637" s="561" t="s">
        <v>759</v>
      </c>
      <c r="Q637" s="435" t="s">
        <v>778</v>
      </c>
      <c r="R637" s="438">
        <v>117</v>
      </c>
      <c r="S637" s="568">
        <v>421</v>
      </c>
      <c r="T637" s="452"/>
      <c r="U637" s="570"/>
      <c r="V637" s="561" t="s">
        <v>228</v>
      </c>
    </row>
    <row r="638" spans="1:23" s="71" customFormat="1" ht="14.25" customHeight="1">
      <c r="A638" s="435" t="s">
        <v>37</v>
      </c>
      <c r="B638" s="561" t="s">
        <v>134</v>
      </c>
      <c r="C638" s="561" t="s">
        <v>211</v>
      </c>
      <c r="D638" s="477" t="s">
        <v>1664</v>
      </c>
      <c r="E638" s="435"/>
      <c r="J638" s="71" t="s">
        <v>1463</v>
      </c>
      <c r="K638" s="561" t="s">
        <v>43</v>
      </c>
      <c r="L638" s="561" t="s">
        <v>1025</v>
      </c>
      <c r="M638" s="71" t="s">
        <v>776</v>
      </c>
      <c r="N638" s="435"/>
      <c r="O638" s="435"/>
      <c r="P638" s="561" t="s">
        <v>759</v>
      </c>
      <c r="Q638" s="71" t="s">
        <v>778</v>
      </c>
      <c r="R638" s="103"/>
      <c r="S638" s="569"/>
      <c r="T638" s="109"/>
      <c r="U638" s="105" t="s">
        <v>1093</v>
      </c>
      <c r="V638" s="71" t="s">
        <v>211</v>
      </c>
      <c r="W638" s="561"/>
    </row>
    <row r="639" spans="1:23" s="71" customFormat="1" ht="14.25" customHeight="1">
      <c r="A639" s="435" t="s">
        <v>37</v>
      </c>
      <c r="B639" s="561" t="s">
        <v>134</v>
      </c>
      <c r="C639" s="561" t="s">
        <v>212</v>
      </c>
      <c r="D639" s="477" t="s">
        <v>1664</v>
      </c>
      <c r="E639" s="435"/>
      <c r="F639" s="561"/>
      <c r="G639" s="435"/>
      <c r="H639" s="435"/>
      <c r="I639" s="561"/>
      <c r="J639" s="71" t="s">
        <v>1463</v>
      </c>
      <c r="K639" s="71" t="s">
        <v>43</v>
      </c>
      <c r="L639" s="71" t="s">
        <v>1025</v>
      </c>
      <c r="M639" s="435" t="s">
        <v>776</v>
      </c>
      <c r="N639" s="435"/>
      <c r="O639" s="435"/>
      <c r="P639" s="71" t="s">
        <v>759</v>
      </c>
      <c r="Q639" s="435" t="s">
        <v>778</v>
      </c>
      <c r="R639" s="438"/>
      <c r="S639" s="569"/>
      <c r="T639" s="452"/>
      <c r="U639" s="440" t="s">
        <v>1093</v>
      </c>
      <c r="V639" s="435" t="s">
        <v>212</v>
      </c>
      <c r="W639" s="561"/>
    </row>
    <row r="640" spans="1:23" s="71" customFormat="1" ht="14.25" customHeight="1">
      <c r="A640" s="435" t="s">
        <v>37</v>
      </c>
      <c r="B640" s="561" t="s">
        <v>134</v>
      </c>
      <c r="C640" s="561" t="s">
        <v>1041</v>
      </c>
      <c r="D640" s="477" t="s">
        <v>2869</v>
      </c>
      <c r="E640" s="435" t="s">
        <v>1536</v>
      </c>
      <c r="F640" s="435" t="s">
        <v>1876</v>
      </c>
      <c r="G640" s="435" t="s">
        <v>1877</v>
      </c>
      <c r="H640" s="435"/>
      <c r="I640" s="566" t="s">
        <v>2140</v>
      </c>
      <c r="J640" s="435" t="s">
        <v>43</v>
      </c>
      <c r="K640" s="435" t="s">
        <v>43</v>
      </c>
      <c r="L640" s="435" t="s">
        <v>774</v>
      </c>
      <c r="M640" s="435" t="s">
        <v>44</v>
      </c>
      <c r="N640" s="435">
        <v>25.305008999999998</v>
      </c>
      <c r="O640" s="435">
        <v>97.430321000000006</v>
      </c>
      <c r="P640" s="435" t="s">
        <v>759</v>
      </c>
      <c r="Q640" s="435" t="s">
        <v>800</v>
      </c>
      <c r="R640" s="438">
        <v>62</v>
      </c>
      <c r="S640" s="438">
        <v>410</v>
      </c>
      <c r="T640" s="452">
        <v>42916</v>
      </c>
      <c r="U640" s="440" t="s">
        <v>1042</v>
      </c>
      <c r="V640" s="435"/>
      <c r="W640" s="435"/>
    </row>
    <row r="641" spans="1:23" s="71" customFormat="1" ht="14.25" customHeight="1">
      <c r="A641" s="561" t="s">
        <v>37</v>
      </c>
      <c r="B641" s="561" t="s">
        <v>134</v>
      </c>
      <c r="C641" s="561" t="s">
        <v>260</v>
      </c>
      <c r="D641" s="477" t="s">
        <v>2869</v>
      </c>
      <c r="E641" s="561" t="s">
        <v>1538</v>
      </c>
      <c r="F641" s="561" t="s">
        <v>1817</v>
      </c>
      <c r="G641" s="561" t="s">
        <v>1817</v>
      </c>
      <c r="H641" s="71" t="s">
        <v>41</v>
      </c>
      <c r="I641" s="71" t="s">
        <v>234</v>
      </c>
      <c r="J641" s="71" t="s">
        <v>43</v>
      </c>
      <c r="K641" s="71" t="s">
        <v>43</v>
      </c>
      <c r="L641" s="71" t="s">
        <v>43</v>
      </c>
      <c r="M641" s="71" t="s">
        <v>44</v>
      </c>
      <c r="N641" s="71">
        <v>25.321710740740698</v>
      </c>
      <c r="O641" s="71">
        <v>97.404195925926004</v>
      </c>
      <c r="P641" s="561" t="s">
        <v>759</v>
      </c>
      <c r="Q641" s="71" t="s">
        <v>778</v>
      </c>
      <c r="R641" s="103">
        <v>92</v>
      </c>
      <c r="S641" s="438">
        <v>448</v>
      </c>
      <c r="T641" s="109"/>
      <c r="U641" s="570"/>
      <c r="V641" s="561" t="s">
        <v>260</v>
      </c>
      <c r="W641" s="561"/>
    </row>
    <row r="642" spans="1:23" s="71" customFormat="1" ht="14.25" customHeight="1">
      <c r="A642" s="435" t="s">
        <v>37</v>
      </c>
      <c r="B642" s="561" t="s">
        <v>134</v>
      </c>
      <c r="C642" s="561" t="s">
        <v>167</v>
      </c>
      <c r="D642" s="477" t="s">
        <v>2869</v>
      </c>
      <c r="E642" s="71" t="s">
        <v>1528</v>
      </c>
      <c r="F642" s="71" t="s">
        <v>1810</v>
      </c>
      <c r="G642" s="71" t="s">
        <v>1811</v>
      </c>
      <c r="H642" s="71" t="s">
        <v>41</v>
      </c>
      <c r="I642" s="561" t="s">
        <v>2702</v>
      </c>
      <c r="J642" s="71" t="s">
        <v>43</v>
      </c>
      <c r="K642" s="71" t="s">
        <v>43</v>
      </c>
      <c r="L642" s="71" t="s">
        <v>43</v>
      </c>
      <c r="M642" s="71" t="s">
        <v>776</v>
      </c>
      <c r="N642" s="71">
        <v>25.200333000000001</v>
      </c>
      <c r="O642" s="71">
        <v>97.807182999999995</v>
      </c>
      <c r="P642" s="71" t="s">
        <v>759</v>
      </c>
      <c r="Q642" s="71" t="s">
        <v>778</v>
      </c>
      <c r="R642" s="103">
        <v>136</v>
      </c>
      <c r="S642" s="438">
        <v>985</v>
      </c>
      <c r="T642" s="109"/>
      <c r="U642" s="105"/>
      <c r="V642" s="71" t="s">
        <v>167</v>
      </c>
    </row>
    <row r="643" spans="1:23" s="71" customFormat="1" ht="14.25" customHeight="1">
      <c r="A643" s="435" t="s">
        <v>37</v>
      </c>
      <c r="B643" s="561" t="s">
        <v>134</v>
      </c>
      <c r="C643" s="561" t="s">
        <v>216</v>
      </c>
      <c r="D643" s="477" t="s">
        <v>2869</v>
      </c>
      <c r="E643" s="435" t="s">
        <v>1516</v>
      </c>
      <c r="F643" s="435" t="s">
        <v>1717</v>
      </c>
      <c r="G643" s="435">
        <v>0</v>
      </c>
      <c r="H643" s="435"/>
      <c r="I643" s="566" t="s">
        <v>2140</v>
      </c>
      <c r="J643" s="435" t="s">
        <v>43</v>
      </c>
      <c r="K643" s="435" t="s">
        <v>43</v>
      </c>
      <c r="L643" s="435" t="s">
        <v>1025</v>
      </c>
      <c r="M643" s="435" t="s">
        <v>776</v>
      </c>
      <c r="N643" s="435">
        <v>24.752471</v>
      </c>
      <c r="O643" s="435">
        <v>97.541793999999996</v>
      </c>
      <c r="P643" s="435" t="s">
        <v>759</v>
      </c>
      <c r="Q643" s="435" t="s">
        <v>760</v>
      </c>
      <c r="R643" s="438">
        <v>0</v>
      </c>
      <c r="S643" s="568">
        <v>872</v>
      </c>
      <c r="T643" s="452"/>
      <c r="U643" s="440"/>
      <c r="V643" s="435" t="s">
        <v>216</v>
      </c>
      <c r="W643" s="561"/>
    </row>
    <row r="644" spans="1:23" s="71" customFormat="1" ht="14.25" customHeight="1">
      <c r="A644" s="561" t="s">
        <v>37</v>
      </c>
      <c r="B644" s="561" t="s">
        <v>134</v>
      </c>
      <c r="C644" s="561" t="s">
        <v>1023</v>
      </c>
      <c r="D644" s="477" t="s">
        <v>1665</v>
      </c>
      <c r="E644" s="561" t="s">
        <v>1515</v>
      </c>
      <c r="F644" s="561" t="s">
        <v>1717</v>
      </c>
      <c r="G644" s="561" t="s">
        <v>1717</v>
      </c>
      <c r="H644" s="561" t="s">
        <v>41</v>
      </c>
      <c r="I644" s="561" t="s">
        <v>1328</v>
      </c>
      <c r="J644" s="71" t="s">
        <v>43</v>
      </c>
      <c r="K644" s="71" t="s">
        <v>43</v>
      </c>
      <c r="L644" s="71" t="s">
        <v>758</v>
      </c>
      <c r="M644" s="71" t="s">
        <v>776</v>
      </c>
      <c r="N644" s="561">
        <v>24.747212999999999</v>
      </c>
      <c r="O644" s="561">
        <v>97.551507000000001</v>
      </c>
      <c r="P644" s="71" t="s">
        <v>759</v>
      </c>
      <c r="R644" s="568"/>
      <c r="S644" s="569"/>
      <c r="T644" s="109"/>
      <c r="U644" s="570"/>
      <c r="V644" s="561" t="s">
        <v>1024</v>
      </c>
      <c r="W644" s="429" t="s">
        <v>2186</v>
      </c>
    </row>
    <row r="645" spans="1:23" s="71" customFormat="1" ht="14.25" customHeight="1">
      <c r="A645" s="435" t="s">
        <v>37</v>
      </c>
      <c r="B645" s="561" t="s">
        <v>134</v>
      </c>
      <c r="C645" s="561" t="s">
        <v>1037</v>
      </c>
      <c r="D645" s="477" t="s">
        <v>1664</v>
      </c>
      <c r="E645" s="435" t="s">
        <v>1527</v>
      </c>
      <c r="F645" s="435"/>
      <c r="G645" s="435"/>
      <c r="H645" s="435"/>
      <c r="I645" s="435"/>
      <c r="J645" s="71" t="s">
        <v>43</v>
      </c>
      <c r="K645" s="71" t="s">
        <v>43</v>
      </c>
      <c r="L645" s="71" t="s">
        <v>758</v>
      </c>
      <c r="M645" s="435" t="s">
        <v>776</v>
      </c>
      <c r="N645" s="435">
        <v>25.108011999999999</v>
      </c>
      <c r="O645" s="435">
        <v>97.718008999999995</v>
      </c>
      <c r="P645" s="71" t="s">
        <v>759</v>
      </c>
      <c r="Q645" s="435"/>
      <c r="R645" s="438"/>
      <c r="S645" s="569"/>
      <c r="T645" s="452"/>
      <c r="U645" s="440"/>
      <c r="V645" s="435" t="s">
        <v>1037</v>
      </c>
      <c r="W645" s="561"/>
    </row>
    <row r="646" spans="1:23" s="71" customFormat="1" ht="14.25" customHeight="1">
      <c r="A646" s="435" t="s">
        <v>37</v>
      </c>
      <c r="B646" s="561" t="s">
        <v>134</v>
      </c>
      <c r="C646" s="561" t="s">
        <v>168</v>
      </c>
      <c r="D646" s="477" t="s">
        <v>2869</v>
      </c>
      <c r="E646" s="435" t="s">
        <v>1548</v>
      </c>
      <c r="F646" s="435" t="s">
        <v>1822</v>
      </c>
      <c r="G646" s="435" t="s">
        <v>1823</v>
      </c>
      <c r="H646" s="435" t="s">
        <v>41</v>
      </c>
      <c r="I646" s="435" t="s">
        <v>2702</v>
      </c>
      <c r="J646" s="71" t="s">
        <v>43</v>
      </c>
      <c r="K646" s="71" t="s">
        <v>43</v>
      </c>
      <c r="L646" s="71" t="s">
        <v>43</v>
      </c>
      <c r="M646" s="435" t="s">
        <v>44</v>
      </c>
      <c r="N646" s="435">
        <v>25.356632000000001</v>
      </c>
      <c r="O646" s="435">
        <v>97.451965000000001</v>
      </c>
      <c r="P646" s="561" t="s">
        <v>759</v>
      </c>
      <c r="Q646" s="435" t="s">
        <v>778</v>
      </c>
      <c r="R646" s="438">
        <v>32</v>
      </c>
      <c r="S646" s="568">
        <v>196</v>
      </c>
      <c r="T646" s="452"/>
      <c r="U646" s="440"/>
      <c r="V646" s="435" t="s">
        <v>168</v>
      </c>
    </row>
    <row r="647" spans="1:23" s="71" customFormat="1" ht="14.25" customHeight="1">
      <c r="A647" s="435" t="s">
        <v>37</v>
      </c>
      <c r="B647" s="561" t="s">
        <v>134</v>
      </c>
      <c r="C647" s="561" t="s">
        <v>169</v>
      </c>
      <c r="D647" s="477" t="s">
        <v>2869</v>
      </c>
      <c r="E647" s="71" t="s">
        <v>1522</v>
      </c>
      <c r="F647" s="71" t="s">
        <v>1807</v>
      </c>
      <c r="G647" s="71" t="s">
        <v>1809</v>
      </c>
      <c r="H647" s="71" t="s">
        <v>41</v>
      </c>
      <c r="I647" s="71" t="s">
        <v>1328</v>
      </c>
      <c r="J647" s="71" t="s">
        <v>43</v>
      </c>
      <c r="K647" s="71" t="s">
        <v>966</v>
      </c>
      <c r="L647" s="71" t="s">
        <v>43</v>
      </c>
      <c r="M647" s="71" t="s">
        <v>776</v>
      </c>
      <c r="N647" s="71">
        <v>24.980250000000002</v>
      </c>
      <c r="O647" s="71">
        <v>97.715230000000005</v>
      </c>
      <c r="P647" s="17" t="s">
        <v>759</v>
      </c>
      <c r="Q647" s="71" t="s">
        <v>778</v>
      </c>
      <c r="R647" s="103">
        <v>407</v>
      </c>
      <c r="S647" s="568">
        <v>1731</v>
      </c>
      <c r="T647" s="109"/>
      <c r="U647" s="105" t="s">
        <v>1030</v>
      </c>
      <c r="V647" s="71" t="s">
        <v>169</v>
      </c>
    </row>
    <row r="648" spans="1:23" s="71" customFormat="1" ht="14.25" customHeight="1">
      <c r="A648" s="435" t="s">
        <v>37</v>
      </c>
      <c r="B648" s="561" t="s">
        <v>134</v>
      </c>
      <c r="C648" s="561" t="s">
        <v>261</v>
      </c>
      <c r="D648" s="477" t="s">
        <v>2869</v>
      </c>
      <c r="E648" s="561" t="s">
        <v>1574</v>
      </c>
      <c r="F648" s="71" t="s">
        <v>1830</v>
      </c>
      <c r="G648" s="71" t="s">
        <v>1830</v>
      </c>
      <c r="H648" s="71" t="s">
        <v>41</v>
      </c>
      <c r="I648" s="71" t="s">
        <v>234</v>
      </c>
      <c r="J648" s="71" t="s">
        <v>43</v>
      </c>
      <c r="K648" s="435" t="s">
        <v>43</v>
      </c>
      <c r="L648" s="435" t="s">
        <v>43</v>
      </c>
      <c r="M648" s="71" t="s">
        <v>44</v>
      </c>
      <c r="N648" s="71">
        <v>25.424529444444399</v>
      </c>
      <c r="O648" s="71">
        <v>97.433419259259296</v>
      </c>
      <c r="P648" s="71" t="s">
        <v>759</v>
      </c>
      <c r="Q648" s="71" t="s">
        <v>778</v>
      </c>
      <c r="R648" s="438">
        <v>346</v>
      </c>
      <c r="S648" s="568">
        <v>2059</v>
      </c>
      <c r="T648" s="109"/>
      <c r="U648" s="105"/>
      <c r="V648" s="71" t="s">
        <v>261</v>
      </c>
      <c r="W648" s="561"/>
    </row>
    <row r="649" spans="1:23" s="71" customFormat="1" ht="14.25" customHeight="1">
      <c r="A649" s="435" t="s">
        <v>37</v>
      </c>
      <c r="B649" s="435" t="s">
        <v>134</v>
      </c>
      <c r="C649" s="435" t="s">
        <v>229</v>
      </c>
      <c r="D649" s="477" t="s">
        <v>2869</v>
      </c>
      <c r="E649" s="566" t="s">
        <v>1568</v>
      </c>
      <c r="F649" s="435" t="s">
        <v>1830</v>
      </c>
      <c r="G649" s="435" t="s">
        <v>1830</v>
      </c>
      <c r="H649" s="435" t="s">
        <v>41</v>
      </c>
      <c r="I649" s="435" t="s">
        <v>1328</v>
      </c>
      <c r="J649" s="435" t="s">
        <v>43</v>
      </c>
      <c r="K649" s="435" t="s">
        <v>43</v>
      </c>
      <c r="L649" s="435" t="s">
        <v>43</v>
      </c>
      <c r="M649" s="435" t="s">
        <v>44</v>
      </c>
      <c r="N649" s="435">
        <v>25.415667500000001</v>
      </c>
      <c r="O649" s="435">
        <v>97.437782499999997</v>
      </c>
      <c r="P649" s="561" t="s">
        <v>759</v>
      </c>
      <c r="Q649" s="435" t="s">
        <v>778</v>
      </c>
      <c r="R649" s="438">
        <v>327</v>
      </c>
      <c r="S649" s="568">
        <v>1785</v>
      </c>
      <c r="T649" s="452"/>
      <c r="U649" s="440"/>
      <c r="V649" s="435" t="s">
        <v>229</v>
      </c>
      <c r="W649" s="561"/>
    </row>
    <row r="650" spans="1:23" s="71" customFormat="1" ht="14.25" customHeight="1">
      <c r="A650" s="561" t="s">
        <v>37</v>
      </c>
      <c r="B650" s="561" t="s">
        <v>134</v>
      </c>
      <c r="C650" s="561" t="s">
        <v>170</v>
      </c>
      <c r="D650" s="477" t="s">
        <v>2869</v>
      </c>
      <c r="E650" s="561" t="s">
        <v>1565</v>
      </c>
      <c r="F650" s="561" t="s">
        <v>1830</v>
      </c>
      <c r="G650" s="561" t="s">
        <v>1830</v>
      </c>
      <c r="H650" s="561" t="s">
        <v>41</v>
      </c>
      <c r="I650" s="561" t="s">
        <v>2702</v>
      </c>
      <c r="J650" s="435" t="s">
        <v>43</v>
      </c>
      <c r="K650" s="435" t="s">
        <v>43</v>
      </c>
      <c r="L650" s="435" t="s">
        <v>43</v>
      </c>
      <c r="M650" s="561" t="s">
        <v>44</v>
      </c>
      <c r="N650" s="561">
        <v>25.4118005797101</v>
      </c>
      <c r="O650" s="561">
        <v>97.434855869565197</v>
      </c>
      <c r="P650" s="561" t="s">
        <v>759</v>
      </c>
      <c r="Q650" s="561" t="s">
        <v>778</v>
      </c>
      <c r="R650" s="568">
        <v>515</v>
      </c>
      <c r="S650" s="568">
        <v>2775</v>
      </c>
      <c r="T650" s="588"/>
      <c r="U650" s="570"/>
      <c r="V650" s="561" t="s">
        <v>170</v>
      </c>
      <c r="W650" s="429" t="s">
        <v>2287</v>
      </c>
    </row>
    <row r="651" spans="1:23" s="71" customFormat="1" ht="14.25" customHeight="1">
      <c r="A651" s="435" t="s">
        <v>37</v>
      </c>
      <c r="B651" s="561" t="s">
        <v>134</v>
      </c>
      <c r="C651" s="561" t="s">
        <v>171</v>
      </c>
      <c r="D651" s="477" t="s">
        <v>2869</v>
      </c>
      <c r="E651" s="71" t="s">
        <v>1563</v>
      </c>
      <c r="F651" s="71" t="s">
        <v>1830</v>
      </c>
      <c r="G651" s="71" t="s">
        <v>1830</v>
      </c>
      <c r="H651" s="71" t="s">
        <v>41</v>
      </c>
      <c r="I651" s="71" t="s">
        <v>2702</v>
      </c>
      <c r="J651" s="71" t="s">
        <v>43</v>
      </c>
      <c r="K651" s="71" t="s">
        <v>43</v>
      </c>
      <c r="L651" s="71" t="s">
        <v>43</v>
      </c>
      <c r="M651" s="71" t="s">
        <v>44</v>
      </c>
      <c r="N651" s="71">
        <v>25.409612685185198</v>
      </c>
      <c r="O651" s="71">
        <v>97.426536944444507</v>
      </c>
      <c r="P651" s="561" t="s">
        <v>759</v>
      </c>
      <c r="Q651" s="71" t="s">
        <v>778</v>
      </c>
      <c r="R651" s="103">
        <v>55</v>
      </c>
      <c r="S651" s="568">
        <v>250</v>
      </c>
      <c r="T651" s="109"/>
      <c r="U651" s="440"/>
      <c r="V651" s="71" t="s">
        <v>171</v>
      </c>
      <c r="W651" s="429" t="s">
        <v>2288</v>
      </c>
    </row>
    <row r="652" spans="1:23" s="71" customFormat="1" ht="14.25" customHeight="1">
      <c r="A652" s="561" t="s">
        <v>37</v>
      </c>
      <c r="B652" s="561" t="s">
        <v>134</v>
      </c>
      <c r="C652" s="561" t="s">
        <v>262</v>
      </c>
      <c r="D652" s="477" t="s">
        <v>2869</v>
      </c>
      <c r="E652" s="561" t="s">
        <v>1545</v>
      </c>
      <c r="F652" s="561" t="s">
        <v>1820</v>
      </c>
      <c r="G652" s="561" t="s">
        <v>1821</v>
      </c>
      <c r="H652" s="561" t="s">
        <v>41</v>
      </c>
      <c r="I652" s="561" t="s">
        <v>234</v>
      </c>
      <c r="J652" s="71" t="s">
        <v>43</v>
      </c>
      <c r="K652" s="71" t="s">
        <v>43</v>
      </c>
      <c r="L652" s="71" t="s">
        <v>43</v>
      </c>
      <c r="M652" s="561" t="s">
        <v>44</v>
      </c>
      <c r="N652" s="561">
        <v>25.351965</v>
      </c>
      <c r="O652" s="561">
        <v>97.345039</v>
      </c>
      <c r="P652" s="561" t="s">
        <v>759</v>
      </c>
      <c r="Q652" s="561" t="s">
        <v>778</v>
      </c>
      <c r="R652" s="568">
        <v>19</v>
      </c>
      <c r="S652" s="568">
        <v>82</v>
      </c>
      <c r="T652" s="588"/>
      <c r="U652" s="570"/>
      <c r="V652" s="561" t="s">
        <v>262</v>
      </c>
      <c r="W652" s="561"/>
    </row>
    <row r="653" spans="1:23" s="71" customFormat="1" ht="14.25" customHeight="1">
      <c r="A653" s="435" t="s">
        <v>37</v>
      </c>
      <c r="B653" s="435" t="s">
        <v>134</v>
      </c>
      <c r="C653" s="435" t="s">
        <v>172</v>
      </c>
      <c r="D653" s="477" t="s">
        <v>2869</v>
      </c>
      <c r="E653" s="71" t="s">
        <v>1521</v>
      </c>
      <c r="F653" s="71" t="s">
        <v>1807</v>
      </c>
      <c r="G653" s="71" t="s">
        <v>1808</v>
      </c>
      <c r="H653" s="71" t="s">
        <v>41</v>
      </c>
      <c r="I653" s="71" t="s">
        <v>2702</v>
      </c>
      <c r="J653" s="71" t="s">
        <v>43</v>
      </c>
      <c r="K653" s="71" t="s">
        <v>966</v>
      </c>
      <c r="L653" s="71" t="s">
        <v>43</v>
      </c>
      <c r="M653" s="71" t="s">
        <v>776</v>
      </c>
      <c r="N653" s="71">
        <v>24.831944</v>
      </c>
      <c r="O653" s="71">
        <v>97.751389000000003</v>
      </c>
      <c r="P653" s="71" t="s">
        <v>759</v>
      </c>
      <c r="Q653" s="71" t="s">
        <v>778</v>
      </c>
      <c r="R653" s="438">
        <v>185</v>
      </c>
      <c r="S653" s="568">
        <v>943</v>
      </c>
      <c r="T653" s="109"/>
      <c r="U653" s="105" t="s">
        <v>1030</v>
      </c>
      <c r="V653" s="71" t="s">
        <v>1031</v>
      </c>
    </row>
    <row r="654" spans="1:23" s="71" customFormat="1" ht="14.25" customHeight="1">
      <c r="A654" s="435" t="s">
        <v>37</v>
      </c>
      <c r="B654" s="435" t="s">
        <v>134</v>
      </c>
      <c r="C654" s="435" t="s">
        <v>230</v>
      </c>
      <c r="D654" s="477" t="s">
        <v>2869</v>
      </c>
      <c r="E654" s="71" t="s">
        <v>1532</v>
      </c>
      <c r="F654" s="71" t="s">
        <v>1810</v>
      </c>
      <c r="G654" s="71" t="s">
        <v>1810</v>
      </c>
      <c r="H654" s="71" t="s">
        <v>41</v>
      </c>
      <c r="I654" s="71" t="s">
        <v>1328</v>
      </c>
      <c r="J654" s="71" t="s">
        <v>43</v>
      </c>
      <c r="K654" s="71" t="s">
        <v>43</v>
      </c>
      <c r="L654" s="71" t="s">
        <v>43</v>
      </c>
      <c r="M654" s="71" t="s">
        <v>776</v>
      </c>
      <c r="N654" s="435">
        <v>25.265277999999999</v>
      </c>
      <c r="O654" s="435">
        <v>97.990555999999998</v>
      </c>
      <c r="P654" s="71" t="s">
        <v>759</v>
      </c>
      <c r="Q654" s="71" t="s">
        <v>778</v>
      </c>
      <c r="R654" s="103">
        <v>79</v>
      </c>
      <c r="S654" s="568">
        <v>527</v>
      </c>
      <c r="T654" s="109"/>
      <c r="U654" s="105"/>
      <c r="V654" s="71" t="s">
        <v>230</v>
      </c>
    </row>
    <row r="655" spans="1:23" s="71" customFormat="1" ht="14.25" customHeight="1">
      <c r="A655" s="561" t="s">
        <v>37</v>
      </c>
      <c r="B655" s="561" t="s">
        <v>134</v>
      </c>
      <c r="C655" s="561" t="s">
        <v>263</v>
      </c>
      <c r="D655" s="477" t="s">
        <v>2869</v>
      </c>
      <c r="E655" s="71" t="s">
        <v>1546</v>
      </c>
      <c r="F655" s="71" t="s">
        <v>1724</v>
      </c>
      <c r="G655" s="71" t="s">
        <v>1714</v>
      </c>
      <c r="H655" s="71" t="s">
        <v>41</v>
      </c>
      <c r="I655" s="71" t="s">
        <v>234</v>
      </c>
      <c r="J655" s="71" t="s">
        <v>43</v>
      </c>
      <c r="K655" s="71" t="s">
        <v>43</v>
      </c>
      <c r="L655" s="71" t="s">
        <v>43</v>
      </c>
      <c r="M655" s="71" t="s">
        <v>44</v>
      </c>
      <c r="N655" s="561">
        <v>25.3540362037037</v>
      </c>
      <c r="O655" s="561">
        <v>97.441166388888902</v>
      </c>
      <c r="P655" s="561" t="s">
        <v>759</v>
      </c>
      <c r="Q655" s="71" t="s">
        <v>778</v>
      </c>
      <c r="R655" s="568">
        <v>115</v>
      </c>
      <c r="S655" s="568">
        <v>493</v>
      </c>
      <c r="T655" s="109"/>
      <c r="U655" s="570"/>
      <c r="V655" s="71" t="s">
        <v>263</v>
      </c>
      <c r="W655" s="561"/>
    </row>
    <row r="656" spans="1:23" s="71" customFormat="1" ht="14.25" customHeight="1">
      <c r="A656" s="435" t="s">
        <v>37</v>
      </c>
      <c r="B656" s="561" t="s">
        <v>134</v>
      </c>
      <c r="C656" s="561" t="s">
        <v>173</v>
      </c>
      <c r="D656" s="477" t="s">
        <v>2869</v>
      </c>
      <c r="E656" s="71" t="s">
        <v>1544</v>
      </c>
      <c r="F656" s="71" t="s">
        <v>1724</v>
      </c>
      <c r="G656" s="71" t="s">
        <v>1714</v>
      </c>
      <c r="H656" s="71" t="s">
        <v>41</v>
      </c>
      <c r="I656" s="71" t="s">
        <v>2702</v>
      </c>
      <c r="J656" s="71" t="s">
        <v>43</v>
      </c>
      <c r="K656" s="71" t="s">
        <v>43</v>
      </c>
      <c r="L656" s="71" t="s">
        <v>43</v>
      </c>
      <c r="M656" s="71" t="s">
        <v>44</v>
      </c>
      <c r="N656" s="561">
        <v>25.351724999999998</v>
      </c>
      <c r="O656" s="561">
        <v>97.438432380952406</v>
      </c>
      <c r="P656" s="71" t="s">
        <v>759</v>
      </c>
      <c r="Q656" s="71" t="s">
        <v>778</v>
      </c>
      <c r="R656" s="103">
        <v>67</v>
      </c>
      <c r="S656" s="568">
        <v>341</v>
      </c>
      <c r="T656" s="109"/>
      <c r="U656" s="105"/>
      <c r="V656" s="71" t="s">
        <v>173</v>
      </c>
    </row>
    <row r="657" spans="1:23" s="71" customFormat="1" ht="14.25" customHeight="1">
      <c r="A657" s="435" t="s">
        <v>37</v>
      </c>
      <c r="B657" s="561" t="s">
        <v>134</v>
      </c>
      <c r="C657" s="561" t="s">
        <v>264</v>
      </c>
      <c r="D657" s="477" t="s">
        <v>2869</v>
      </c>
      <c r="E657" s="71" t="s">
        <v>1540</v>
      </c>
      <c r="F657" s="71" t="s">
        <v>1724</v>
      </c>
      <c r="G657" s="71" t="s">
        <v>1772</v>
      </c>
      <c r="H657" s="71" t="s">
        <v>41</v>
      </c>
      <c r="I657" s="71" t="s">
        <v>234</v>
      </c>
      <c r="J657" s="71" t="s">
        <v>43</v>
      </c>
      <c r="K657" s="435" t="s">
        <v>43</v>
      </c>
      <c r="L657" s="435" t="s">
        <v>43</v>
      </c>
      <c r="M657" s="71" t="s">
        <v>44</v>
      </c>
      <c r="N657" s="71">
        <v>25.345918166666699</v>
      </c>
      <c r="O657" s="71">
        <v>97.437472666666693</v>
      </c>
      <c r="P657" s="561" t="s">
        <v>759</v>
      </c>
      <c r="Q657" s="71" t="s">
        <v>778</v>
      </c>
      <c r="R657" s="103">
        <v>36</v>
      </c>
      <c r="S657" s="568">
        <v>189</v>
      </c>
      <c r="T657" s="109"/>
      <c r="U657" s="105"/>
      <c r="V657" s="71" t="s">
        <v>264</v>
      </c>
      <c r="W657" s="561"/>
    </row>
    <row r="658" spans="1:23" s="71" customFormat="1" ht="14.25" customHeight="1">
      <c r="A658" s="561" t="s">
        <v>37</v>
      </c>
      <c r="B658" s="561" t="s">
        <v>134</v>
      </c>
      <c r="C658" s="561" t="s">
        <v>265</v>
      </c>
      <c r="D658" s="477" t="s">
        <v>2131</v>
      </c>
      <c r="E658" s="561" t="s">
        <v>1541</v>
      </c>
      <c r="F658" s="435" t="s">
        <v>1724</v>
      </c>
      <c r="G658" s="71" t="s">
        <v>1818</v>
      </c>
      <c r="H658" s="561" t="s">
        <v>41</v>
      </c>
      <c r="I658" s="561" t="s">
        <v>234</v>
      </c>
      <c r="J658" s="71" t="s">
        <v>43</v>
      </c>
      <c r="K658" s="71" t="s">
        <v>43</v>
      </c>
      <c r="L658" s="561" t="s">
        <v>758</v>
      </c>
      <c r="M658" s="71" t="s">
        <v>44</v>
      </c>
      <c r="N658" s="71">
        <v>25.350809000000002</v>
      </c>
      <c r="O658" s="435">
        <v>97.432495000000003</v>
      </c>
      <c r="P658" s="561" t="s">
        <v>759</v>
      </c>
      <c r="Q658" s="71" t="s">
        <v>778</v>
      </c>
      <c r="R658" s="568"/>
      <c r="S658" s="568"/>
      <c r="T658" s="109"/>
      <c r="U658" s="570"/>
      <c r="V658" s="561" t="s">
        <v>265</v>
      </c>
      <c r="W658" s="429" t="s">
        <v>2187</v>
      </c>
    </row>
    <row r="659" spans="1:23" s="71" customFormat="1" ht="14.25" customHeight="1">
      <c r="A659" s="573" t="s">
        <v>37</v>
      </c>
      <c r="B659" s="572" t="s">
        <v>134</v>
      </c>
      <c r="C659" s="566" t="s">
        <v>1048</v>
      </c>
      <c r="D659" s="477" t="s">
        <v>2869</v>
      </c>
      <c r="E659" s="566" t="s">
        <v>1976</v>
      </c>
      <c r="F659" s="71" t="s">
        <v>1048</v>
      </c>
      <c r="G659" s="71" t="s">
        <v>1048</v>
      </c>
      <c r="H659" s="566"/>
      <c r="I659" s="566" t="s">
        <v>2140</v>
      </c>
      <c r="J659" s="71" t="s">
        <v>43</v>
      </c>
      <c r="K659" s="561" t="s">
        <v>43</v>
      </c>
      <c r="L659" s="566" t="s">
        <v>774</v>
      </c>
      <c r="M659" s="71" t="s">
        <v>44</v>
      </c>
      <c r="N659" s="71">
        <v>0</v>
      </c>
      <c r="O659" s="71">
        <v>0</v>
      </c>
      <c r="P659" s="17" t="s">
        <v>759</v>
      </c>
      <c r="Q659" s="71" t="s">
        <v>1946</v>
      </c>
      <c r="R659" s="568">
        <v>85</v>
      </c>
      <c r="S659" s="568">
        <v>455</v>
      </c>
      <c r="T659" s="109">
        <v>43276</v>
      </c>
      <c r="U659" s="574"/>
      <c r="V659" s="566"/>
      <c r="W659" s="561" t="s">
        <v>2188</v>
      </c>
    </row>
    <row r="660" spans="1:23" s="71" customFormat="1" ht="14.25" customHeight="1">
      <c r="A660" s="435" t="s">
        <v>37</v>
      </c>
      <c r="B660" s="566" t="s">
        <v>134</v>
      </c>
      <c r="C660" s="566" t="s">
        <v>135</v>
      </c>
      <c r="D660" s="477" t="s">
        <v>2869</v>
      </c>
      <c r="E660" s="435" t="s">
        <v>1626</v>
      </c>
      <c r="F660" s="561" t="s">
        <v>1807</v>
      </c>
      <c r="G660" s="435" t="s">
        <v>1808</v>
      </c>
      <c r="H660" s="435" t="s">
        <v>41</v>
      </c>
      <c r="I660" s="435" t="s">
        <v>2702</v>
      </c>
      <c r="J660" s="435" t="s">
        <v>43</v>
      </c>
      <c r="K660" s="566" t="s">
        <v>43</v>
      </c>
      <c r="L660" s="566" t="s">
        <v>43</v>
      </c>
      <c r="M660" s="435" t="s">
        <v>776</v>
      </c>
      <c r="N660" s="561">
        <v>0</v>
      </c>
      <c r="O660" s="561">
        <v>0</v>
      </c>
      <c r="P660" s="17" t="s">
        <v>759</v>
      </c>
      <c r="Q660" s="435" t="s">
        <v>800</v>
      </c>
      <c r="R660" s="438">
        <v>398</v>
      </c>
      <c r="S660" s="568">
        <v>1834</v>
      </c>
      <c r="T660" s="452">
        <v>42916</v>
      </c>
      <c r="U660" s="440" t="s">
        <v>1134</v>
      </c>
      <c r="V660" s="435"/>
      <c r="W660" s="429" t="s">
        <v>2289</v>
      </c>
    </row>
    <row r="661" spans="1:23" s="71" customFormat="1" ht="14.25" customHeight="1">
      <c r="A661" s="561" t="s">
        <v>37</v>
      </c>
      <c r="B661" s="566" t="s">
        <v>134</v>
      </c>
      <c r="C661" s="566" t="s">
        <v>174</v>
      </c>
      <c r="D661" s="477" t="s">
        <v>2869</v>
      </c>
      <c r="E661" s="71" t="s">
        <v>1570</v>
      </c>
      <c r="F661" s="566" t="s">
        <v>1833</v>
      </c>
      <c r="G661" s="71" t="s">
        <v>1834</v>
      </c>
      <c r="H661" s="71" t="s">
        <v>41</v>
      </c>
      <c r="I661" s="71" t="s">
        <v>2702</v>
      </c>
      <c r="J661" s="71" t="s">
        <v>43</v>
      </c>
      <c r="K661" s="71" t="s">
        <v>43</v>
      </c>
      <c r="L661" s="71" t="s">
        <v>43</v>
      </c>
      <c r="M661" s="71" t="s">
        <v>44</v>
      </c>
      <c r="N661" s="561">
        <v>25.418084</v>
      </c>
      <c r="O661" s="561">
        <v>98.025662999999994</v>
      </c>
      <c r="P661" s="71" t="s">
        <v>759</v>
      </c>
      <c r="Q661" s="71" t="s">
        <v>778</v>
      </c>
      <c r="R661" s="568">
        <v>183</v>
      </c>
      <c r="S661" s="568">
        <v>1041</v>
      </c>
      <c r="T661" s="109"/>
      <c r="U661" s="570"/>
      <c r="V661" s="71" t="s">
        <v>174</v>
      </c>
      <c r="W661" s="429" t="s">
        <v>2290</v>
      </c>
    </row>
    <row r="662" spans="1:23" s="71" customFormat="1" ht="14.25" customHeight="1">
      <c r="A662" s="561" t="s">
        <v>37</v>
      </c>
      <c r="B662" s="566" t="s">
        <v>134</v>
      </c>
      <c r="C662" s="566" t="s">
        <v>266</v>
      </c>
      <c r="D662" s="477" t="s">
        <v>2869</v>
      </c>
      <c r="E662" s="561" t="s">
        <v>1539</v>
      </c>
      <c r="F662" s="561" t="s">
        <v>1724</v>
      </c>
      <c r="G662" s="561" t="s">
        <v>1818</v>
      </c>
      <c r="H662" s="71" t="s">
        <v>41</v>
      </c>
      <c r="I662" s="71" t="s">
        <v>234</v>
      </c>
      <c r="J662" s="71" t="s">
        <v>43</v>
      </c>
      <c r="K662" s="561" t="s">
        <v>43</v>
      </c>
      <c r="L662" s="561" t="s">
        <v>43</v>
      </c>
      <c r="M662" s="71" t="s">
        <v>44</v>
      </c>
      <c r="N662" s="71">
        <v>25.333683333333301</v>
      </c>
      <c r="O662" s="71">
        <v>97.428251153846105</v>
      </c>
      <c r="P662" s="561" t="s">
        <v>759</v>
      </c>
      <c r="Q662" s="71" t="s">
        <v>778</v>
      </c>
      <c r="R662" s="568">
        <v>46</v>
      </c>
      <c r="S662" s="568">
        <v>190</v>
      </c>
      <c r="T662" s="109"/>
      <c r="U662" s="570"/>
      <c r="V662" s="561" t="s">
        <v>266</v>
      </c>
      <c r="W662" s="561"/>
    </row>
    <row r="663" spans="1:23" s="71" customFormat="1" ht="14.25" customHeight="1">
      <c r="A663" s="573" t="s">
        <v>37</v>
      </c>
      <c r="B663" s="572" t="s">
        <v>134</v>
      </c>
      <c r="C663" s="566" t="s">
        <v>2132</v>
      </c>
      <c r="D663" s="477" t="s">
        <v>2869</v>
      </c>
      <c r="E663" s="566" t="s">
        <v>1973</v>
      </c>
      <c r="F663" s="566"/>
      <c r="G663" s="566"/>
      <c r="H663" s="435" t="s">
        <v>41</v>
      </c>
      <c r="I663" s="435" t="s">
        <v>2702</v>
      </c>
      <c r="J663" s="435" t="s">
        <v>43</v>
      </c>
      <c r="K663" s="435" t="s">
        <v>43</v>
      </c>
      <c r="L663" s="435" t="s">
        <v>43</v>
      </c>
      <c r="M663" s="71" t="s">
        <v>44</v>
      </c>
      <c r="N663" s="435">
        <v>0</v>
      </c>
      <c r="O663" s="71">
        <v>0</v>
      </c>
      <c r="P663" s="566" t="s">
        <v>759</v>
      </c>
      <c r="Q663" s="435" t="s">
        <v>1946</v>
      </c>
      <c r="R663" s="438">
        <v>79</v>
      </c>
      <c r="S663" s="568">
        <v>350</v>
      </c>
      <c r="T663" s="452">
        <v>43276</v>
      </c>
      <c r="U663" s="574" t="s">
        <v>1996</v>
      </c>
      <c r="V663" s="566"/>
      <c r="W663" s="429" t="s">
        <v>2291</v>
      </c>
    </row>
    <row r="664" spans="1:23" s="71" customFormat="1" ht="14.25" customHeight="1">
      <c r="A664" s="435" t="s">
        <v>37</v>
      </c>
      <c r="B664" s="566" t="s">
        <v>134</v>
      </c>
      <c r="C664" s="566" t="s">
        <v>267</v>
      </c>
      <c r="D664" s="477" t="s">
        <v>2869</v>
      </c>
      <c r="E664" s="435" t="s">
        <v>1543</v>
      </c>
      <c r="F664" s="435" t="s">
        <v>1724</v>
      </c>
      <c r="G664" s="435" t="s">
        <v>1772</v>
      </c>
      <c r="H664" s="435" t="s">
        <v>41</v>
      </c>
      <c r="I664" s="435" t="s">
        <v>234</v>
      </c>
      <c r="J664" s="435" t="s">
        <v>43</v>
      </c>
      <c r="K664" s="435" t="s">
        <v>43</v>
      </c>
      <c r="L664" s="435" t="s">
        <v>43</v>
      </c>
      <c r="M664" s="71" t="s">
        <v>44</v>
      </c>
      <c r="N664" s="435">
        <v>25.351250396825399</v>
      </c>
      <c r="O664" s="71">
        <v>97.444283730158702</v>
      </c>
      <c r="P664" s="71" t="s">
        <v>759</v>
      </c>
      <c r="Q664" s="435" t="s">
        <v>778</v>
      </c>
      <c r="R664" s="438">
        <v>67</v>
      </c>
      <c r="S664" s="568">
        <v>283</v>
      </c>
      <c r="T664" s="452"/>
      <c r="U664" s="440"/>
      <c r="V664" s="71" t="s">
        <v>267</v>
      </c>
      <c r="W664" s="561"/>
    </row>
    <row r="665" spans="1:23" s="71" customFormat="1" ht="14.25" customHeight="1">
      <c r="A665" s="561" t="s">
        <v>37</v>
      </c>
      <c r="B665" s="566" t="s">
        <v>134</v>
      </c>
      <c r="C665" s="566" t="s">
        <v>1043</v>
      </c>
      <c r="D665" s="477" t="s">
        <v>1665</v>
      </c>
      <c r="E665" s="561" t="s">
        <v>1547</v>
      </c>
      <c r="F665" s="561" t="s">
        <v>1724</v>
      </c>
      <c r="G665" s="561" t="s">
        <v>1714</v>
      </c>
      <c r="H665" s="561" t="s">
        <v>41</v>
      </c>
      <c r="I665" s="561" t="s">
        <v>133</v>
      </c>
      <c r="J665" s="71" t="s">
        <v>43</v>
      </c>
      <c r="K665" s="71" t="s">
        <v>43</v>
      </c>
      <c r="L665" s="435" t="s">
        <v>758</v>
      </c>
      <c r="M665" s="71" t="s">
        <v>44</v>
      </c>
      <c r="N665" s="561">
        <v>25.355841999999999</v>
      </c>
      <c r="O665" s="561">
        <v>97.438259000000002</v>
      </c>
      <c r="P665" s="71" t="s">
        <v>759</v>
      </c>
      <c r="Q665" s="71" t="s">
        <v>778</v>
      </c>
      <c r="R665" s="568"/>
      <c r="S665" s="569"/>
      <c r="T665" s="109"/>
      <c r="U665" s="570" t="s">
        <v>1044</v>
      </c>
      <c r="V665" s="561" t="s">
        <v>1043</v>
      </c>
      <c r="W665" s="429" t="s">
        <v>2189</v>
      </c>
    </row>
    <row r="666" spans="1:23" s="71" customFormat="1" ht="14.25" customHeight="1">
      <c r="A666" s="573" t="s">
        <v>37</v>
      </c>
      <c r="B666" s="572" t="s">
        <v>134</v>
      </c>
      <c r="C666" s="566" t="s">
        <v>1956</v>
      </c>
      <c r="D666" s="478"/>
      <c r="E666" s="566"/>
      <c r="F666" s="566"/>
      <c r="G666" s="566"/>
      <c r="H666" s="566"/>
      <c r="I666" s="566"/>
      <c r="J666" s="71" t="s">
        <v>1463</v>
      </c>
      <c r="K666" s="71" t="s">
        <v>43</v>
      </c>
      <c r="L666" s="71" t="s">
        <v>43</v>
      </c>
      <c r="M666" s="71" t="s">
        <v>44</v>
      </c>
      <c r="N666" s="566"/>
      <c r="O666" s="566"/>
      <c r="P666" s="561" t="s">
        <v>759</v>
      </c>
      <c r="Q666" s="71" t="s">
        <v>1946</v>
      </c>
      <c r="R666" s="577"/>
      <c r="S666" s="573"/>
      <c r="T666" s="109">
        <v>43270</v>
      </c>
      <c r="U666" s="574"/>
      <c r="V666" s="566"/>
      <c r="W666" s="561"/>
    </row>
    <row r="667" spans="1:23" s="71" customFormat="1" ht="14.25" customHeight="1">
      <c r="A667" s="435" t="s">
        <v>37</v>
      </c>
      <c r="B667" s="566" t="s">
        <v>134</v>
      </c>
      <c r="C667" s="566" t="s">
        <v>213</v>
      </c>
      <c r="D667" s="477" t="s">
        <v>2869</v>
      </c>
      <c r="E667" s="71" t="s">
        <v>1517</v>
      </c>
      <c r="F667" s="71" t="s">
        <v>1717</v>
      </c>
      <c r="G667" s="71" t="s">
        <v>1717</v>
      </c>
      <c r="H667" s="71" t="s">
        <v>41</v>
      </c>
      <c r="I667" s="71" t="s">
        <v>1328</v>
      </c>
      <c r="J667" s="71" t="s">
        <v>43</v>
      </c>
      <c r="K667" s="71" t="s">
        <v>43</v>
      </c>
      <c r="L667" s="71" t="s">
        <v>43</v>
      </c>
      <c r="M667" s="71" t="s">
        <v>776</v>
      </c>
      <c r="N667" s="71">
        <v>24.755253</v>
      </c>
      <c r="O667" s="71">
        <v>97.546893999999995</v>
      </c>
      <c r="P667" s="71" t="s">
        <v>759</v>
      </c>
      <c r="Q667" s="71" t="s">
        <v>778</v>
      </c>
      <c r="R667" s="438">
        <v>1403</v>
      </c>
      <c r="S667" s="568">
        <v>7165</v>
      </c>
      <c r="T667" s="109"/>
      <c r="U667" s="105"/>
      <c r="V667" s="71" t="s">
        <v>213</v>
      </c>
      <c r="W667" s="429" t="s">
        <v>2292</v>
      </c>
    </row>
    <row r="668" spans="1:23" s="71" customFormat="1" ht="14.25" customHeight="1">
      <c r="A668" s="435" t="s">
        <v>37</v>
      </c>
      <c r="B668" s="436" t="s">
        <v>134</v>
      </c>
      <c r="C668" s="436" t="s">
        <v>215</v>
      </c>
      <c r="D668" s="477" t="s">
        <v>1664</v>
      </c>
      <c r="J668" s="71" t="s">
        <v>1463</v>
      </c>
      <c r="K668" s="71" t="s">
        <v>43</v>
      </c>
      <c r="L668" s="71" t="s">
        <v>1149</v>
      </c>
      <c r="M668" s="71" t="s">
        <v>776</v>
      </c>
      <c r="P668" s="71" t="s">
        <v>759</v>
      </c>
      <c r="Q668" s="71" t="s">
        <v>778</v>
      </c>
      <c r="R668" s="103"/>
      <c r="S668" s="104"/>
      <c r="T668" s="109"/>
      <c r="U668" s="105" t="s">
        <v>1093</v>
      </c>
    </row>
    <row r="669" spans="1:23" s="71" customFormat="1" ht="14.25" customHeight="1">
      <c r="A669" s="435" t="s">
        <v>37</v>
      </c>
      <c r="B669" s="566" t="s">
        <v>134</v>
      </c>
      <c r="C669" s="566" t="s">
        <v>214</v>
      </c>
      <c r="D669" s="477" t="s">
        <v>1664</v>
      </c>
      <c r="J669" s="71" t="s">
        <v>1463</v>
      </c>
      <c r="K669" s="71" t="s">
        <v>43</v>
      </c>
      <c r="L669" s="71" t="s">
        <v>770</v>
      </c>
      <c r="M669" s="71" t="s">
        <v>776</v>
      </c>
      <c r="P669" s="71" t="s">
        <v>771</v>
      </c>
      <c r="Q669" s="71" t="s">
        <v>778</v>
      </c>
      <c r="R669" s="438"/>
      <c r="S669" s="104"/>
      <c r="T669" s="109"/>
      <c r="U669" s="105" t="s">
        <v>1093</v>
      </c>
      <c r="W669" s="561"/>
    </row>
    <row r="670" spans="1:23" s="71" customFormat="1" ht="14.25" customHeight="1">
      <c r="A670" s="435" t="s">
        <v>37</v>
      </c>
      <c r="B670" s="566" t="s">
        <v>134</v>
      </c>
      <c r="C670" s="566" t="s">
        <v>1035</v>
      </c>
      <c r="D670" s="477" t="s">
        <v>1665</v>
      </c>
      <c r="E670" s="71" t="s">
        <v>1526</v>
      </c>
      <c r="F670" s="71" t="s">
        <v>1721</v>
      </c>
      <c r="G670" s="71" t="s">
        <v>1722</v>
      </c>
      <c r="H670" s="71" t="s">
        <v>41</v>
      </c>
      <c r="I670" s="71" t="s">
        <v>133</v>
      </c>
      <c r="J670" s="71" t="s">
        <v>43</v>
      </c>
      <c r="K670" s="71" t="s">
        <v>43</v>
      </c>
      <c r="L670" s="71" t="s">
        <v>758</v>
      </c>
      <c r="M670" s="71" t="s">
        <v>776</v>
      </c>
      <c r="N670" s="71">
        <v>25.106670000000001</v>
      </c>
      <c r="O670" s="71">
        <v>97.756789999999995</v>
      </c>
      <c r="P670" s="71" t="s">
        <v>759</v>
      </c>
      <c r="Q670" s="71" t="s">
        <v>778</v>
      </c>
      <c r="R670" s="438"/>
      <c r="S670" s="104"/>
      <c r="T670" s="109"/>
      <c r="U670" s="105" t="s">
        <v>1030</v>
      </c>
      <c r="V670" s="71" t="s">
        <v>1036</v>
      </c>
      <c r="W670" s="429" t="s">
        <v>2190</v>
      </c>
    </row>
    <row r="671" spans="1:23" s="71" customFormat="1" ht="14.25" customHeight="1">
      <c r="A671" s="561" t="s">
        <v>2686</v>
      </c>
      <c r="B671" s="561" t="s">
        <v>321</v>
      </c>
      <c r="C671" s="561" t="s">
        <v>2573</v>
      </c>
      <c r="D671" s="477"/>
      <c r="E671" s="561"/>
      <c r="F671" s="561"/>
      <c r="G671" s="561"/>
      <c r="H671" s="561"/>
      <c r="I671" s="561"/>
      <c r="J671" s="71" t="s">
        <v>2692</v>
      </c>
      <c r="K671" s="71" t="s">
        <v>2658</v>
      </c>
      <c r="L671" s="71" t="s">
        <v>2658</v>
      </c>
      <c r="M671" s="561"/>
      <c r="N671" s="561"/>
      <c r="O671" s="561"/>
      <c r="P671" s="561" t="s">
        <v>1989</v>
      </c>
      <c r="Q671" s="561"/>
      <c r="R671" s="568"/>
      <c r="S671" s="569"/>
      <c r="T671" s="588"/>
      <c r="U671" s="570"/>
      <c r="V671" s="561"/>
      <c r="W671" s="561"/>
    </row>
    <row r="672" spans="1:23" s="71" customFormat="1" ht="14.25" customHeight="1">
      <c r="A672" s="489" t="s">
        <v>2686</v>
      </c>
      <c r="B672" s="511" t="s">
        <v>321</v>
      </c>
      <c r="C672" s="515" t="s">
        <v>2716</v>
      </c>
      <c r="D672" s="567"/>
      <c r="E672" s="491">
        <v>198334</v>
      </c>
      <c r="F672" s="491" t="s">
        <v>2716</v>
      </c>
      <c r="G672" s="491"/>
      <c r="H672" s="491"/>
      <c r="I672" s="491"/>
      <c r="J672" s="71" t="s">
        <v>796</v>
      </c>
      <c r="K672" s="71" t="s">
        <v>796</v>
      </c>
      <c r="L672" s="71" t="s">
        <v>796</v>
      </c>
      <c r="M672" s="491"/>
      <c r="N672" s="491">
        <v>20.825700759887699</v>
      </c>
      <c r="O672" s="491">
        <v>92.542686462402301</v>
      </c>
      <c r="P672" s="561" t="s">
        <v>797</v>
      </c>
      <c r="Q672" s="491" t="s">
        <v>2663</v>
      </c>
      <c r="R672" s="492"/>
      <c r="S672" s="489"/>
      <c r="T672" s="493">
        <v>43580</v>
      </c>
      <c r="U672" s="494" t="s">
        <v>2713</v>
      </c>
      <c r="V672" s="495"/>
      <c r="W672" s="568"/>
    </row>
    <row r="673" spans="1:23" s="71" customFormat="1" ht="14.25" customHeight="1">
      <c r="A673" s="561" t="s">
        <v>2686</v>
      </c>
      <c r="B673" s="566" t="s">
        <v>321</v>
      </c>
      <c r="C673" s="566" t="s">
        <v>629</v>
      </c>
      <c r="D673" s="477" t="s">
        <v>1664</v>
      </c>
      <c r="E673" s="561">
        <v>198334</v>
      </c>
      <c r="F673" s="561"/>
      <c r="G673" s="561"/>
      <c r="H673" s="561"/>
      <c r="I673" s="561"/>
      <c r="J673" s="71" t="s">
        <v>2692</v>
      </c>
      <c r="K673" s="71" t="s">
        <v>2658</v>
      </c>
      <c r="L673" s="71" t="s">
        <v>2658</v>
      </c>
      <c r="M673" s="561" t="s">
        <v>793</v>
      </c>
      <c r="N673" s="561">
        <v>20.82570076</v>
      </c>
      <c r="O673" s="561">
        <v>92.542686459999999</v>
      </c>
      <c r="P673" s="561" t="s">
        <v>1989</v>
      </c>
      <c r="Q673" s="561" t="s">
        <v>778</v>
      </c>
      <c r="R673" s="568"/>
      <c r="S673" s="569"/>
      <c r="T673" s="588"/>
      <c r="U673" s="570"/>
      <c r="V673" s="561" t="s">
        <v>629</v>
      </c>
      <c r="W673" s="561"/>
    </row>
    <row r="674" spans="1:23" s="71" customFormat="1" ht="14.25" customHeight="1">
      <c r="A674" s="435" t="s">
        <v>2686</v>
      </c>
      <c r="B674" s="566" t="s">
        <v>321</v>
      </c>
      <c r="C674" s="573" t="s">
        <v>2543</v>
      </c>
      <c r="D674" s="567"/>
      <c r="E674" s="435">
        <v>198349</v>
      </c>
      <c r="F674" s="491" t="s">
        <v>2543</v>
      </c>
      <c r="G674" s="435"/>
      <c r="H674" s="435"/>
      <c r="I674" s="435"/>
      <c r="J674" s="435" t="s">
        <v>796</v>
      </c>
      <c r="K674" s="435" t="s">
        <v>796</v>
      </c>
      <c r="L674" s="435" t="s">
        <v>796</v>
      </c>
      <c r="M674" s="194" t="s">
        <v>793</v>
      </c>
      <c r="N674" s="435">
        <v>20.819919586181602</v>
      </c>
      <c r="O674" s="435">
        <v>92.589729309082003</v>
      </c>
      <c r="P674" s="435" t="s">
        <v>797</v>
      </c>
      <c r="Q674" s="435" t="s">
        <v>3026</v>
      </c>
      <c r="R674" s="576"/>
      <c r="S674" s="439"/>
      <c r="T674" s="452">
        <v>43769</v>
      </c>
      <c r="U674" s="576"/>
      <c r="V674" s="435"/>
      <c r="W674" s="568"/>
    </row>
    <row r="675" spans="1:23" s="71" customFormat="1" ht="14.25" customHeight="1">
      <c r="A675" s="561" t="s">
        <v>2686</v>
      </c>
      <c r="B675" s="561" t="s">
        <v>321</v>
      </c>
      <c r="C675" s="561" t="s">
        <v>542</v>
      </c>
      <c r="D675" s="477" t="s">
        <v>1664</v>
      </c>
      <c r="E675" s="71">
        <v>198443</v>
      </c>
      <c r="J675" s="71" t="s">
        <v>796</v>
      </c>
      <c r="K675" s="71" t="s">
        <v>796</v>
      </c>
      <c r="L675" s="71" t="s">
        <v>796</v>
      </c>
      <c r="M675" s="71" t="s">
        <v>793</v>
      </c>
      <c r="N675" s="71">
        <v>20.686819079999999</v>
      </c>
      <c r="O675" s="71">
        <v>92.57855988</v>
      </c>
      <c r="P675" s="71" t="s">
        <v>797</v>
      </c>
      <c r="Q675" s="71" t="s">
        <v>778</v>
      </c>
      <c r="R675" s="568"/>
      <c r="S675" s="104"/>
      <c r="T675" s="109"/>
      <c r="U675" s="570"/>
      <c r="V675" s="71" t="s">
        <v>542</v>
      </c>
      <c r="W675" s="561"/>
    </row>
    <row r="676" spans="1:23" s="71" customFormat="1" ht="14.25" customHeight="1">
      <c r="A676" s="561" t="s">
        <v>2686</v>
      </c>
      <c r="B676" s="561" t="s">
        <v>321</v>
      </c>
      <c r="C676" s="561" t="s">
        <v>2729</v>
      </c>
      <c r="D676" s="477" t="s">
        <v>1664</v>
      </c>
      <c r="E676" s="71">
        <v>198185</v>
      </c>
      <c r="J676" s="71" t="s">
        <v>796</v>
      </c>
      <c r="K676" s="71" t="s">
        <v>796</v>
      </c>
      <c r="L676" s="71" t="s">
        <v>796</v>
      </c>
      <c r="M676" s="71" t="s">
        <v>793</v>
      </c>
      <c r="N676" s="561">
        <v>20.961650850000002</v>
      </c>
      <c r="O676" s="561">
        <v>92.502937320000001</v>
      </c>
      <c r="P676" s="71" t="s">
        <v>797</v>
      </c>
      <c r="Q676" s="71" t="s">
        <v>778</v>
      </c>
      <c r="R676" s="568"/>
      <c r="S676" s="104"/>
      <c r="T676" s="109"/>
      <c r="U676" s="570"/>
      <c r="V676" s="71" t="s">
        <v>663</v>
      </c>
      <c r="W676" s="561"/>
    </row>
    <row r="677" spans="1:23" s="71" customFormat="1" ht="14.25" customHeight="1">
      <c r="A677" s="569" t="s">
        <v>2686</v>
      </c>
      <c r="B677" s="572" t="s">
        <v>321</v>
      </c>
      <c r="C677" s="573" t="s">
        <v>2866</v>
      </c>
      <c r="D677" s="567"/>
      <c r="E677" s="71">
        <v>198357</v>
      </c>
      <c r="J677" s="71" t="s">
        <v>796</v>
      </c>
      <c r="K677" s="71" t="s">
        <v>796</v>
      </c>
      <c r="L677" s="71" t="s">
        <v>796</v>
      </c>
      <c r="N677" s="561">
        <v>20.813840866088899</v>
      </c>
      <c r="O677" s="561">
        <v>92.599952697753906</v>
      </c>
      <c r="P677" s="71" t="s">
        <v>797</v>
      </c>
      <c r="R677" s="576"/>
      <c r="S677" s="104"/>
      <c r="T677" s="109"/>
      <c r="U677" s="576"/>
      <c r="W677" s="568"/>
    </row>
    <row r="678" spans="1:23" s="71" customFormat="1" ht="14.25" customHeight="1">
      <c r="A678" s="435" t="s">
        <v>2686</v>
      </c>
      <c r="B678" s="566" t="s">
        <v>321</v>
      </c>
      <c r="C678" s="566" t="s">
        <v>581</v>
      </c>
      <c r="D678" s="477" t="s">
        <v>1664</v>
      </c>
      <c r="E678" s="71">
        <v>198427</v>
      </c>
      <c r="J678" s="71" t="s">
        <v>796</v>
      </c>
      <c r="K678" s="435" t="s">
        <v>796</v>
      </c>
      <c r="L678" s="435" t="s">
        <v>796</v>
      </c>
      <c r="M678" s="71" t="s">
        <v>887</v>
      </c>
      <c r="N678" s="580">
        <v>20.742059709999999</v>
      </c>
      <c r="O678" s="580">
        <v>92.630676269999995</v>
      </c>
      <c r="P678" s="71" t="s">
        <v>797</v>
      </c>
      <c r="Q678" s="71" t="s">
        <v>778</v>
      </c>
      <c r="R678" s="438"/>
      <c r="S678" s="439"/>
      <c r="T678" s="109"/>
      <c r="U678" s="105"/>
      <c r="V678" s="71" t="s">
        <v>581</v>
      </c>
      <c r="W678" s="435"/>
    </row>
    <row r="679" spans="1:23" s="71" customFormat="1" ht="14.25" customHeight="1">
      <c r="A679" s="561" t="s">
        <v>2686</v>
      </c>
      <c r="B679" s="566" t="s">
        <v>321</v>
      </c>
      <c r="C679" s="566" t="s">
        <v>2550</v>
      </c>
      <c r="D679" s="477"/>
      <c r="E679" s="561">
        <v>198427</v>
      </c>
      <c r="F679" s="561" t="s">
        <v>2666</v>
      </c>
      <c r="G679" s="561"/>
      <c r="H679" s="561"/>
      <c r="I679" s="561"/>
      <c r="J679" s="71" t="s">
        <v>796</v>
      </c>
      <c r="K679" s="71" t="s">
        <v>796</v>
      </c>
      <c r="L679" s="71" t="s">
        <v>796</v>
      </c>
      <c r="M679" s="561" t="s">
        <v>793</v>
      </c>
      <c r="N679" s="561"/>
      <c r="O679" s="561"/>
      <c r="P679" s="561" t="s">
        <v>797</v>
      </c>
      <c r="Q679" s="561" t="s">
        <v>2663</v>
      </c>
      <c r="R679" s="568"/>
      <c r="S679" s="569"/>
      <c r="T679" s="588"/>
      <c r="U679" s="570"/>
      <c r="V679" s="561"/>
      <c r="W679" s="561"/>
    </row>
    <row r="680" spans="1:23" s="71" customFormat="1" ht="14.25" customHeight="1">
      <c r="A680" s="561" t="s">
        <v>2686</v>
      </c>
      <c r="B680" s="561" t="s">
        <v>321</v>
      </c>
      <c r="C680" s="561" t="s">
        <v>2549</v>
      </c>
      <c r="D680" s="477"/>
      <c r="E680" s="561">
        <v>198426</v>
      </c>
      <c r="F680" s="561" t="s">
        <v>2666</v>
      </c>
      <c r="G680" s="561"/>
      <c r="H680" s="561"/>
      <c r="I680" s="561"/>
      <c r="J680" s="435" t="s">
        <v>796</v>
      </c>
      <c r="K680" s="435" t="s">
        <v>796</v>
      </c>
      <c r="L680" s="435" t="s">
        <v>796</v>
      </c>
      <c r="M680" s="561" t="s">
        <v>296</v>
      </c>
      <c r="N680" s="561"/>
      <c r="O680" s="561"/>
      <c r="P680" s="561" t="s">
        <v>797</v>
      </c>
      <c r="Q680" s="561" t="s">
        <v>2663</v>
      </c>
      <c r="R680" s="568"/>
      <c r="S680" s="569"/>
      <c r="T680" s="588"/>
      <c r="U680" s="570"/>
      <c r="V680" s="561"/>
      <c r="W680" s="561"/>
    </row>
    <row r="681" spans="1:23" s="71" customFormat="1" ht="14.25" customHeight="1">
      <c r="A681" s="572" t="s">
        <v>2686</v>
      </c>
      <c r="B681" s="572" t="s">
        <v>321</v>
      </c>
      <c r="C681" s="573" t="s">
        <v>2835</v>
      </c>
      <c r="D681" s="567"/>
      <c r="E681" s="435">
        <v>198415</v>
      </c>
      <c r="F681" s="435"/>
      <c r="G681" s="435"/>
      <c r="H681" s="435"/>
      <c r="I681" s="435"/>
      <c r="J681" s="435" t="s">
        <v>2692</v>
      </c>
      <c r="K681" s="435" t="s">
        <v>2658</v>
      </c>
      <c r="L681" s="435" t="s">
        <v>2658</v>
      </c>
      <c r="M681" s="435"/>
      <c r="N681" s="561">
        <v>20.734859466552699</v>
      </c>
      <c r="O681" s="561">
        <v>92.657089233398395</v>
      </c>
      <c r="P681" s="561"/>
      <c r="Q681" s="435"/>
      <c r="R681" s="576"/>
      <c r="S681" s="439"/>
      <c r="T681" s="452">
        <v>43591</v>
      </c>
      <c r="U681" s="576"/>
      <c r="V681" s="435"/>
      <c r="W681" s="568"/>
    </row>
    <row r="682" spans="1:23" s="71" customFormat="1" ht="14.25" customHeight="1">
      <c r="A682" s="561" t="s">
        <v>2686</v>
      </c>
      <c r="B682" s="561" t="s">
        <v>321</v>
      </c>
      <c r="C682" s="561" t="s">
        <v>603</v>
      </c>
      <c r="D682" s="477" t="s">
        <v>1664</v>
      </c>
      <c r="E682" s="561">
        <v>198367</v>
      </c>
      <c r="F682" s="435"/>
      <c r="G682" s="435"/>
      <c r="H682" s="435"/>
      <c r="I682" s="435"/>
      <c r="J682" s="435" t="s">
        <v>796</v>
      </c>
      <c r="K682" s="435" t="s">
        <v>796</v>
      </c>
      <c r="L682" s="435" t="s">
        <v>796</v>
      </c>
      <c r="M682" s="435" t="s">
        <v>793</v>
      </c>
      <c r="N682" s="561">
        <v>20.792390820000001</v>
      </c>
      <c r="O682" s="561">
        <v>92.587081909999995</v>
      </c>
      <c r="P682" s="435" t="s">
        <v>797</v>
      </c>
      <c r="Q682" s="435" t="s">
        <v>778</v>
      </c>
      <c r="R682" s="568"/>
      <c r="S682" s="439"/>
      <c r="T682" s="452"/>
      <c r="U682" s="570"/>
      <c r="V682" s="435" t="s">
        <v>603</v>
      </c>
      <c r="W682" s="561"/>
    </row>
    <row r="683" spans="1:23" s="71" customFormat="1" ht="14.25" customHeight="1">
      <c r="A683" s="561" t="s">
        <v>2686</v>
      </c>
      <c r="B683" s="561" t="s">
        <v>321</v>
      </c>
      <c r="C683" s="561" t="s">
        <v>3058</v>
      </c>
      <c r="D683" s="477"/>
      <c r="E683" s="561">
        <v>198290</v>
      </c>
      <c r="H683" s="435"/>
      <c r="J683" s="71" t="s">
        <v>796</v>
      </c>
      <c r="K683" s="71" t="s">
        <v>796</v>
      </c>
      <c r="L683" s="71" t="s">
        <v>796</v>
      </c>
      <c r="M683" s="71" t="s">
        <v>296</v>
      </c>
      <c r="N683" s="71">
        <v>20.864589691162099</v>
      </c>
      <c r="O683" s="71">
        <v>92.575378417968807</v>
      </c>
      <c r="P683" s="71" t="s">
        <v>797</v>
      </c>
      <c r="Q683" s="435" t="s">
        <v>3026</v>
      </c>
      <c r="R683" s="568"/>
      <c r="S683" s="439"/>
      <c r="T683" s="452">
        <v>43768</v>
      </c>
      <c r="U683" s="570"/>
      <c r="V683" s="561"/>
      <c r="W683" s="561"/>
    </row>
    <row r="684" spans="1:23" s="71" customFormat="1" ht="14.25" customHeight="1">
      <c r="A684" s="435" t="s">
        <v>2686</v>
      </c>
      <c r="B684" s="566" t="s">
        <v>321</v>
      </c>
      <c r="C684" s="573" t="s">
        <v>3080</v>
      </c>
      <c r="D684" s="567"/>
      <c r="E684" s="71">
        <v>198223</v>
      </c>
      <c r="J684" s="71" t="s">
        <v>796</v>
      </c>
      <c r="K684" s="71" t="s">
        <v>796</v>
      </c>
      <c r="L684" s="71" t="s">
        <v>796</v>
      </c>
      <c r="N684" s="71">
        <v>20.9363498687744</v>
      </c>
      <c r="O684" s="71">
        <v>92.5257568359375</v>
      </c>
      <c r="P684" s="71" t="s">
        <v>797</v>
      </c>
      <c r="Q684" s="71" t="s">
        <v>3026</v>
      </c>
      <c r="R684" s="576"/>
      <c r="S684" s="104"/>
      <c r="T684" s="109">
        <v>43769</v>
      </c>
      <c r="U684" s="576"/>
      <c r="V684" s="561"/>
      <c r="W684" s="568"/>
    </row>
    <row r="685" spans="1:23" s="561" customFormat="1" ht="14.25" customHeight="1">
      <c r="A685" s="561" t="s">
        <v>2686</v>
      </c>
      <c r="B685" s="561" t="s">
        <v>321</v>
      </c>
      <c r="C685" s="561" t="s">
        <v>650</v>
      </c>
      <c r="D685" s="477" t="s">
        <v>1664</v>
      </c>
      <c r="E685" s="561">
        <v>198317</v>
      </c>
      <c r="J685" s="561" t="s">
        <v>796</v>
      </c>
      <c r="K685" s="561" t="s">
        <v>796</v>
      </c>
      <c r="L685" s="561" t="s">
        <v>796</v>
      </c>
      <c r="M685" s="561" t="s">
        <v>793</v>
      </c>
      <c r="N685" s="580">
        <v>20.891330719999999</v>
      </c>
      <c r="O685" s="580">
        <v>92.491966250000004</v>
      </c>
      <c r="P685" s="561" t="s">
        <v>797</v>
      </c>
      <c r="Q685" s="561" t="s">
        <v>778</v>
      </c>
      <c r="R685" s="568"/>
      <c r="S685" s="569"/>
      <c r="T685" s="588"/>
      <c r="U685" s="570"/>
      <c r="V685" s="561" t="s">
        <v>650</v>
      </c>
    </row>
    <row r="686" spans="1:23" s="561" customFormat="1" ht="14.25" customHeight="1">
      <c r="A686" s="572" t="s">
        <v>2686</v>
      </c>
      <c r="B686" s="572" t="s">
        <v>321</v>
      </c>
      <c r="C686" s="573" t="s">
        <v>619</v>
      </c>
      <c r="D686" s="567"/>
      <c r="E686" s="561">
        <v>217876</v>
      </c>
      <c r="J686" s="561" t="s">
        <v>796</v>
      </c>
      <c r="K686" s="561" t="s">
        <v>796</v>
      </c>
      <c r="L686" s="561" t="s">
        <v>796</v>
      </c>
      <c r="M686" s="561" t="s">
        <v>296</v>
      </c>
      <c r="N686" s="561">
        <v>20.818290709999999</v>
      </c>
      <c r="O686" s="561">
        <v>92.594978330000004</v>
      </c>
      <c r="P686" s="561" t="s">
        <v>797</v>
      </c>
      <c r="R686" s="576"/>
      <c r="S686" s="569"/>
      <c r="T686" s="588">
        <v>43591</v>
      </c>
      <c r="U686" s="576"/>
      <c r="W686" s="568"/>
    </row>
    <row r="687" spans="1:23" s="561" customFormat="1" ht="14.25" customHeight="1">
      <c r="A687" s="561" t="s">
        <v>2686</v>
      </c>
      <c r="B687" s="561" t="s">
        <v>321</v>
      </c>
      <c r="C687" s="561" t="s">
        <v>322</v>
      </c>
      <c r="D687" s="477" t="s">
        <v>1664</v>
      </c>
      <c r="J687" s="561" t="s">
        <v>802</v>
      </c>
      <c r="K687" s="561" t="s">
        <v>796</v>
      </c>
      <c r="L687" s="561" t="s">
        <v>802</v>
      </c>
      <c r="M687" s="561" t="s">
        <v>793</v>
      </c>
      <c r="P687" s="561" t="s">
        <v>921</v>
      </c>
      <c r="Q687" s="561" t="s">
        <v>800</v>
      </c>
      <c r="R687" s="568"/>
      <c r="S687" s="569"/>
      <c r="T687" s="588">
        <v>42926</v>
      </c>
      <c r="U687" s="570" t="s">
        <v>931</v>
      </c>
    </row>
    <row r="688" spans="1:23" s="561" customFormat="1" ht="14.25" customHeight="1">
      <c r="A688" s="561" t="s">
        <v>2686</v>
      </c>
      <c r="B688" s="561" t="s">
        <v>321</v>
      </c>
      <c r="C688" s="561" t="s">
        <v>540</v>
      </c>
      <c r="D688" s="477"/>
      <c r="E688" s="561">
        <v>220754</v>
      </c>
      <c r="J688" s="561" t="s">
        <v>796</v>
      </c>
      <c r="K688" s="561" t="s">
        <v>796</v>
      </c>
      <c r="L688" s="561" t="s">
        <v>796</v>
      </c>
      <c r="N688" s="561">
        <v>20.685689929999999</v>
      </c>
      <c r="O688" s="561">
        <v>92.572860719999994</v>
      </c>
      <c r="P688" s="561" t="s">
        <v>797</v>
      </c>
      <c r="Q688" s="561" t="s">
        <v>3026</v>
      </c>
      <c r="R688" s="568"/>
      <c r="S688" s="569"/>
      <c r="T688" s="588">
        <v>43768</v>
      </c>
      <c r="U688" s="570"/>
    </row>
    <row r="689" spans="1:23" s="71" customFormat="1" ht="14.25" customHeight="1">
      <c r="A689" s="435" t="s">
        <v>2686</v>
      </c>
      <c r="B689" s="561" t="s">
        <v>321</v>
      </c>
      <c r="C689" s="561" t="s">
        <v>569</v>
      </c>
      <c r="D689" s="477" t="s">
        <v>1664</v>
      </c>
      <c r="E689" s="71">
        <v>198429</v>
      </c>
      <c r="F689" s="561"/>
      <c r="J689" s="71" t="s">
        <v>796</v>
      </c>
      <c r="K689" s="71" t="s">
        <v>796</v>
      </c>
      <c r="L689" s="71" t="s">
        <v>796</v>
      </c>
      <c r="M689" s="71" t="s">
        <v>793</v>
      </c>
      <c r="N689" s="71">
        <v>20.721019739999999</v>
      </c>
      <c r="O689" s="71">
        <v>92.626197809999994</v>
      </c>
      <c r="P689" s="71" t="s">
        <v>797</v>
      </c>
      <c r="Q689" s="561" t="s">
        <v>778</v>
      </c>
      <c r="R689" s="103"/>
      <c r="S689" s="104"/>
      <c r="T689" s="109"/>
      <c r="U689" s="105"/>
      <c r="V689" s="71" t="s">
        <v>569</v>
      </c>
    </row>
    <row r="690" spans="1:23" s="71" customFormat="1" ht="14.25" customHeight="1">
      <c r="A690" s="435" t="s">
        <v>2686</v>
      </c>
      <c r="B690" s="561" t="s">
        <v>321</v>
      </c>
      <c r="C690" s="561" t="s">
        <v>649</v>
      </c>
      <c r="D690" s="477"/>
      <c r="E690" s="71">
        <v>198435</v>
      </c>
      <c r="F690" s="561" t="s">
        <v>2668</v>
      </c>
      <c r="J690" s="71" t="s">
        <v>796</v>
      </c>
      <c r="K690" s="71" t="s">
        <v>796</v>
      </c>
      <c r="L690" s="71" t="s">
        <v>796</v>
      </c>
      <c r="M690" s="71" t="s">
        <v>793</v>
      </c>
      <c r="P690" s="71" t="s">
        <v>797</v>
      </c>
      <c r="Q690" s="71" t="s">
        <v>2663</v>
      </c>
      <c r="R690" s="103"/>
      <c r="S690" s="439"/>
      <c r="T690" s="109"/>
      <c r="U690" s="105"/>
      <c r="W690" s="435"/>
    </row>
    <row r="691" spans="1:23" s="71" customFormat="1" ht="14.25" customHeight="1">
      <c r="A691" s="435" t="s">
        <v>2686</v>
      </c>
      <c r="B691" s="561" t="s">
        <v>321</v>
      </c>
      <c r="C691" s="561" t="s">
        <v>3072</v>
      </c>
      <c r="D691" s="477" t="s">
        <v>1664</v>
      </c>
      <c r="E691" s="71">
        <v>198390</v>
      </c>
      <c r="F691" s="435"/>
      <c r="J691" s="435" t="s">
        <v>796</v>
      </c>
      <c r="K691" s="435" t="s">
        <v>796</v>
      </c>
      <c r="L691" s="71" t="s">
        <v>796</v>
      </c>
      <c r="M691" s="71" t="s">
        <v>793</v>
      </c>
      <c r="N691" s="71">
        <v>20.753370289999999</v>
      </c>
      <c r="O691" s="71">
        <v>92.545188899999999</v>
      </c>
      <c r="P691" s="71" t="s">
        <v>797</v>
      </c>
      <c r="Q691" s="71" t="s">
        <v>778</v>
      </c>
      <c r="R691" s="103"/>
      <c r="S691" s="104"/>
      <c r="T691" s="109"/>
      <c r="U691" s="105"/>
      <c r="V691" s="71" t="s">
        <v>583</v>
      </c>
      <c r="W691" s="435"/>
    </row>
    <row r="692" spans="1:23" s="71" customFormat="1" ht="14.25" customHeight="1">
      <c r="A692" s="435" t="s">
        <v>2686</v>
      </c>
      <c r="B692" s="566" t="s">
        <v>321</v>
      </c>
      <c r="C692" s="566" t="s">
        <v>2551</v>
      </c>
      <c r="D692" s="477" t="s">
        <v>1664</v>
      </c>
      <c r="E692" s="71">
        <v>198431</v>
      </c>
      <c r="F692" s="71" t="s">
        <v>2667</v>
      </c>
      <c r="J692" s="435" t="s">
        <v>796</v>
      </c>
      <c r="K692" s="435" t="s">
        <v>796</v>
      </c>
      <c r="L692" s="435" t="s">
        <v>796</v>
      </c>
      <c r="M692" s="71" t="s">
        <v>793</v>
      </c>
      <c r="N692" s="71">
        <v>20.703790659999999</v>
      </c>
      <c r="O692" s="71">
        <v>92.628463749999995</v>
      </c>
      <c r="P692" s="561" t="s">
        <v>797</v>
      </c>
      <c r="Q692" s="71" t="s">
        <v>778</v>
      </c>
      <c r="R692" s="438"/>
      <c r="S692" s="104"/>
      <c r="T692" s="109"/>
      <c r="U692" s="105"/>
      <c r="V692" s="71" t="s">
        <v>552</v>
      </c>
    </row>
    <row r="693" spans="1:23" s="71" customFormat="1" ht="14.25" customHeight="1">
      <c r="A693" s="435" t="s">
        <v>2686</v>
      </c>
      <c r="B693" s="566" t="s">
        <v>321</v>
      </c>
      <c r="C693" s="566" t="s">
        <v>2552</v>
      </c>
      <c r="D693" s="477" t="s">
        <v>1664</v>
      </c>
      <c r="E693" s="71">
        <v>198428</v>
      </c>
      <c r="J693" s="71" t="s">
        <v>796</v>
      </c>
      <c r="K693" s="71" t="s">
        <v>796</v>
      </c>
      <c r="L693" s="71" t="s">
        <v>796</v>
      </c>
      <c r="M693" s="71" t="s">
        <v>296</v>
      </c>
      <c r="N693" s="71">
        <v>20.703920360000001</v>
      </c>
      <c r="O693" s="71">
        <v>92.631500239999994</v>
      </c>
      <c r="P693" s="71" t="s">
        <v>797</v>
      </c>
      <c r="Q693" s="71" t="s">
        <v>778</v>
      </c>
      <c r="R693" s="568"/>
      <c r="S693" s="569"/>
      <c r="T693" s="109"/>
      <c r="U693" s="105"/>
      <c r="V693" s="71" t="s">
        <v>553</v>
      </c>
    </row>
    <row r="694" spans="1:23" s="71" customFormat="1" ht="14.25" customHeight="1">
      <c r="A694" s="435" t="s">
        <v>2686</v>
      </c>
      <c r="B694" s="561" t="s">
        <v>321</v>
      </c>
      <c r="C694" s="561" t="s">
        <v>531</v>
      </c>
      <c r="D694" s="477" t="s">
        <v>1664</v>
      </c>
      <c r="E694" s="71">
        <v>217884</v>
      </c>
      <c r="F694" s="435"/>
      <c r="J694" s="71" t="s">
        <v>796</v>
      </c>
      <c r="K694" s="71" t="s">
        <v>796</v>
      </c>
      <c r="L694" s="71" t="s">
        <v>796</v>
      </c>
      <c r="M694" s="71" t="s">
        <v>793</v>
      </c>
      <c r="N694" s="71">
        <v>20.673639300000001</v>
      </c>
      <c r="O694" s="71">
        <v>92.596298219999994</v>
      </c>
      <c r="P694" s="71" t="s">
        <v>797</v>
      </c>
      <c r="Q694" s="71" t="s">
        <v>778</v>
      </c>
      <c r="R694" s="568"/>
      <c r="S694" s="569"/>
      <c r="T694" s="109"/>
      <c r="U694" s="105"/>
      <c r="V694" s="71" t="s">
        <v>531</v>
      </c>
      <c r="W694" s="435"/>
    </row>
    <row r="695" spans="1:23" s="71" customFormat="1" ht="14.25" customHeight="1">
      <c r="A695" s="435" t="s">
        <v>2686</v>
      </c>
      <c r="B695" s="566" t="s">
        <v>321</v>
      </c>
      <c r="C695" s="566" t="s">
        <v>2967</v>
      </c>
      <c r="D695" s="477" t="s">
        <v>1664</v>
      </c>
      <c r="E695" s="435">
        <v>198442</v>
      </c>
      <c r="F695" s="435"/>
      <c r="J695" s="435" t="s">
        <v>796</v>
      </c>
      <c r="K695" s="435" t="s">
        <v>796</v>
      </c>
      <c r="L695" s="435" t="s">
        <v>796</v>
      </c>
      <c r="M695" s="71" t="s">
        <v>793</v>
      </c>
      <c r="N695" s="71">
        <v>20.692510599999999</v>
      </c>
      <c r="O695" s="71">
        <v>92.579689029999997</v>
      </c>
      <c r="P695" s="71" t="s">
        <v>797</v>
      </c>
      <c r="Q695" s="71" t="s">
        <v>778</v>
      </c>
      <c r="R695" s="572"/>
      <c r="S695" s="573"/>
      <c r="T695" s="109"/>
      <c r="U695" s="440"/>
      <c r="V695" s="71" t="s">
        <v>547</v>
      </c>
      <c r="W695" s="435"/>
    </row>
    <row r="696" spans="1:23" s="71" customFormat="1" ht="14.25" customHeight="1">
      <c r="A696" s="435" t="s">
        <v>2686</v>
      </c>
      <c r="B696" s="561" t="s">
        <v>321</v>
      </c>
      <c r="C696" s="561" t="s">
        <v>2715</v>
      </c>
      <c r="D696" s="477"/>
      <c r="E696" s="435"/>
      <c r="F696" s="435"/>
      <c r="G696" s="435"/>
      <c r="H696" s="435"/>
      <c r="I696" s="435"/>
      <c r="J696" s="435" t="s">
        <v>796</v>
      </c>
      <c r="K696" s="435" t="s">
        <v>877</v>
      </c>
      <c r="L696" s="435" t="s">
        <v>877</v>
      </c>
      <c r="N696" s="435"/>
      <c r="O696" s="435"/>
      <c r="P696" s="71" t="s">
        <v>797</v>
      </c>
      <c r="Q696" s="435"/>
      <c r="R696" s="568"/>
      <c r="S696" s="569"/>
      <c r="T696" s="452"/>
      <c r="U696" s="440"/>
      <c r="V696" s="435" t="s">
        <v>2868</v>
      </c>
      <c r="W696" s="435"/>
    </row>
    <row r="697" spans="1:23" s="71" customFormat="1" ht="14.25" customHeight="1">
      <c r="A697" s="489" t="s">
        <v>2686</v>
      </c>
      <c r="B697" s="511" t="s">
        <v>321</v>
      </c>
      <c r="C697" s="515" t="s">
        <v>1099</v>
      </c>
      <c r="D697" s="567" t="s">
        <v>1664</v>
      </c>
      <c r="E697" s="491">
        <v>198232</v>
      </c>
      <c r="F697" s="594"/>
      <c r="G697" s="491"/>
      <c r="H697" s="491"/>
      <c r="I697" s="491"/>
      <c r="J697" s="435" t="s">
        <v>796</v>
      </c>
      <c r="K697" s="435" t="s">
        <v>796</v>
      </c>
      <c r="L697" s="435" t="s">
        <v>796</v>
      </c>
      <c r="M697" s="491" t="s">
        <v>296</v>
      </c>
      <c r="N697" s="491"/>
      <c r="O697" s="491"/>
      <c r="P697" s="491" t="s">
        <v>797</v>
      </c>
      <c r="Q697" s="491" t="s">
        <v>800</v>
      </c>
      <c r="R697" s="492"/>
      <c r="S697" s="489"/>
      <c r="T697" s="493">
        <v>42926</v>
      </c>
      <c r="U697" s="494" t="s">
        <v>801</v>
      </c>
      <c r="V697" s="495"/>
      <c r="W697" s="568"/>
    </row>
    <row r="698" spans="1:23" s="71" customFormat="1" ht="14.25" customHeight="1">
      <c r="A698" s="561" t="s">
        <v>2686</v>
      </c>
      <c r="B698" s="561" t="s">
        <v>321</v>
      </c>
      <c r="C698" s="561" t="s">
        <v>2664</v>
      </c>
      <c r="D698" s="477"/>
      <c r="E698" s="561">
        <v>198370</v>
      </c>
      <c r="F698" s="561" t="s">
        <v>2664</v>
      </c>
      <c r="G698" s="561"/>
      <c r="H698" s="561"/>
      <c r="I698" s="561"/>
      <c r="J698" s="435" t="s">
        <v>796</v>
      </c>
      <c r="K698" s="435" t="s">
        <v>796</v>
      </c>
      <c r="L698" s="435" t="s">
        <v>796</v>
      </c>
      <c r="M698" s="561"/>
      <c r="N698" s="561">
        <v>20.793779373168899</v>
      </c>
      <c r="O698" s="561">
        <v>92.597961425781307</v>
      </c>
      <c r="P698" s="561" t="s">
        <v>797</v>
      </c>
      <c r="Q698" s="561" t="s">
        <v>2663</v>
      </c>
      <c r="R698" s="568"/>
      <c r="S698" s="569"/>
      <c r="T698" s="588">
        <v>43580</v>
      </c>
      <c r="U698" s="570" t="s">
        <v>2713</v>
      </c>
      <c r="V698" s="561"/>
      <c r="W698" s="561"/>
    </row>
    <row r="699" spans="1:23" s="71" customFormat="1" ht="14.25" customHeight="1">
      <c r="A699" s="435" t="s">
        <v>2686</v>
      </c>
      <c r="B699" s="435" t="s">
        <v>321</v>
      </c>
      <c r="C699" s="435" t="s">
        <v>2542</v>
      </c>
      <c r="D699" s="477"/>
      <c r="E699" s="435">
        <v>198350</v>
      </c>
      <c r="F699" s="435" t="s">
        <v>2543</v>
      </c>
      <c r="G699" s="435"/>
      <c r="H699" s="435"/>
      <c r="I699" s="435"/>
      <c r="J699" s="435" t="s">
        <v>796</v>
      </c>
      <c r="K699" s="435" t="s">
        <v>796</v>
      </c>
      <c r="L699" s="435" t="s">
        <v>796</v>
      </c>
      <c r="M699" s="435" t="s">
        <v>793</v>
      </c>
      <c r="N699" s="435"/>
      <c r="O699" s="435"/>
      <c r="P699" s="435" t="s">
        <v>797</v>
      </c>
      <c r="Q699" s="435" t="s">
        <v>2663</v>
      </c>
      <c r="R699" s="438"/>
      <c r="S699" s="439"/>
      <c r="T699" s="452"/>
      <c r="U699" s="440"/>
      <c r="V699" s="435"/>
      <c r="W699" s="435"/>
    </row>
    <row r="700" spans="1:23" s="75" customFormat="1" ht="14.25" customHeight="1">
      <c r="A700" s="435" t="s">
        <v>2686</v>
      </c>
      <c r="B700" s="435" t="s">
        <v>321</v>
      </c>
      <c r="C700" s="435" t="s">
        <v>666</v>
      </c>
      <c r="D700" s="477" t="s">
        <v>1664</v>
      </c>
      <c r="E700" s="71">
        <v>198183</v>
      </c>
      <c r="F700" s="71"/>
      <c r="G700" s="71"/>
      <c r="H700" s="71"/>
      <c r="I700" s="71"/>
      <c r="J700" s="435" t="s">
        <v>796</v>
      </c>
      <c r="K700" s="435" t="s">
        <v>796</v>
      </c>
      <c r="L700" s="435" t="s">
        <v>796</v>
      </c>
      <c r="M700" s="71" t="s">
        <v>949</v>
      </c>
      <c r="N700" s="71">
        <v>20.977460860000001</v>
      </c>
      <c r="O700" s="71">
        <v>92.484466549999993</v>
      </c>
      <c r="P700" s="71" t="s">
        <v>797</v>
      </c>
      <c r="Q700" s="71" t="s">
        <v>778</v>
      </c>
      <c r="R700" s="103"/>
      <c r="S700" s="439"/>
      <c r="T700" s="109"/>
      <c r="U700" s="440"/>
      <c r="V700" s="71" t="s">
        <v>666</v>
      </c>
      <c r="W700" s="71"/>
    </row>
    <row r="701" spans="1:23" s="71" customFormat="1" ht="14.25" customHeight="1">
      <c r="A701" s="435" t="s">
        <v>2686</v>
      </c>
      <c r="B701" s="435" t="s">
        <v>321</v>
      </c>
      <c r="C701" s="435" t="s">
        <v>665</v>
      </c>
      <c r="D701" s="477" t="s">
        <v>1664</v>
      </c>
      <c r="E701" s="435">
        <v>198187</v>
      </c>
      <c r="F701" s="435"/>
      <c r="G701" s="435"/>
      <c r="H701" s="435"/>
      <c r="I701" s="435"/>
      <c r="J701" s="71" t="s">
        <v>796</v>
      </c>
      <c r="K701" s="71" t="s">
        <v>796</v>
      </c>
      <c r="L701" s="71" t="s">
        <v>796</v>
      </c>
      <c r="M701" s="435" t="s">
        <v>793</v>
      </c>
      <c r="N701" s="435">
        <v>20.974870679999999</v>
      </c>
      <c r="O701" s="435">
        <v>92.483711240000005</v>
      </c>
      <c r="P701" s="71" t="s">
        <v>797</v>
      </c>
      <c r="Q701" s="435" t="s">
        <v>778</v>
      </c>
      <c r="R701" s="438"/>
      <c r="S701" s="439"/>
      <c r="T701" s="452"/>
      <c r="U701" s="440"/>
      <c r="V701" s="435" t="s">
        <v>665</v>
      </c>
      <c r="W701" s="435"/>
    </row>
    <row r="702" spans="1:23" s="71" customFormat="1" ht="14.25" customHeight="1">
      <c r="A702" s="435" t="s">
        <v>2686</v>
      </c>
      <c r="B702" s="435" t="s">
        <v>321</v>
      </c>
      <c r="C702" s="435" t="s">
        <v>3059</v>
      </c>
      <c r="D702" s="477"/>
      <c r="E702" s="71">
        <v>220751</v>
      </c>
      <c r="J702" s="71" t="s">
        <v>796</v>
      </c>
      <c r="K702" s="71" t="s">
        <v>796</v>
      </c>
      <c r="L702" s="71" t="s">
        <v>796</v>
      </c>
      <c r="N702" s="435">
        <v>20.8534545898438</v>
      </c>
      <c r="O702" s="435">
        <v>92.568794250488295</v>
      </c>
      <c r="P702" s="71" t="s">
        <v>797</v>
      </c>
      <c r="Q702" s="71" t="s">
        <v>3026</v>
      </c>
      <c r="R702" s="438"/>
      <c r="S702" s="439"/>
      <c r="T702" s="109">
        <v>43768</v>
      </c>
      <c r="U702" s="105"/>
    </row>
    <row r="703" spans="1:23" s="71" customFormat="1" ht="14.25" customHeight="1">
      <c r="A703" s="435" t="s">
        <v>2686</v>
      </c>
      <c r="B703" s="435" t="s">
        <v>321</v>
      </c>
      <c r="C703" s="435" t="s">
        <v>636</v>
      </c>
      <c r="D703" s="477" t="s">
        <v>1664</v>
      </c>
      <c r="E703" s="71">
        <v>198313</v>
      </c>
      <c r="J703" s="435" t="s">
        <v>796</v>
      </c>
      <c r="K703" s="435" t="s">
        <v>796</v>
      </c>
      <c r="L703" s="71" t="s">
        <v>796</v>
      </c>
      <c r="M703" s="71" t="s">
        <v>296</v>
      </c>
      <c r="N703" s="71">
        <v>20.849060059999999</v>
      </c>
      <c r="O703" s="71">
        <v>92.497413640000005</v>
      </c>
      <c r="P703" s="71" t="s">
        <v>797</v>
      </c>
      <c r="Q703" s="71" t="s">
        <v>800</v>
      </c>
      <c r="R703" s="438"/>
      <c r="S703" s="104"/>
      <c r="T703" s="109">
        <v>42926</v>
      </c>
      <c r="U703" s="105" t="s">
        <v>931</v>
      </c>
    </row>
    <row r="704" spans="1:23" s="71" customFormat="1" ht="14.25" customHeight="1">
      <c r="A704" s="435" t="s">
        <v>2686</v>
      </c>
      <c r="B704" s="561" t="s">
        <v>321</v>
      </c>
      <c r="C704" s="561" t="s">
        <v>642</v>
      </c>
      <c r="D704" s="477" t="s">
        <v>1664</v>
      </c>
      <c r="E704" s="561">
        <v>198301</v>
      </c>
      <c r="F704" s="561"/>
      <c r="G704" s="561"/>
      <c r="H704" s="561"/>
      <c r="I704" s="561"/>
      <c r="J704" s="435" t="s">
        <v>796</v>
      </c>
      <c r="K704" s="435" t="s">
        <v>796</v>
      </c>
      <c r="L704" s="71" t="s">
        <v>796</v>
      </c>
      <c r="M704" s="561" t="s">
        <v>793</v>
      </c>
      <c r="N704" s="561">
        <v>20.876710889999998</v>
      </c>
      <c r="O704" s="561">
        <v>92.537406919999995</v>
      </c>
      <c r="P704" s="71" t="s">
        <v>797</v>
      </c>
      <c r="Q704" s="561" t="s">
        <v>778</v>
      </c>
      <c r="R704" s="568"/>
      <c r="S704" s="569"/>
      <c r="T704" s="588"/>
      <c r="U704" s="570"/>
      <c r="V704" s="561" t="s">
        <v>642</v>
      </c>
    </row>
    <row r="705" spans="1:23" s="71" customFormat="1" ht="14.25" customHeight="1">
      <c r="A705" s="435" t="s">
        <v>2686</v>
      </c>
      <c r="B705" s="561" t="s">
        <v>321</v>
      </c>
      <c r="C705" s="561" t="s">
        <v>543</v>
      </c>
      <c r="D705" s="477" t="s">
        <v>1664</v>
      </c>
      <c r="E705" s="561">
        <v>198444</v>
      </c>
      <c r="F705" s="561"/>
      <c r="G705" s="561"/>
      <c r="H705" s="561"/>
      <c r="I705" s="561"/>
      <c r="J705" s="435" t="s">
        <v>796</v>
      </c>
      <c r="K705" s="435" t="s">
        <v>796</v>
      </c>
      <c r="L705" s="435" t="s">
        <v>796</v>
      </c>
      <c r="M705" s="561" t="s">
        <v>793</v>
      </c>
      <c r="N705" s="561">
        <v>20.687610630000002</v>
      </c>
      <c r="O705" s="561">
        <v>92.617988589999996</v>
      </c>
      <c r="P705" s="71" t="s">
        <v>797</v>
      </c>
      <c r="Q705" s="561" t="s">
        <v>778</v>
      </c>
      <c r="R705" s="568"/>
      <c r="S705" s="569"/>
      <c r="T705" s="588"/>
      <c r="U705" s="570"/>
      <c r="V705" s="561" t="s">
        <v>543</v>
      </c>
    </row>
    <row r="706" spans="1:23" s="71" customFormat="1" ht="14.25" customHeight="1">
      <c r="A706" s="561" t="s">
        <v>2686</v>
      </c>
      <c r="B706" s="561" t="s">
        <v>321</v>
      </c>
      <c r="C706" s="561" t="s">
        <v>661</v>
      </c>
      <c r="D706" s="477" t="s">
        <v>1664</v>
      </c>
      <c r="E706" s="561">
        <v>217866</v>
      </c>
      <c r="F706" s="561"/>
      <c r="G706" s="561"/>
      <c r="H706" s="561"/>
      <c r="I706" s="561"/>
      <c r="J706" s="435" t="s">
        <v>796</v>
      </c>
      <c r="K706" s="435" t="s">
        <v>796</v>
      </c>
      <c r="L706" s="435" t="s">
        <v>796</v>
      </c>
      <c r="M706" s="561" t="s">
        <v>793</v>
      </c>
      <c r="N706" s="561">
        <v>20.936349870000001</v>
      </c>
      <c r="O706" s="561">
        <v>92.468246460000003</v>
      </c>
      <c r="P706" s="561" t="s">
        <v>797</v>
      </c>
      <c r="Q706" s="561" t="s">
        <v>778</v>
      </c>
      <c r="R706" s="568"/>
      <c r="S706" s="569"/>
      <c r="T706" s="588"/>
      <c r="U706" s="570"/>
      <c r="V706" s="561" t="s">
        <v>661</v>
      </c>
      <c r="W706" s="561"/>
    </row>
    <row r="707" spans="1:23" s="71" customFormat="1" ht="14.25" customHeight="1">
      <c r="A707" s="489" t="s">
        <v>2686</v>
      </c>
      <c r="B707" s="511" t="s">
        <v>321</v>
      </c>
      <c r="C707" s="515" t="s">
        <v>611</v>
      </c>
      <c r="D707" s="567" t="s">
        <v>1665</v>
      </c>
      <c r="E707" s="491">
        <v>198336</v>
      </c>
      <c r="F707" s="491" t="s">
        <v>1674</v>
      </c>
      <c r="G707" s="491" t="s">
        <v>1675</v>
      </c>
      <c r="H707" s="491"/>
      <c r="I707" s="491"/>
      <c r="J707" s="435" t="s">
        <v>796</v>
      </c>
      <c r="K707" s="435" t="s">
        <v>796</v>
      </c>
      <c r="L707" s="71" t="s">
        <v>796</v>
      </c>
      <c r="M707" s="491" t="s">
        <v>296</v>
      </c>
      <c r="N707" s="491">
        <v>20.80558014</v>
      </c>
      <c r="O707" s="491">
        <v>92.549842830000003</v>
      </c>
      <c r="P707" s="491" t="s">
        <v>797</v>
      </c>
      <c r="Q707" s="491" t="s">
        <v>800</v>
      </c>
      <c r="R707" s="492"/>
      <c r="S707" s="489"/>
      <c r="T707" s="493">
        <v>42926</v>
      </c>
      <c r="U707" s="494" t="s">
        <v>801</v>
      </c>
      <c r="V707" s="495"/>
      <c r="W707" s="568"/>
    </row>
    <row r="708" spans="1:23" s="71" customFormat="1" ht="14.25" customHeight="1">
      <c r="A708" s="435" t="s">
        <v>2686</v>
      </c>
      <c r="B708" s="566" t="s">
        <v>321</v>
      </c>
      <c r="C708" s="566" t="s">
        <v>2711</v>
      </c>
      <c r="D708" s="477"/>
      <c r="E708" s="435">
        <v>198356</v>
      </c>
      <c r="F708" s="435" t="s">
        <v>2719</v>
      </c>
      <c r="G708" s="435"/>
      <c r="H708" s="435"/>
      <c r="I708" s="435"/>
      <c r="J708" s="435" t="s">
        <v>796</v>
      </c>
      <c r="K708" s="435" t="s">
        <v>796</v>
      </c>
      <c r="L708" s="435" t="s">
        <v>796</v>
      </c>
      <c r="M708" s="435"/>
      <c r="N708" s="435">
        <v>20.821479797363299</v>
      </c>
      <c r="O708" s="435">
        <v>92.603950500488295</v>
      </c>
      <c r="P708" s="435" t="s">
        <v>797</v>
      </c>
      <c r="Q708" s="435" t="s">
        <v>2663</v>
      </c>
      <c r="R708" s="438"/>
      <c r="S708" s="439"/>
      <c r="T708" s="452">
        <v>43580</v>
      </c>
      <c r="U708" s="440" t="s">
        <v>2713</v>
      </c>
      <c r="V708" s="435"/>
      <c r="W708" s="435"/>
    </row>
    <row r="709" spans="1:23" s="71" customFormat="1" ht="14.25" customHeight="1">
      <c r="A709" s="435" t="s">
        <v>2686</v>
      </c>
      <c r="B709" s="566" t="s">
        <v>321</v>
      </c>
      <c r="C709" s="566" t="s">
        <v>622</v>
      </c>
      <c r="D709" s="477" t="s">
        <v>1664</v>
      </c>
      <c r="E709" s="561">
        <v>198356</v>
      </c>
      <c r="F709" s="561"/>
      <c r="G709" s="561"/>
      <c r="H709" s="561"/>
      <c r="I709" s="561"/>
      <c r="J709" s="561" t="s">
        <v>796</v>
      </c>
      <c r="K709" s="561" t="s">
        <v>796</v>
      </c>
      <c r="L709" s="561" t="s">
        <v>796</v>
      </c>
      <c r="M709" s="561" t="s">
        <v>793</v>
      </c>
      <c r="N709" s="561">
        <v>20.821479799999999</v>
      </c>
      <c r="O709" s="561">
        <v>92.603950499999996</v>
      </c>
      <c r="P709" s="561" t="s">
        <v>797</v>
      </c>
      <c r="Q709" s="561" t="s">
        <v>778</v>
      </c>
      <c r="R709" s="568"/>
      <c r="S709" s="569"/>
      <c r="T709" s="588"/>
      <c r="U709" s="570"/>
      <c r="V709" s="561" t="s">
        <v>622</v>
      </c>
      <c r="W709" s="561"/>
    </row>
    <row r="710" spans="1:23" s="71" customFormat="1" ht="14.25" customHeight="1">
      <c r="A710" s="435" t="s">
        <v>2686</v>
      </c>
      <c r="B710" s="566" t="s">
        <v>321</v>
      </c>
      <c r="C710" s="566" t="s">
        <v>2659</v>
      </c>
      <c r="D710" s="477"/>
      <c r="E710" s="566">
        <v>198369</v>
      </c>
      <c r="F710" s="561"/>
      <c r="G710" s="561"/>
      <c r="H710" s="561"/>
      <c r="I710" s="561"/>
      <c r="J710" s="561" t="s">
        <v>2692</v>
      </c>
      <c r="K710" s="561" t="s">
        <v>2658</v>
      </c>
      <c r="L710" s="561" t="s">
        <v>2658</v>
      </c>
      <c r="M710" s="561"/>
      <c r="N710" s="561"/>
      <c r="O710" s="561"/>
      <c r="P710" s="561"/>
      <c r="Q710" s="561"/>
      <c r="R710" s="568"/>
      <c r="S710" s="569"/>
      <c r="T710" s="588"/>
      <c r="U710" s="570"/>
      <c r="V710" s="561"/>
      <c r="W710" s="561"/>
    </row>
    <row r="711" spans="1:23" s="71" customFormat="1" ht="14.25" customHeight="1">
      <c r="A711" s="435" t="s">
        <v>2686</v>
      </c>
      <c r="B711" s="582" t="s">
        <v>321</v>
      </c>
      <c r="C711" s="767" t="s">
        <v>615</v>
      </c>
      <c r="D711" s="477" t="s">
        <v>1664</v>
      </c>
      <c r="E711" s="435">
        <v>198369</v>
      </c>
      <c r="F711" s="582"/>
      <c r="G711" s="435"/>
      <c r="H711" s="435"/>
      <c r="I711" s="435"/>
      <c r="J711" s="435" t="s">
        <v>796</v>
      </c>
      <c r="K711" s="435" t="s">
        <v>796</v>
      </c>
      <c r="L711" s="435" t="s">
        <v>796</v>
      </c>
      <c r="M711" s="71" t="s">
        <v>793</v>
      </c>
      <c r="N711" s="71">
        <v>20.806030270000001</v>
      </c>
      <c r="O711" s="71">
        <v>92.601951600000007</v>
      </c>
      <c r="P711" s="561" t="s">
        <v>797</v>
      </c>
      <c r="Q711" s="435" t="s">
        <v>778</v>
      </c>
      <c r="R711" s="583"/>
      <c r="S711" s="584"/>
      <c r="T711" s="452"/>
      <c r="U711" s="440"/>
      <c r="V711" s="429" t="s">
        <v>615</v>
      </c>
      <c r="W711" s="435"/>
    </row>
    <row r="712" spans="1:23" s="71" customFormat="1" ht="14.25" customHeight="1">
      <c r="A712" s="435" t="s">
        <v>2686</v>
      </c>
      <c r="B712" s="582" t="s">
        <v>321</v>
      </c>
      <c r="C712" s="581" t="s">
        <v>606</v>
      </c>
      <c r="D712" s="477" t="s">
        <v>1664</v>
      </c>
      <c r="E712" s="435">
        <v>198368</v>
      </c>
      <c r="F712" s="566"/>
      <c r="G712" s="435"/>
      <c r="H712" s="435"/>
      <c r="I712" s="435"/>
      <c r="J712" s="435" t="s">
        <v>796</v>
      </c>
      <c r="K712" s="435" t="s">
        <v>796</v>
      </c>
      <c r="L712" s="71" t="s">
        <v>796</v>
      </c>
      <c r="M712" s="435" t="s">
        <v>296</v>
      </c>
      <c r="N712" s="435">
        <v>20.80282021</v>
      </c>
      <c r="O712" s="435">
        <v>92.599418639999996</v>
      </c>
      <c r="P712" s="71" t="s">
        <v>797</v>
      </c>
      <c r="Q712" s="435" t="s">
        <v>778</v>
      </c>
      <c r="R712" s="583"/>
      <c r="S712" s="584"/>
      <c r="T712" s="452"/>
      <c r="U712" s="440"/>
      <c r="V712" s="435" t="s">
        <v>606</v>
      </c>
    </row>
    <row r="713" spans="1:23" s="71" customFormat="1" ht="14.25" customHeight="1">
      <c r="A713" s="435" t="s">
        <v>2686</v>
      </c>
      <c r="B713" s="582" t="s">
        <v>321</v>
      </c>
      <c r="C713" s="581" t="s">
        <v>582</v>
      </c>
      <c r="D713" s="477" t="s">
        <v>1664</v>
      </c>
      <c r="E713" s="71">
        <v>217879</v>
      </c>
      <c r="F713" s="566"/>
      <c r="J713" s="71" t="s">
        <v>796</v>
      </c>
      <c r="K713" s="71" t="s">
        <v>796</v>
      </c>
      <c r="L713" s="71" t="s">
        <v>796</v>
      </c>
      <c r="M713" s="71" t="s">
        <v>296</v>
      </c>
      <c r="N713" s="71">
        <v>20.7494297</v>
      </c>
      <c r="O713" s="71">
        <v>92.528648380000007</v>
      </c>
      <c r="P713" s="71" t="s">
        <v>797</v>
      </c>
      <c r="Q713" s="71" t="s">
        <v>778</v>
      </c>
      <c r="R713" s="583"/>
      <c r="S713" s="584"/>
      <c r="T713" s="109"/>
      <c r="U713" s="105"/>
      <c r="V713" s="71" t="s">
        <v>582</v>
      </c>
    </row>
    <row r="714" spans="1:23" s="71" customFormat="1" ht="14.25" customHeight="1">
      <c r="A714" s="435" t="s">
        <v>2686</v>
      </c>
      <c r="B714" s="582" t="s">
        <v>321</v>
      </c>
      <c r="C714" s="581" t="s">
        <v>2556</v>
      </c>
      <c r="D714" s="477"/>
      <c r="E714" s="71">
        <v>198404</v>
      </c>
      <c r="F714" s="435" t="s">
        <v>2669</v>
      </c>
      <c r="J714" s="71" t="s">
        <v>2692</v>
      </c>
      <c r="K714" s="71" t="s">
        <v>2658</v>
      </c>
      <c r="L714" s="71" t="s">
        <v>2658</v>
      </c>
      <c r="M714" s="71" t="s">
        <v>296</v>
      </c>
      <c r="N714" s="435">
        <v>20.769779209999999</v>
      </c>
      <c r="O714" s="435">
        <v>92.604240419999996</v>
      </c>
      <c r="P714" s="71" t="s">
        <v>797</v>
      </c>
      <c r="Q714" s="435" t="s">
        <v>2663</v>
      </c>
      <c r="R714" s="583"/>
      <c r="S714" s="584"/>
      <c r="T714" s="452"/>
      <c r="U714" s="105"/>
      <c r="W714" s="435"/>
    </row>
    <row r="715" spans="1:23" s="71" customFormat="1" ht="14.25" customHeight="1">
      <c r="A715" s="435" t="s">
        <v>2686</v>
      </c>
      <c r="B715" s="582" t="s">
        <v>321</v>
      </c>
      <c r="C715" s="581" t="s">
        <v>2558</v>
      </c>
      <c r="D715" s="477"/>
      <c r="E715" s="71">
        <v>198303</v>
      </c>
      <c r="F715" s="435" t="s">
        <v>2670</v>
      </c>
      <c r="J715" s="71" t="s">
        <v>796</v>
      </c>
      <c r="K715" s="71" t="s">
        <v>796</v>
      </c>
      <c r="L715" s="71" t="s">
        <v>796</v>
      </c>
      <c r="M715" s="71" t="s">
        <v>296</v>
      </c>
      <c r="N715" s="71">
        <v>20.892290119999998</v>
      </c>
      <c r="O715" s="71">
        <v>92.550079350000004</v>
      </c>
      <c r="P715" s="71" t="s">
        <v>797</v>
      </c>
      <c r="Q715" s="71" t="s">
        <v>2663</v>
      </c>
      <c r="R715" s="583"/>
      <c r="S715" s="584"/>
      <c r="T715" s="109"/>
      <c r="U715" s="105"/>
      <c r="W715" s="435"/>
    </row>
    <row r="716" spans="1:23" s="71" customFormat="1" ht="14.25" customHeight="1">
      <c r="A716" s="435" t="s">
        <v>2686</v>
      </c>
      <c r="B716" s="582" t="s">
        <v>321</v>
      </c>
      <c r="C716" s="581" t="s">
        <v>651</v>
      </c>
      <c r="D716" s="477" t="s">
        <v>1664</v>
      </c>
      <c r="E716" s="71">
        <v>198303</v>
      </c>
      <c r="F716" s="71" t="s">
        <v>2670</v>
      </c>
      <c r="J716" s="71" t="s">
        <v>796</v>
      </c>
      <c r="K716" s="435" t="s">
        <v>796</v>
      </c>
      <c r="L716" s="435" t="s">
        <v>796</v>
      </c>
      <c r="M716" s="71" t="s">
        <v>793</v>
      </c>
      <c r="N716" s="435">
        <v>20.892290119999998</v>
      </c>
      <c r="O716" s="435">
        <v>92.550079350000004</v>
      </c>
      <c r="P716" s="71" t="s">
        <v>797</v>
      </c>
      <c r="Q716" s="71" t="s">
        <v>778</v>
      </c>
      <c r="R716" s="583"/>
      <c r="S716" s="584"/>
      <c r="T716" s="109"/>
      <c r="U716" s="105"/>
      <c r="V716" s="71" t="s">
        <v>651</v>
      </c>
      <c r="W716" s="435"/>
    </row>
    <row r="717" spans="1:23" s="71" customFormat="1" ht="14.25" customHeight="1">
      <c r="A717" s="435" t="s">
        <v>2686</v>
      </c>
      <c r="B717" s="582" t="s">
        <v>321</v>
      </c>
      <c r="C717" s="581" t="s">
        <v>680</v>
      </c>
      <c r="D717" s="477" t="s">
        <v>1664</v>
      </c>
      <c r="E717" s="435">
        <v>198196</v>
      </c>
      <c r="F717" s="435"/>
      <c r="G717" s="435"/>
      <c r="H717" s="435"/>
      <c r="I717" s="435"/>
      <c r="J717" s="435" t="s">
        <v>796</v>
      </c>
      <c r="K717" s="435" t="s">
        <v>796</v>
      </c>
      <c r="L717" s="435" t="s">
        <v>796</v>
      </c>
      <c r="M717" s="435" t="s">
        <v>296</v>
      </c>
      <c r="N717" s="435">
        <v>21.02563095</v>
      </c>
      <c r="O717" s="435">
        <v>92.524818420000003</v>
      </c>
      <c r="P717" s="435" t="s">
        <v>797</v>
      </c>
      <c r="Q717" s="435" t="s">
        <v>800</v>
      </c>
      <c r="R717" s="572"/>
      <c r="S717" s="573"/>
      <c r="T717" s="452">
        <v>42926</v>
      </c>
      <c r="U717" s="440" t="s">
        <v>801</v>
      </c>
      <c r="V717" s="435"/>
      <c r="W717" s="435"/>
    </row>
    <row r="718" spans="1:23" s="71" customFormat="1" ht="14.25" customHeight="1">
      <c r="A718" s="435" t="s">
        <v>2686</v>
      </c>
      <c r="B718" s="582" t="s">
        <v>321</v>
      </c>
      <c r="C718" s="581" t="s">
        <v>644</v>
      </c>
      <c r="D718" s="477" t="s">
        <v>1664</v>
      </c>
      <c r="E718" s="71">
        <v>198292</v>
      </c>
      <c r="F718" s="435"/>
      <c r="J718" s="71" t="s">
        <v>796</v>
      </c>
      <c r="K718" s="71" t="s">
        <v>796</v>
      </c>
      <c r="L718" s="71" t="s">
        <v>796</v>
      </c>
      <c r="M718" s="71" t="s">
        <v>793</v>
      </c>
      <c r="N718" s="71">
        <v>20.883680340000002</v>
      </c>
      <c r="O718" s="71">
        <v>92.569938660000005</v>
      </c>
      <c r="P718" s="71" t="s">
        <v>797</v>
      </c>
      <c r="Q718" s="71" t="s">
        <v>778</v>
      </c>
      <c r="R718" s="583"/>
      <c r="S718" s="584"/>
      <c r="T718" s="109"/>
      <c r="U718" s="105"/>
      <c r="V718" s="71" t="s">
        <v>944</v>
      </c>
      <c r="W718" s="435"/>
    </row>
    <row r="719" spans="1:23" s="71" customFormat="1" ht="14.25" customHeight="1">
      <c r="A719" s="435" t="s">
        <v>2686</v>
      </c>
      <c r="B719" s="582" t="s">
        <v>321</v>
      </c>
      <c r="C719" s="581" t="s">
        <v>645</v>
      </c>
      <c r="D719" s="477" t="s">
        <v>1664</v>
      </c>
      <c r="E719" s="435">
        <v>198292</v>
      </c>
      <c r="F719" s="435"/>
      <c r="G719" s="435"/>
      <c r="H719" s="435"/>
      <c r="I719" s="435"/>
      <c r="J719" s="435" t="s">
        <v>796</v>
      </c>
      <c r="K719" s="435" t="s">
        <v>796</v>
      </c>
      <c r="L719" s="435" t="s">
        <v>796</v>
      </c>
      <c r="M719" s="435" t="s">
        <v>793</v>
      </c>
      <c r="N719" s="435">
        <v>20.883680340000002</v>
      </c>
      <c r="O719" s="435">
        <v>92.569938660000005</v>
      </c>
      <c r="P719" s="435" t="s">
        <v>797</v>
      </c>
      <c r="Q719" s="435" t="s">
        <v>778</v>
      </c>
      <c r="R719" s="583"/>
      <c r="S719" s="584"/>
      <c r="T719" s="452">
        <v>42745</v>
      </c>
      <c r="U719" s="440"/>
      <c r="V719" s="435"/>
      <c r="W719" s="435"/>
    </row>
    <row r="720" spans="1:23" s="71" customFormat="1" ht="14.25" customHeight="1">
      <c r="A720" s="435" t="s">
        <v>2686</v>
      </c>
      <c r="B720" s="582" t="s">
        <v>321</v>
      </c>
      <c r="C720" s="581" t="s">
        <v>687</v>
      </c>
      <c r="D720" s="477" t="s">
        <v>1664</v>
      </c>
      <c r="E720" s="71">
        <v>198146</v>
      </c>
      <c r="J720" s="71" t="s">
        <v>802</v>
      </c>
      <c r="K720" s="71" t="s">
        <v>796</v>
      </c>
      <c r="L720" s="71" t="s">
        <v>802</v>
      </c>
      <c r="M720" s="71" t="s">
        <v>793</v>
      </c>
      <c r="N720" s="71">
        <v>21.098579409999999</v>
      </c>
      <c r="O720" s="71">
        <v>92.445549009999993</v>
      </c>
      <c r="P720" s="71" t="s">
        <v>921</v>
      </c>
      <c r="Q720" s="71" t="s">
        <v>800</v>
      </c>
      <c r="R720" s="572"/>
      <c r="S720" s="573"/>
      <c r="T720" s="109">
        <v>42926</v>
      </c>
      <c r="U720" s="105" t="s">
        <v>931</v>
      </c>
      <c r="W720" s="435"/>
    </row>
    <row r="721" spans="1:23" s="71" customFormat="1" ht="14.25" customHeight="1">
      <c r="A721" s="435" t="s">
        <v>2686</v>
      </c>
      <c r="B721" s="586" t="s">
        <v>321</v>
      </c>
      <c r="C721" s="585" t="s">
        <v>533</v>
      </c>
      <c r="D721" s="477" t="s">
        <v>1664</v>
      </c>
      <c r="E721" s="435">
        <v>217885</v>
      </c>
      <c r="F721" s="435"/>
      <c r="J721" s="71" t="s">
        <v>796</v>
      </c>
      <c r="K721" s="71" t="s">
        <v>796</v>
      </c>
      <c r="L721" s="71" t="s">
        <v>796</v>
      </c>
      <c r="M721" s="71" t="s">
        <v>793</v>
      </c>
      <c r="N721" s="71">
        <v>20.676519389999999</v>
      </c>
      <c r="O721" s="71">
        <v>92.591667180000002</v>
      </c>
      <c r="P721" s="435" t="s">
        <v>797</v>
      </c>
      <c r="Q721" s="71" t="s">
        <v>778</v>
      </c>
      <c r="R721" s="438"/>
      <c r="S721" s="439"/>
      <c r="T721" s="109"/>
      <c r="U721" s="105"/>
      <c r="V721" s="71" t="s">
        <v>533</v>
      </c>
    </row>
    <row r="722" spans="1:23" s="561" customFormat="1" ht="14.25" customHeight="1">
      <c r="A722" s="561" t="s">
        <v>2686</v>
      </c>
      <c r="B722" s="586" t="s">
        <v>321</v>
      </c>
      <c r="C722" s="581" t="s">
        <v>3060</v>
      </c>
      <c r="D722" s="477"/>
      <c r="E722" s="561">
        <v>198249</v>
      </c>
      <c r="J722" s="561" t="s">
        <v>796</v>
      </c>
      <c r="K722" s="561" t="s">
        <v>796</v>
      </c>
      <c r="L722" s="561" t="s">
        <v>796</v>
      </c>
      <c r="N722" s="561">
        <v>21.169160842895501</v>
      </c>
      <c r="O722" s="561">
        <v>92.569076538085895</v>
      </c>
      <c r="P722" s="561" t="s">
        <v>797</v>
      </c>
      <c r="Q722" s="561" t="s">
        <v>3026</v>
      </c>
      <c r="R722" s="568"/>
      <c r="S722" s="569"/>
      <c r="T722" s="588">
        <v>43768</v>
      </c>
      <c r="U722" s="570"/>
    </row>
    <row r="723" spans="1:23" s="71" customFormat="1" ht="14.25" customHeight="1">
      <c r="A723" s="435" t="s">
        <v>2686</v>
      </c>
      <c r="B723" s="586" t="s">
        <v>321</v>
      </c>
      <c r="C723" s="581" t="s">
        <v>662</v>
      </c>
      <c r="D723" s="477" t="s">
        <v>1664</v>
      </c>
      <c r="E723" s="71">
        <v>198164</v>
      </c>
      <c r="F723" s="435"/>
      <c r="J723" s="71" t="s">
        <v>796</v>
      </c>
      <c r="K723" s="71" t="s">
        <v>796</v>
      </c>
      <c r="L723" s="71" t="s">
        <v>796</v>
      </c>
      <c r="M723" s="71" t="s">
        <v>949</v>
      </c>
      <c r="N723" s="71">
        <v>20.945800779999999</v>
      </c>
      <c r="O723" s="71">
        <v>92.471672060000003</v>
      </c>
      <c r="P723" s="561" t="s">
        <v>797</v>
      </c>
      <c r="Q723" s="71" t="s">
        <v>778</v>
      </c>
      <c r="R723" s="438"/>
      <c r="S723" s="439"/>
      <c r="T723" s="109"/>
      <c r="U723" s="105"/>
      <c r="V723" s="71" t="s">
        <v>662</v>
      </c>
    </row>
    <row r="724" spans="1:23" s="71" customFormat="1" ht="14.25" customHeight="1">
      <c r="A724" s="561" t="s">
        <v>2686</v>
      </c>
      <c r="B724" s="586" t="s">
        <v>321</v>
      </c>
      <c r="C724" s="585" t="s">
        <v>620</v>
      </c>
      <c r="D724" s="477" t="s">
        <v>1664</v>
      </c>
      <c r="E724" s="435">
        <v>198335</v>
      </c>
      <c r="F724" s="435"/>
      <c r="J724" s="71" t="s">
        <v>796</v>
      </c>
      <c r="K724" s="71" t="s">
        <v>796</v>
      </c>
      <c r="L724" s="71" t="s">
        <v>796</v>
      </c>
      <c r="M724" s="71" t="s">
        <v>296</v>
      </c>
      <c r="N724" s="435">
        <v>20.818910599999999</v>
      </c>
      <c r="O724" s="435">
        <v>92.541358950000003</v>
      </c>
      <c r="P724" s="71" t="s">
        <v>797</v>
      </c>
      <c r="Q724" s="71" t="s">
        <v>778</v>
      </c>
      <c r="R724" s="568"/>
      <c r="S724" s="439"/>
      <c r="T724" s="452"/>
      <c r="U724" s="570"/>
      <c r="V724" s="71" t="s">
        <v>620</v>
      </c>
      <c r="W724" s="561"/>
    </row>
    <row r="725" spans="1:23" s="71" customFormat="1" ht="14.25" customHeight="1">
      <c r="A725" s="561" t="s">
        <v>2686</v>
      </c>
      <c r="B725" s="582" t="s">
        <v>321</v>
      </c>
      <c r="C725" s="581" t="s">
        <v>654</v>
      </c>
      <c r="D725" s="477" t="s">
        <v>1664</v>
      </c>
      <c r="E725" s="561">
        <v>198316</v>
      </c>
      <c r="F725" s="561"/>
      <c r="G725" s="561"/>
      <c r="H725" s="561"/>
      <c r="I725" s="561"/>
      <c r="J725" s="435" t="s">
        <v>796</v>
      </c>
      <c r="K725" s="435" t="s">
        <v>796</v>
      </c>
      <c r="L725" s="71" t="s">
        <v>796</v>
      </c>
      <c r="M725" s="71" t="s">
        <v>793</v>
      </c>
      <c r="N725" s="561">
        <v>20.89318085</v>
      </c>
      <c r="O725" s="435">
        <v>92.493637079999999</v>
      </c>
      <c r="P725" s="71" t="s">
        <v>797</v>
      </c>
      <c r="Q725" s="561" t="s">
        <v>778</v>
      </c>
      <c r="R725" s="568"/>
      <c r="S725" s="569"/>
      <c r="T725" s="588"/>
      <c r="U725" s="570"/>
      <c r="V725" s="71" t="s">
        <v>654</v>
      </c>
      <c r="W725" s="561"/>
    </row>
    <row r="726" spans="1:23" s="71" customFormat="1" ht="14.25" customHeight="1">
      <c r="A726" s="561" t="s">
        <v>2686</v>
      </c>
      <c r="B726" s="582" t="s">
        <v>321</v>
      </c>
      <c r="C726" s="581" t="s">
        <v>639</v>
      </c>
      <c r="D726" s="477" t="s">
        <v>1664</v>
      </c>
      <c r="E726" s="561">
        <v>198308</v>
      </c>
      <c r="F726" s="561"/>
      <c r="G726" s="561"/>
      <c r="H726" s="561"/>
      <c r="I726" s="561"/>
      <c r="J726" s="71" t="s">
        <v>802</v>
      </c>
      <c r="K726" s="71" t="s">
        <v>796</v>
      </c>
      <c r="L726" s="71" t="s">
        <v>802</v>
      </c>
      <c r="M726" s="71" t="s">
        <v>793</v>
      </c>
      <c r="N726" s="561">
        <v>20.863079070000001</v>
      </c>
      <c r="O726" s="71">
        <v>92.497192380000001</v>
      </c>
      <c r="P726" s="71" t="s">
        <v>921</v>
      </c>
      <c r="Q726" s="561" t="s">
        <v>800</v>
      </c>
      <c r="R726" s="568"/>
      <c r="S726" s="569"/>
      <c r="T726" s="588">
        <v>42926</v>
      </c>
      <c r="U726" s="570" t="s">
        <v>931</v>
      </c>
      <c r="W726" s="561"/>
    </row>
    <row r="727" spans="1:23" s="71" customFormat="1" ht="14.25" customHeight="1">
      <c r="A727" s="435" t="s">
        <v>2686</v>
      </c>
      <c r="B727" s="586" t="s">
        <v>321</v>
      </c>
      <c r="C727" s="585" t="s">
        <v>594</v>
      </c>
      <c r="D727" s="477" t="s">
        <v>1664</v>
      </c>
      <c r="E727" s="435">
        <v>220753</v>
      </c>
      <c r="J727" s="435" t="s">
        <v>802</v>
      </c>
      <c r="K727" s="435" t="s">
        <v>796</v>
      </c>
      <c r="L727" s="71" t="s">
        <v>802</v>
      </c>
      <c r="M727" s="71" t="s">
        <v>296</v>
      </c>
      <c r="N727" s="435">
        <v>20.782770159999998</v>
      </c>
      <c r="O727" s="435">
        <v>92.551826480000003</v>
      </c>
      <c r="P727" s="71" t="s">
        <v>921</v>
      </c>
      <c r="Q727" s="71" t="s">
        <v>800</v>
      </c>
      <c r="R727" s="438"/>
      <c r="S727" s="439"/>
      <c r="T727" s="109">
        <v>42926</v>
      </c>
      <c r="U727" s="105" t="s">
        <v>931</v>
      </c>
    </row>
    <row r="728" spans="1:23" s="71" customFormat="1" ht="14.25" customHeight="1">
      <c r="A728" s="435" t="s">
        <v>2686</v>
      </c>
      <c r="B728" s="582" t="s">
        <v>321</v>
      </c>
      <c r="C728" s="581" t="s">
        <v>635</v>
      </c>
      <c r="D728" s="477" t="s">
        <v>1664</v>
      </c>
      <c r="E728" s="561">
        <v>198325</v>
      </c>
      <c r="F728" s="561"/>
      <c r="G728" s="561"/>
      <c r="H728" s="561"/>
      <c r="I728" s="561"/>
      <c r="J728" s="71" t="s">
        <v>802</v>
      </c>
      <c r="K728" s="435" t="s">
        <v>796</v>
      </c>
      <c r="L728" s="435" t="s">
        <v>802</v>
      </c>
      <c r="M728" s="561" t="s">
        <v>793</v>
      </c>
      <c r="N728" s="561">
        <v>20.839260100000001</v>
      </c>
      <c r="O728" s="561">
        <v>92.534591669999998</v>
      </c>
      <c r="P728" s="71" t="s">
        <v>921</v>
      </c>
      <c r="Q728" s="561" t="s">
        <v>800</v>
      </c>
      <c r="R728" s="568"/>
      <c r="S728" s="569"/>
      <c r="T728" s="588">
        <v>42926</v>
      </c>
      <c r="U728" s="570" t="s">
        <v>931</v>
      </c>
      <c r="V728" s="561"/>
      <c r="W728" s="435"/>
    </row>
    <row r="729" spans="1:23" s="71" customFormat="1" ht="14.25" customHeight="1">
      <c r="A729" s="435" t="s">
        <v>2686</v>
      </c>
      <c r="B729" s="586" t="s">
        <v>321</v>
      </c>
      <c r="C729" s="585" t="s">
        <v>326</v>
      </c>
      <c r="D729" s="478" t="s">
        <v>1664</v>
      </c>
      <c r="E729" s="566"/>
      <c r="F729" s="566"/>
      <c r="G729" s="566"/>
      <c r="H729" s="573"/>
      <c r="I729" s="566"/>
      <c r="J729" s="71" t="s">
        <v>802</v>
      </c>
      <c r="K729" s="435" t="s">
        <v>796</v>
      </c>
      <c r="L729" s="435" t="s">
        <v>802</v>
      </c>
      <c r="M729" s="566" t="s">
        <v>793</v>
      </c>
      <c r="N729" s="566"/>
      <c r="O729" s="566"/>
      <c r="P729" s="71" t="s">
        <v>921</v>
      </c>
      <c r="Q729" s="566" t="s">
        <v>800</v>
      </c>
      <c r="R729" s="572"/>
      <c r="S729" s="573"/>
      <c r="T729" s="589">
        <v>42926</v>
      </c>
      <c r="U729" s="574" t="s">
        <v>931</v>
      </c>
      <c r="V729" s="566"/>
    </row>
    <row r="730" spans="1:23" s="71" customFormat="1" ht="14.25" customHeight="1">
      <c r="A730" s="561" t="s">
        <v>2686</v>
      </c>
      <c r="B730" s="582" t="s">
        <v>321</v>
      </c>
      <c r="C730" s="581" t="s">
        <v>570</v>
      </c>
      <c r="D730" s="477" t="s">
        <v>1664</v>
      </c>
      <c r="E730" s="71">
        <v>198432</v>
      </c>
      <c r="J730" s="71" t="s">
        <v>796</v>
      </c>
      <c r="K730" s="435" t="s">
        <v>796</v>
      </c>
      <c r="L730" s="435" t="s">
        <v>796</v>
      </c>
      <c r="M730" s="71" t="s">
        <v>793</v>
      </c>
      <c r="N730" s="71">
        <v>20.721290589999999</v>
      </c>
      <c r="O730" s="71">
        <v>92.605140689999999</v>
      </c>
      <c r="P730" s="561" t="s">
        <v>797</v>
      </c>
      <c r="Q730" s="71" t="s">
        <v>778</v>
      </c>
      <c r="R730" s="568"/>
      <c r="S730" s="439"/>
      <c r="T730" s="109"/>
      <c r="U730" s="570"/>
      <c r="V730" s="71" t="s">
        <v>570</v>
      </c>
      <c r="W730" s="561"/>
    </row>
    <row r="731" spans="1:23" s="71" customFormat="1" ht="14.25" customHeight="1">
      <c r="A731" s="572" t="s">
        <v>2686</v>
      </c>
      <c r="B731" s="583" t="s">
        <v>321</v>
      </c>
      <c r="C731" s="459" t="s">
        <v>664</v>
      </c>
      <c r="D731" s="567" t="s">
        <v>1664</v>
      </c>
      <c r="E731" s="71">
        <v>198222</v>
      </c>
      <c r="J731" s="71" t="s">
        <v>802</v>
      </c>
      <c r="K731" s="71" t="s">
        <v>796</v>
      </c>
      <c r="L731" s="71" t="s">
        <v>802</v>
      </c>
      <c r="M731" s="71" t="s">
        <v>793</v>
      </c>
      <c r="N731" s="71">
        <v>20.962799069999999</v>
      </c>
      <c r="O731" s="71">
        <v>92.527702329999997</v>
      </c>
      <c r="P731" s="71" t="s">
        <v>921</v>
      </c>
      <c r="Q731" s="71" t="s">
        <v>800</v>
      </c>
      <c r="R731" s="576"/>
      <c r="S731" s="439"/>
      <c r="T731" s="109">
        <v>42926</v>
      </c>
      <c r="U731" s="576" t="s">
        <v>931</v>
      </c>
      <c r="W731" s="568"/>
    </row>
    <row r="732" spans="1:23" s="71" customFormat="1" ht="14.25" customHeight="1">
      <c r="A732" s="435" t="s">
        <v>2686</v>
      </c>
      <c r="B732" s="582" t="s">
        <v>321</v>
      </c>
      <c r="C732" s="459" t="s">
        <v>3081</v>
      </c>
      <c r="D732" s="567"/>
      <c r="E732" s="71">
        <v>198179</v>
      </c>
      <c r="J732" s="71" t="s">
        <v>796</v>
      </c>
      <c r="K732" s="71" t="s">
        <v>796</v>
      </c>
      <c r="L732" s="71" t="s">
        <v>796</v>
      </c>
      <c r="N732" s="71">
        <v>20.945339202880898</v>
      </c>
      <c r="O732" s="71">
        <v>92.496063232421903</v>
      </c>
      <c r="P732" s="71" t="s">
        <v>797</v>
      </c>
      <c r="Q732" s="71" t="s">
        <v>3026</v>
      </c>
      <c r="R732" s="576"/>
      <c r="S732" s="439"/>
      <c r="T732" s="109">
        <v>43769</v>
      </c>
      <c r="U732" s="576"/>
      <c r="W732" s="568"/>
    </row>
    <row r="733" spans="1:23" s="71" customFormat="1" ht="14.25" customHeight="1">
      <c r="A733" s="435" t="s">
        <v>2686</v>
      </c>
      <c r="B733" s="582" t="s">
        <v>321</v>
      </c>
      <c r="C733" s="581" t="s">
        <v>2815</v>
      </c>
      <c r="D733" s="477"/>
      <c r="E733" s="561">
        <v>198289</v>
      </c>
      <c r="F733" s="561"/>
      <c r="G733" s="561"/>
      <c r="H733" s="561"/>
      <c r="I733" s="561"/>
      <c r="J733" s="561" t="s">
        <v>2692</v>
      </c>
      <c r="K733" s="561" t="s">
        <v>2658</v>
      </c>
      <c r="L733" s="561" t="s">
        <v>2658</v>
      </c>
      <c r="M733" s="561"/>
      <c r="N733" s="561">
        <v>20.838279724121101</v>
      </c>
      <c r="O733" s="561">
        <v>92.610900878906307</v>
      </c>
      <c r="P733" s="561"/>
      <c r="Q733" s="561"/>
      <c r="R733" s="568"/>
      <c r="S733" s="569"/>
      <c r="T733" s="588">
        <v>43591</v>
      </c>
      <c r="U733" s="570"/>
      <c r="V733" s="561"/>
      <c r="W733" s="561"/>
    </row>
    <row r="734" spans="1:23" s="71" customFormat="1" ht="14.25" customHeight="1">
      <c r="A734" s="435" t="s">
        <v>2686</v>
      </c>
      <c r="B734" s="582" t="s">
        <v>321</v>
      </c>
      <c r="C734" s="581" t="s">
        <v>604</v>
      </c>
      <c r="D734" s="477" t="s">
        <v>1664</v>
      </c>
      <c r="E734" s="561">
        <v>198379</v>
      </c>
      <c r="F734" s="561"/>
      <c r="G734" s="561"/>
      <c r="H734" s="561"/>
      <c r="I734" s="561"/>
      <c r="J734" s="561" t="s">
        <v>796</v>
      </c>
      <c r="K734" s="561" t="s">
        <v>796</v>
      </c>
      <c r="L734" s="561" t="s">
        <v>796</v>
      </c>
      <c r="M734" s="561" t="s">
        <v>793</v>
      </c>
      <c r="N734" s="561">
        <v>20.79891014</v>
      </c>
      <c r="O734" s="561">
        <v>92.553680420000006</v>
      </c>
      <c r="P734" s="561" t="s">
        <v>797</v>
      </c>
      <c r="Q734" s="561" t="s">
        <v>778</v>
      </c>
      <c r="R734" s="568"/>
      <c r="S734" s="569"/>
      <c r="T734" s="588"/>
      <c r="U734" s="570"/>
      <c r="V734" s="561" t="s">
        <v>604</v>
      </c>
      <c r="W734" s="561"/>
    </row>
    <row r="735" spans="1:23" s="71" customFormat="1" ht="14.25" customHeight="1">
      <c r="A735" s="435" t="s">
        <v>2686</v>
      </c>
      <c r="B735" s="537" t="s">
        <v>321</v>
      </c>
      <c r="C735" s="538" t="s">
        <v>633</v>
      </c>
      <c r="D735" s="567" t="s">
        <v>1664</v>
      </c>
      <c r="E735" s="609">
        <v>198332</v>
      </c>
      <c r="F735" s="194"/>
      <c r="G735" s="194"/>
      <c r="H735" s="194"/>
      <c r="I735" s="194"/>
      <c r="J735" s="194" t="s">
        <v>796</v>
      </c>
      <c r="K735" s="194" t="s">
        <v>796</v>
      </c>
      <c r="L735" s="194" t="s">
        <v>796</v>
      </c>
      <c r="M735" s="194" t="s">
        <v>793</v>
      </c>
      <c r="N735" s="194">
        <v>20.833719250000001</v>
      </c>
      <c r="O735" s="194">
        <v>92.534461980000003</v>
      </c>
      <c r="P735" s="194" t="s">
        <v>797</v>
      </c>
      <c r="Q735" s="194" t="s">
        <v>778</v>
      </c>
      <c r="R735" s="195"/>
      <c r="S735" s="193"/>
      <c r="T735" s="196"/>
      <c r="U735" s="197"/>
      <c r="V735" s="194" t="s">
        <v>633</v>
      </c>
      <c r="W735" s="568"/>
    </row>
    <row r="736" spans="1:23" s="71" customFormat="1" ht="14.25" customHeight="1">
      <c r="A736" s="435" t="s">
        <v>2686</v>
      </c>
      <c r="B736" s="449" t="s">
        <v>321</v>
      </c>
      <c r="C736" s="448" t="s">
        <v>2555</v>
      </c>
      <c r="D736" s="477"/>
      <c r="E736" s="435">
        <v>198405</v>
      </c>
      <c r="F736" s="566" t="s">
        <v>2669</v>
      </c>
      <c r="J736" s="71" t="s">
        <v>796</v>
      </c>
      <c r="K736" s="435" t="s">
        <v>796</v>
      </c>
      <c r="L736" s="435" t="s">
        <v>796</v>
      </c>
      <c r="M736" s="71" t="s">
        <v>793</v>
      </c>
      <c r="P736" s="71" t="s">
        <v>797</v>
      </c>
      <c r="Q736" s="71" t="s">
        <v>2663</v>
      </c>
      <c r="R736" s="572"/>
      <c r="S736" s="573"/>
      <c r="T736" s="452"/>
      <c r="U736" s="105"/>
      <c r="W736" s="435"/>
    </row>
    <row r="737" spans="1:23" s="561" customFormat="1" ht="14.25" customHeight="1">
      <c r="A737" s="561" t="s">
        <v>2686</v>
      </c>
      <c r="B737" s="582" t="s">
        <v>321</v>
      </c>
      <c r="C737" s="581" t="s">
        <v>648</v>
      </c>
      <c r="D737" s="477" t="s">
        <v>1664</v>
      </c>
      <c r="E737" s="561">
        <v>217871</v>
      </c>
      <c r="F737" s="566"/>
      <c r="J737" s="561" t="s">
        <v>796</v>
      </c>
      <c r="K737" s="561" t="s">
        <v>796</v>
      </c>
      <c r="L737" s="561" t="s">
        <v>796</v>
      </c>
      <c r="M737" s="561" t="s">
        <v>793</v>
      </c>
      <c r="N737" s="561">
        <v>20.887029649999999</v>
      </c>
      <c r="O737" s="561">
        <v>92.556823730000005</v>
      </c>
      <c r="P737" s="561" t="s">
        <v>797</v>
      </c>
      <c r="Q737" s="561" t="s">
        <v>778</v>
      </c>
      <c r="R737" s="572"/>
      <c r="S737" s="573"/>
      <c r="T737" s="588"/>
      <c r="U737" s="570"/>
      <c r="V737" s="561" t="s">
        <v>648</v>
      </c>
    </row>
    <row r="738" spans="1:23" s="561" customFormat="1" ht="14.25" customHeight="1">
      <c r="A738" s="561" t="s">
        <v>2686</v>
      </c>
      <c r="B738" s="582" t="s">
        <v>321</v>
      </c>
      <c r="C738" s="581" t="s">
        <v>1910</v>
      </c>
      <c r="D738" s="477"/>
      <c r="E738" s="561">
        <v>198177</v>
      </c>
      <c r="J738" s="561" t="s">
        <v>796</v>
      </c>
      <c r="K738" s="561" t="s">
        <v>796</v>
      </c>
      <c r="L738" s="561" t="s">
        <v>796</v>
      </c>
      <c r="M738" s="561" t="s">
        <v>949</v>
      </c>
      <c r="N738" s="561">
        <v>20.93604088</v>
      </c>
      <c r="O738" s="561">
        <v>92.475830079999994</v>
      </c>
      <c r="P738" s="561" t="s">
        <v>797</v>
      </c>
      <c r="Q738" s="561" t="s">
        <v>1915</v>
      </c>
      <c r="R738" s="572"/>
      <c r="S738" s="573"/>
      <c r="T738" s="588">
        <v>43245</v>
      </c>
      <c r="U738" s="570"/>
    </row>
    <row r="739" spans="1:23" s="71" customFormat="1" ht="14.25" customHeight="1">
      <c r="A739" s="435" t="s">
        <v>2686</v>
      </c>
      <c r="B739" s="449" t="s">
        <v>321</v>
      </c>
      <c r="C739" s="448" t="s">
        <v>3061</v>
      </c>
      <c r="D739" s="477"/>
      <c r="E739" s="435">
        <v>198173</v>
      </c>
      <c r="F739" s="435"/>
      <c r="G739" s="435"/>
      <c r="H739" s="435"/>
      <c r="I739" s="435"/>
      <c r="J739" s="71" t="s">
        <v>796</v>
      </c>
      <c r="K739" s="435" t="s">
        <v>796</v>
      </c>
      <c r="L739" s="435" t="s">
        <v>796</v>
      </c>
      <c r="N739" s="71">
        <v>20.938350677490199</v>
      </c>
      <c r="O739" s="71">
        <v>92.490928649902301</v>
      </c>
      <c r="P739" s="71" t="s">
        <v>797</v>
      </c>
      <c r="Q739" s="71" t="s">
        <v>3026</v>
      </c>
      <c r="R739" s="572"/>
      <c r="S739" s="573"/>
      <c r="T739" s="452">
        <v>43768</v>
      </c>
      <c r="U739" s="105"/>
    </row>
    <row r="740" spans="1:23" s="71" customFormat="1" ht="14.25" customHeight="1">
      <c r="A740" s="561" t="s">
        <v>2686</v>
      </c>
      <c r="B740" s="582" t="s">
        <v>321</v>
      </c>
      <c r="C740" s="581" t="s">
        <v>2574</v>
      </c>
      <c r="D740" s="477"/>
      <c r="J740" s="71" t="s">
        <v>2692</v>
      </c>
      <c r="K740" s="71" t="s">
        <v>2658</v>
      </c>
      <c r="L740" s="71" t="s">
        <v>2658</v>
      </c>
      <c r="Q740" s="435"/>
      <c r="R740" s="572"/>
      <c r="S740" s="573"/>
      <c r="T740" s="452"/>
      <c r="U740" s="570"/>
      <c r="W740" s="561"/>
    </row>
    <row r="741" spans="1:23" s="71" customFormat="1" ht="14.25" customHeight="1">
      <c r="A741" s="435" t="s">
        <v>2686</v>
      </c>
      <c r="B741" s="582" t="s">
        <v>321</v>
      </c>
      <c r="C741" s="459" t="s">
        <v>3079</v>
      </c>
      <c r="D741" s="567"/>
      <c r="E741" s="435">
        <v>198188</v>
      </c>
      <c r="F741" s="435"/>
      <c r="G741" s="435"/>
      <c r="H741" s="435"/>
      <c r="I741" s="435"/>
      <c r="J741" s="435" t="s">
        <v>796</v>
      </c>
      <c r="K741" s="435" t="s">
        <v>796</v>
      </c>
      <c r="L741" s="435" t="s">
        <v>796</v>
      </c>
      <c r="M741" s="435"/>
      <c r="N741" s="435">
        <v>21.004440307617202</v>
      </c>
      <c r="O741" s="435">
        <v>92.500228881835895</v>
      </c>
      <c r="P741" s="435" t="s">
        <v>797</v>
      </c>
      <c r="Q741" s="435" t="s">
        <v>3026</v>
      </c>
      <c r="R741" s="576"/>
      <c r="S741" s="569"/>
      <c r="T741" s="452">
        <v>43769</v>
      </c>
      <c r="U741" s="576"/>
      <c r="V741" s="435"/>
      <c r="W741" s="568"/>
    </row>
    <row r="742" spans="1:23" s="71" customFormat="1" ht="14.25" customHeight="1">
      <c r="A742" s="435" t="s">
        <v>2686</v>
      </c>
      <c r="B742" s="449" t="s">
        <v>321</v>
      </c>
      <c r="C742" s="448" t="s">
        <v>584</v>
      </c>
      <c r="D742" s="477" t="s">
        <v>1664</v>
      </c>
      <c r="E742" s="71">
        <v>198413</v>
      </c>
      <c r="J742" s="71" t="s">
        <v>796</v>
      </c>
      <c r="K742" s="71" t="s">
        <v>796</v>
      </c>
      <c r="L742" s="71" t="s">
        <v>796</v>
      </c>
      <c r="M742" s="71" t="s">
        <v>296</v>
      </c>
      <c r="N742" s="71">
        <v>20.756410599999999</v>
      </c>
      <c r="O742" s="71">
        <v>92.63580322</v>
      </c>
      <c r="P742" s="561" t="s">
        <v>797</v>
      </c>
      <c r="Q742" s="71" t="s">
        <v>778</v>
      </c>
      <c r="R742" s="572"/>
      <c r="S742" s="573"/>
      <c r="T742" s="109"/>
      <c r="U742" s="105"/>
      <c r="V742" s="71" t="s">
        <v>584</v>
      </c>
    </row>
    <row r="743" spans="1:23" s="71" customFormat="1" ht="14.25" customHeight="1">
      <c r="A743" s="435" t="s">
        <v>2686</v>
      </c>
      <c r="B743" s="449" t="s">
        <v>321</v>
      </c>
      <c r="C743" s="448" t="s">
        <v>546</v>
      </c>
      <c r="D743" s="477" t="s">
        <v>1664</v>
      </c>
      <c r="E743" s="435">
        <v>198446</v>
      </c>
      <c r="F743" s="435"/>
      <c r="G743" s="435"/>
      <c r="H743" s="435"/>
      <c r="I743" s="435"/>
      <c r="J743" s="435" t="s">
        <v>796</v>
      </c>
      <c r="K743" s="435" t="s">
        <v>796</v>
      </c>
      <c r="L743" s="435" t="s">
        <v>796</v>
      </c>
      <c r="M743" s="435" t="s">
        <v>296</v>
      </c>
      <c r="N743" s="435">
        <v>20.691099170000001</v>
      </c>
      <c r="O743" s="435">
        <v>92.590652469999995</v>
      </c>
      <c r="P743" s="435" t="s">
        <v>797</v>
      </c>
      <c r="Q743" s="435" t="s">
        <v>778</v>
      </c>
      <c r="R743" s="572"/>
      <c r="S743" s="573"/>
      <c r="T743" s="452"/>
      <c r="U743" s="440"/>
      <c r="V743" s="435" t="s">
        <v>546</v>
      </c>
      <c r="W743" s="435"/>
    </row>
    <row r="744" spans="1:23" s="71" customFormat="1" ht="14.25" customHeight="1">
      <c r="A744" s="435" t="s">
        <v>2686</v>
      </c>
      <c r="B744" s="586" t="s">
        <v>321</v>
      </c>
      <c r="C744" s="585" t="s">
        <v>653</v>
      </c>
      <c r="D744" s="477" t="s">
        <v>1664</v>
      </c>
      <c r="E744" s="71">
        <v>198297</v>
      </c>
      <c r="J744" s="71" t="s">
        <v>796</v>
      </c>
      <c r="K744" s="71" t="s">
        <v>796</v>
      </c>
      <c r="L744" s="71" t="s">
        <v>796</v>
      </c>
      <c r="M744" s="71" t="s">
        <v>793</v>
      </c>
      <c r="N744" s="71">
        <v>20.89270973</v>
      </c>
      <c r="O744" s="71">
        <v>92.562187190000003</v>
      </c>
      <c r="P744" s="561" t="s">
        <v>797</v>
      </c>
      <c r="Q744" s="71" t="s">
        <v>778</v>
      </c>
      <c r="R744" s="572"/>
      <c r="S744" s="573"/>
      <c r="T744" s="109"/>
      <c r="U744" s="105"/>
      <c r="V744" s="71" t="s">
        <v>653</v>
      </c>
    </row>
    <row r="745" spans="1:23" s="71" customFormat="1" ht="14.25" customHeight="1">
      <c r="A745" s="435" t="s">
        <v>2686</v>
      </c>
      <c r="B745" s="582" t="s">
        <v>321</v>
      </c>
      <c r="C745" s="581" t="s">
        <v>660</v>
      </c>
      <c r="D745" s="477" t="s">
        <v>1664</v>
      </c>
      <c r="E745" s="71">
        <v>198234</v>
      </c>
      <c r="J745" s="71" t="s">
        <v>796</v>
      </c>
      <c r="K745" s="435" t="s">
        <v>796</v>
      </c>
      <c r="L745" s="435" t="s">
        <v>796</v>
      </c>
      <c r="M745" s="71" t="s">
        <v>296</v>
      </c>
      <c r="N745" s="71">
        <v>20.926780699999998</v>
      </c>
      <c r="O745" s="71">
        <v>92.539916989999995</v>
      </c>
      <c r="P745" s="71" t="s">
        <v>797</v>
      </c>
      <c r="Q745" s="71" t="s">
        <v>800</v>
      </c>
      <c r="R745" s="572"/>
      <c r="S745" s="573"/>
      <c r="T745" s="109">
        <v>42926</v>
      </c>
      <c r="U745" s="105" t="s">
        <v>801</v>
      </c>
      <c r="W745" s="435"/>
    </row>
    <row r="746" spans="1:23" s="71" customFormat="1" ht="14.25" customHeight="1">
      <c r="A746" s="435" t="s">
        <v>2686</v>
      </c>
      <c r="B746" s="582" t="s">
        <v>321</v>
      </c>
      <c r="C746" s="581" t="s">
        <v>646</v>
      </c>
      <c r="D746" s="477" t="s">
        <v>1664</v>
      </c>
      <c r="E746" s="561">
        <v>198302</v>
      </c>
      <c r="F746" s="561"/>
      <c r="G746" s="561"/>
      <c r="H746" s="561"/>
      <c r="I746" s="561"/>
      <c r="J746" s="561" t="s">
        <v>796</v>
      </c>
      <c r="K746" s="561" t="s">
        <v>796</v>
      </c>
      <c r="L746" s="561" t="s">
        <v>796</v>
      </c>
      <c r="M746" s="561" t="s">
        <v>793</v>
      </c>
      <c r="N746" s="561">
        <v>20.884159090000001</v>
      </c>
      <c r="O746" s="561">
        <v>92.551063540000001</v>
      </c>
      <c r="P746" s="561" t="s">
        <v>797</v>
      </c>
      <c r="Q746" s="561" t="s">
        <v>778</v>
      </c>
      <c r="R746" s="572"/>
      <c r="S746" s="573"/>
      <c r="T746" s="588"/>
      <c r="U746" s="570"/>
      <c r="V746" s="561" t="s">
        <v>646</v>
      </c>
      <c r="W746" s="561"/>
    </row>
    <row r="747" spans="1:23" s="71" customFormat="1" ht="14.25" customHeight="1">
      <c r="A747" s="561" t="s">
        <v>2686</v>
      </c>
      <c r="B747" s="582" t="s">
        <v>321</v>
      </c>
      <c r="C747" s="581" t="s">
        <v>523</v>
      </c>
      <c r="D747" s="477" t="s">
        <v>1664</v>
      </c>
      <c r="E747" s="71">
        <v>198449</v>
      </c>
      <c r="F747" s="435"/>
      <c r="J747" s="71" t="s">
        <v>796</v>
      </c>
      <c r="K747" s="435" t="s">
        <v>796</v>
      </c>
      <c r="L747" s="435" t="s">
        <v>796</v>
      </c>
      <c r="M747" s="71" t="s">
        <v>793</v>
      </c>
      <c r="N747" s="71">
        <v>20.663370130000001</v>
      </c>
      <c r="O747" s="71">
        <v>92.613876340000004</v>
      </c>
      <c r="P747" s="71" t="s">
        <v>797</v>
      </c>
      <c r="Q747" s="71" t="s">
        <v>778</v>
      </c>
      <c r="R747" s="568"/>
      <c r="S747" s="104"/>
      <c r="T747" s="109"/>
      <c r="U747" s="570"/>
      <c r="V747" s="71" t="s">
        <v>920</v>
      </c>
      <c r="W747" s="561"/>
    </row>
    <row r="748" spans="1:23" s="71" customFormat="1" ht="14.25" customHeight="1">
      <c r="A748" s="561" t="s">
        <v>2686</v>
      </c>
      <c r="B748" s="582" t="s">
        <v>321</v>
      </c>
      <c r="C748" s="581" t="s">
        <v>2544</v>
      </c>
      <c r="D748" s="477"/>
      <c r="E748" s="561">
        <v>198351</v>
      </c>
      <c r="F748" s="561" t="s">
        <v>2543</v>
      </c>
      <c r="G748" s="561"/>
      <c r="H748" s="561"/>
      <c r="I748" s="561"/>
      <c r="J748" s="561" t="s">
        <v>796</v>
      </c>
      <c r="K748" s="561" t="s">
        <v>796</v>
      </c>
      <c r="L748" s="561" t="s">
        <v>796</v>
      </c>
      <c r="M748" s="561" t="s">
        <v>793</v>
      </c>
      <c r="N748" s="561"/>
      <c r="O748" s="561"/>
      <c r="P748" s="561" t="s">
        <v>797</v>
      </c>
      <c r="Q748" s="561" t="s">
        <v>2663</v>
      </c>
      <c r="R748" s="568"/>
      <c r="S748" s="569"/>
      <c r="T748" s="588"/>
      <c r="U748" s="570"/>
      <c r="V748" s="561"/>
      <c r="W748" s="561"/>
    </row>
    <row r="749" spans="1:23" s="71" customFormat="1" ht="14.25" customHeight="1">
      <c r="A749" s="561" t="s">
        <v>2686</v>
      </c>
      <c r="B749" s="582" t="s">
        <v>321</v>
      </c>
      <c r="C749" s="581" t="s">
        <v>576</v>
      </c>
      <c r="D749" s="477" t="s">
        <v>1664</v>
      </c>
      <c r="E749" s="561">
        <v>198400</v>
      </c>
      <c r="F749" s="561"/>
      <c r="G749" s="561"/>
      <c r="H749" s="561"/>
      <c r="I749" s="561"/>
      <c r="J749" s="71" t="s">
        <v>802</v>
      </c>
      <c r="K749" s="435" t="s">
        <v>796</v>
      </c>
      <c r="L749" s="435" t="s">
        <v>802</v>
      </c>
      <c r="M749" s="71" t="s">
        <v>793</v>
      </c>
      <c r="N749" s="561">
        <v>20.733280180000001</v>
      </c>
      <c r="O749" s="435">
        <v>92.601409910000001</v>
      </c>
      <c r="P749" s="561" t="s">
        <v>921</v>
      </c>
      <c r="Q749" s="561" t="s">
        <v>800</v>
      </c>
      <c r="R749" s="568"/>
      <c r="S749" s="569"/>
      <c r="T749" s="588">
        <v>42926</v>
      </c>
      <c r="U749" s="570" t="s">
        <v>931</v>
      </c>
      <c r="W749" s="561"/>
    </row>
    <row r="750" spans="1:23" s="71" customFormat="1" ht="14.25" customHeight="1">
      <c r="A750" s="572" t="s">
        <v>2686</v>
      </c>
      <c r="B750" s="583" t="s">
        <v>321</v>
      </c>
      <c r="C750" s="459" t="s">
        <v>586</v>
      </c>
      <c r="D750" s="567" t="s">
        <v>1664</v>
      </c>
      <c r="E750" s="561">
        <v>198408</v>
      </c>
      <c r="F750" s="561"/>
      <c r="G750" s="561"/>
      <c r="H750" s="561"/>
      <c r="I750" s="561"/>
      <c r="J750" s="71" t="s">
        <v>796</v>
      </c>
      <c r="K750" s="71" t="s">
        <v>796</v>
      </c>
      <c r="L750" s="71" t="s">
        <v>796</v>
      </c>
      <c r="M750" s="71" t="s">
        <v>296</v>
      </c>
      <c r="N750" s="561">
        <v>20.76407051</v>
      </c>
      <c r="O750" s="71">
        <v>92.631126399999999</v>
      </c>
      <c r="P750" s="71" t="s">
        <v>797</v>
      </c>
      <c r="Q750" s="561" t="s">
        <v>778</v>
      </c>
      <c r="R750" s="576"/>
      <c r="S750" s="569"/>
      <c r="T750" s="588"/>
      <c r="U750" s="576"/>
      <c r="V750" s="71" t="s">
        <v>586</v>
      </c>
      <c r="W750" s="568"/>
    </row>
    <row r="751" spans="1:23" s="561" customFormat="1" ht="14.25" customHeight="1">
      <c r="A751" s="489" t="s">
        <v>2686</v>
      </c>
      <c r="B751" s="512" t="s">
        <v>321</v>
      </c>
      <c r="C751" s="766" t="s">
        <v>2772</v>
      </c>
      <c r="D751" s="567"/>
      <c r="E751" s="491">
        <v>198401</v>
      </c>
      <c r="F751" s="491"/>
      <c r="G751" s="491"/>
      <c r="H751" s="491"/>
      <c r="I751" s="491"/>
      <c r="J751" s="561" t="s">
        <v>2692</v>
      </c>
      <c r="K751" s="561" t="s">
        <v>2658</v>
      </c>
      <c r="L751" s="561" t="s">
        <v>2658</v>
      </c>
      <c r="N751" s="491">
        <v>20.765670776367202</v>
      </c>
      <c r="O751" s="561">
        <v>92.577812194824205</v>
      </c>
      <c r="Q751" s="491"/>
      <c r="R751" s="492"/>
      <c r="S751" s="489"/>
      <c r="T751" s="493">
        <v>43591</v>
      </c>
      <c r="U751" s="494"/>
      <c r="W751" s="568"/>
    </row>
    <row r="752" spans="1:23" s="71" customFormat="1" ht="14.25" customHeight="1">
      <c r="A752" s="435" t="s">
        <v>2686</v>
      </c>
      <c r="B752" s="582" t="s">
        <v>321</v>
      </c>
      <c r="C752" s="581" t="s">
        <v>574</v>
      </c>
      <c r="D752" s="477"/>
      <c r="E752" s="435">
        <v>198418</v>
      </c>
      <c r="F752" s="435" t="s">
        <v>574</v>
      </c>
      <c r="G752" s="435"/>
      <c r="H752" s="435"/>
      <c r="I752" s="435"/>
      <c r="J752" s="435" t="s">
        <v>796</v>
      </c>
      <c r="K752" s="435" t="s">
        <v>796</v>
      </c>
      <c r="L752" s="435" t="s">
        <v>796</v>
      </c>
      <c r="M752" s="435" t="s">
        <v>296</v>
      </c>
      <c r="N752" s="435">
        <v>20.7264194488525</v>
      </c>
      <c r="O752" s="435">
        <v>92.671180730000003</v>
      </c>
      <c r="P752" s="435" t="s">
        <v>797</v>
      </c>
      <c r="Q752" s="435" t="s">
        <v>2663</v>
      </c>
      <c r="R752" s="438"/>
      <c r="S752" s="439"/>
      <c r="T752" s="452">
        <v>43580</v>
      </c>
      <c r="U752" s="440" t="s">
        <v>2713</v>
      </c>
      <c r="V752" s="435" t="s">
        <v>574</v>
      </c>
      <c r="W752" s="435"/>
    </row>
    <row r="753" spans="1:26" s="71" customFormat="1" ht="14.25" customHeight="1">
      <c r="A753" s="435" t="s">
        <v>2686</v>
      </c>
      <c r="B753" s="586" t="s">
        <v>321</v>
      </c>
      <c r="C753" s="585" t="s">
        <v>535</v>
      </c>
      <c r="D753" s="477" t="s">
        <v>1664</v>
      </c>
      <c r="E753" s="71">
        <v>217886</v>
      </c>
      <c r="J753" s="71" t="s">
        <v>796</v>
      </c>
      <c r="K753" s="435" t="s">
        <v>796</v>
      </c>
      <c r="L753" s="435" t="s">
        <v>796</v>
      </c>
      <c r="M753" s="71" t="s">
        <v>793</v>
      </c>
      <c r="N753" s="71">
        <v>20.678150179999999</v>
      </c>
      <c r="O753" s="71">
        <v>92.587867739999993</v>
      </c>
      <c r="P753" s="71" t="s">
        <v>797</v>
      </c>
      <c r="Q753" s="435" t="s">
        <v>778</v>
      </c>
      <c r="R753" s="438"/>
      <c r="S753" s="439"/>
      <c r="T753" s="452"/>
      <c r="U753" s="105"/>
      <c r="V753" s="71" t="s">
        <v>535</v>
      </c>
    </row>
    <row r="754" spans="1:26" s="71" customFormat="1" ht="14.25" customHeight="1">
      <c r="A754" s="435" t="s">
        <v>2686</v>
      </c>
      <c r="B754" s="586" t="s">
        <v>321</v>
      </c>
      <c r="C754" s="585" t="s">
        <v>593</v>
      </c>
      <c r="D754" s="477" t="s">
        <v>1664</v>
      </c>
      <c r="E754" s="71">
        <v>198388</v>
      </c>
      <c r="F754" s="435"/>
      <c r="J754" s="71" t="s">
        <v>796</v>
      </c>
      <c r="K754" s="435" t="s">
        <v>796</v>
      </c>
      <c r="L754" s="435" t="s">
        <v>796</v>
      </c>
      <c r="M754" s="71" t="s">
        <v>296</v>
      </c>
      <c r="N754" s="71">
        <v>20.782770159999998</v>
      </c>
      <c r="O754" s="71">
        <v>92.551826480000003</v>
      </c>
      <c r="P754" s="71" t="s">
        <v>797</v>
      </c>
      <c r="Q754" s="71" t="s">
        <v>800</v>
      </c>
      <c r="R754" s="438"/>
      <c r="S754" s="439"/>
      <c r="T754" s="109">
        <v>42926</v>
      </c>
      <c r="U754" s="105" t="s">
        <v>801</v>
      </c>
    </row>
    <row r="755" spans="1:26" s="71" customFormat="1" ht="14.25" customHeight="1">
      <c r="A755" s="435" t="s">
        <v>2686</v>
      </c>
      <c r="B755" s="586" t="s">
        <v>321</v>
      </c>
      <c r="C755" s="585" t="s">
        <v>2546</v>
      </c>
      <c r="D755" s="477"/>
      <c r="E755" s="435"/>
      <c r="F755" s="71" t="s">
        <v>2665</v>
      </c>
      <c r="J755" s="71" t="s">
        <v>796</v>
      </c>
      <c r="K755" s="71" t="s">
        <v>796</v>
      </c>
      <c r="L755" s="71" t="s">
        <v>796</v>
      </c>
      <c r="M755" s="71" t="s">
        <v>793</v>
      </c>
      <c r="P755" s="71" t="s">
        <v>797</v>
      </c>
      <c r="Q755" s="435" t="s">
        <v>2663</v>
      </c>
      <c r="R755" s="438"/>
      <c r="S755" s="439"/>
      <c r="T755" s="452"/>
      <c r="U755" s="105"/>
      <c r="W755" s="435"/>
    </row>
    <row r="756" spans="1:26" s="71" customFormat="1" ht="14.25" customHeight="1">
      <c r="A756" s="435" t="s">
        <v>2686</v>
      </c>
      <c r="B756" s="586" t="s">
        <v>321</v>
      </c>
      <c r="C756" s="585" t="s">
        <v>588</v>
      </c>
      <c r="D756" s="477" t="s">
        <v>1664</v>
      </c>
      <c r="E756" s="435">
        <v>198409</v>
      </c>
      <c r="F756" s="71" t="s">
        <v>2671</v>
      </c>
      <c r="J756" s="71" t="s">
        <v>796</v>
      </c>
      <c r="K756" s="561" t="s">
        <v>796</v>
      </c>
      <c r="L756" s="561" t="s">
        <v>796</v>
      </c>
      <c r="M756" s="71" t="s">
        <v>296</v>
      </c>
      <c r="N756" s="71">
        <v>20.767719270000001</v>
      </c>
      <c r="O756" s="71">
        <v>92.631736759999995</v>
      </c>
      <c r="P756" s="71" t="s">
        <v>797</v>
      </c>
      <c r="Q756" s="71" t="s">
        <v>2663</v>
      </c>
      <c r="R756" s="438"/>
      <c r="S756" s="439"/>
      <c r="T756" s="109"/>
      <c r="U756" s="105"/>
      <c r="V756" s="71" t="s">
        <v>588</v>
      </c>
      <c r="W756" s="435"/>
    </row>
    <row r="757" spans="1:26" s="71" customFormat="1" ht="14.25" customHeight="1">
      <c r="A757" s="435" t="s">
        <v>2686</v>
      </c>
      <c r="B757" s="586" t="s">
        <v>321</v>
      </c>
      <c r="C757" s="585" t="s">
        <v>2834</v>
      </c>
      <c r="D757" s="477"/>
      <c r="E757" s="71">
        <v>198362</v>
      </c>
      <c r="J757" s="71" t="s">
        <v>2692</v>
      </c>
      <c r="K757" s="435" t="s">
        <v>2658</v>
      </c>
      <c r="L757" s="435" t="s">
        <v>2658</v>
      </c>
      <c r="R757" s="438"/>
      <c r="S757" s="439"/>
      <c r="T757" s="109"/>
      <c r="U757" s="105"/>
    </row>
    <row r="758" spans="1:26" ht="14.25" customHeight="1">
      <c r="A758" s="435" t="s">
        <v>2686</v>
      </c>
      <c r="B758" s="586" t="s">
        <v>321</v>
      </c>
      <c r="C758" s="585" t="s">
        <v>657</v>
      </c>
      <c r="D758" s="477" t="s">
        <v>1664</v>
      </c>
      <c r="E758" s="435">
        <v>198318</v>
      </c>
      <c r="F758" s="435"/>
      <c r="G758" s="435"/>
      <c r="H758" s="435"/>
      <c r="I758" s="435"/>
      <c r="J758" s="71" t="s">
        <v>796</v>
      </c>
      <c r="K758" s="582" t="s">
        <v>796</v>
      </c>
      <c r="L758" s="582" t="s">
        <v>796</v>
      </c>
      <c r="M758" s="71" t="s">
        <v>793</v>
      </c>
      <c r="N758" s="71">
        <v>20.895900730000001</v>
      </c>
      <c r="O758" s="71">
        <v>92.497329710000002</v>
      </c>
      <c r="P758" s="561" t="s">
        <v>797</v>
      </c>
      <c r="Q758" s="71" t="s">
        <v>778</v>
      </c>
      <c r="R758" s="438"/>
      <c r="S758" s="439"/>
      <c r="T758" s="109"/>
      <c r="U758" s="105"/>
      <c r="V758" s="71" t="s">
        <v>657</v>
      </c>
      <c r="W758" s="435"/>
      <c r="X758" s="17"/>
      <c r="Z758" s="17"/>
    </row>
    <row r="759" spans="1:26" ht="14.25" customHeight="1">
      <c r="A759" s="435" t="s">
        <v>2686</v>
      </c>
      <c r="B759" s="561" t="s">
        <v>321</v>
      </c>
      <c r="C759" s="591" t="s">
        <v>3071</v>
      </c>
      <c r="D759" s="477"/>
      <c r="E759" s="71">
        <v>198168</v>
      </c>
      <c r="F759" s="71"/>
      <c r="G759" s="71"/>
      <c r="H759" s="71"/>
      <c r="I759" s="71"/>
      <c r="J759" s="71" t="s">
        <v>796</v>
      </c>
      <c r="K759" s="582" t="s">
        <v>796</v>
      </c>
      <c r="L759" s="582" t="s">
        <v>796</v>
      </c>
      <c r="M759" s="71" t="s">
        <v>3074</v>
      </c>
      <c r="N759" s="71">
        <v>20.897079467773398</v>
      </c>
      <c r="O759" s="71">
        <v>92.469520568847699</v>
      </c>
      <c r="P759" s="71" t="s">
        <v>797</v>
      </c>
      <c r="Q759" s="71" t="s">
        <v>3026</v>
      </c>
      <c r="R759" s="438"/>
      <c r="S759" s="439"/>
      <c r="T759" s="109">
        <v>43768</v>
      </c>
      <c r="U759" s="105"/>
      <c r="V759" s="71"/>
      <c r="W759" s="71"/>
      <c r="X759" s="17"/>
      <c r="Z759" s="17"/>
    </row>
    <row r="760" spans="1:26" ht="14.25" customHeight="1">
      <c r="A760" s="561" t="s">
        <v>2686</v>
      </c>
      <c r="B760" s="582" t="s">
        <v>321</v>
      </c>
      <c r="C760" s="591" t="s">
        <v>3070</v>
      </c>
      <c r="D760" s="477"/>
      <c r="E760" s="561">
        <v>198168</v>
      </c>
      <c r="F760" s="561"/>
      <c r="G760" s="561"/>
      <c r="H760" s="561"/>
      <c r="I760" s="561"/>
      <c r="J760" s="71" t="s">
        <v>796</v>
      </c>
      <c r="K760" s="582" t="s">
        <v>796</v>
      </c>
      <c r="L760" s="582" t="s">
        <v>796</v>
      </c>
      <c r="M760" s="435" t="s">
        <v>793</v>
      </c>
      <c r="N760" s="561">
        <v>20.897079467773398</v>
      </c>
      <c r="O760" s="561">
        <v>92.469520568847699</v>
      </c>
      <c r="P760" s="71" t="s">
        <v>797</v>
      </c>
      <c r="Q760" s="561" t="s">
        <v>3026</v>
      </c>
      <c r="R760" s="568"/>
      <c r="S760" s="569"/>
      <c r="T760" s="588">
        <v>43768</v>
      </c>
      <c r="U760" s="570"/>
      <c r="V760" s="561"/>
      <c r="W760" s="561"/>
      <c r="X760" s="17"/>
      <c r="Z760" s="17"/>
    </row>
    <row r="761" spans="1:26" ht="14.25" customHeight="1">
      <c r="A761" s="561" t="s">
        <v>2686</v>
      </c>
      <c r="B761" s="566" t="s">
        <v>321</v>
      </c>
      <c r="C761" s="591" t="s">
        <v>643</v>
      </c>
      <c r="D761" s="477" t="s">
        <v>1664</v>
      </c>
      <c r="E761" s="561">
        <v>198299</v>
      </c>
      <c r="F761" s="561"/>
      <c r="G761" s="561"/>
      <c r="H761" s="561"/>
      <c r="I761" s="561"/>
      <c r="J761" s="71" t="s">
        <v>796</v>
      </c>
      <c r="K761" s="582" t="s">
        <v>796</v>
      </c>
      <c r="L761" s="582" t="s">
        <v>796</v>
      </c>
      <c r="M761" s="561" t="s">
        <v>793</v>
      </c>
      <c r="N761" s="561">
        <v>20.88254929</v>
      </c>
      <c r="O761" s="561">
        <v>92.551338200000004</v>
      </c>
      <c r="P761" s="561" t="s">
        <v>797</v>
      </c>
      <c r="Q761" s="561" t="s">
        <v>778</v>
      </c>
      <c r="R761" s="568"/>
      <c r="S761" s="569"/>
      <c r="T761" s="588"/>
      <c r="U761" s="570"/>
      <c r="V761" s="561" t="s">
        <v>943</v>
      </c>
      <c r="W761" s="561"/>
      <c r="X761" s="17"/>
      <c r="Z761" s="17"/>
    </row>
    <row r="762" spans="1:26" ht="14.25" customHeight="1">
      <c r="A762" s="561" t="s">
        <v>2686</v>
      </c>
      <c r="B762" s="566" t="s">
        <v>321</v>
      </c>
      <c r="C762" s="591" t="s">
        <v>524</v>
      </c>
      <c r="D762" s="477" t="s">
        <v>1664</v>
      </c>
      <c r="E762" s="435">
        <v>198451</v>
      </c>
      <c r="F762" s="435"/>
      <c r="G762" s="435"/>
      <c r="H762" s="435"/>
      <c r="I762" s="435"/>
      <c r="J762" s="435" t="s">
        <v>796</v>
      </c>
      <c r="K762" s="586" t="s">
        <v>796</v>
      </c>
      <c r="L762" s="586" t="s">
        <v>796</v>
      </c>
      <c r="M762" s="435" t="s">
        <v>793</v>
      </c>
      <c r="N762" s="435">
        <v>20.663879390000002</v>
      </c>
      <c r="O762" s="435">
        <v>92.609306340000003</v>
      </c>
      <c r="P762" s="561" t="s">
        <v>797</v>
      </c>
      <c r="Q762" s="435" t="s">
        <v>778</v>
      </c>
      <c r="R762" s="568"/>
      <c r="S762" s="439"/>
      <c r="T762" s="452"/>
      <c r="U762" s="570"/>
      <c r="V762" s="435" t="s">
        <v>524</v>
      </c>
      <c r="W762" s="561"/>
      <c r="X762" s="17"/>
      <c r="Z762" s="17"/>
    </row>
    <row r="763" spans="1:26" ht="14.25" customHeight="1">
      <c r="A763" s="435" t="s">
        <v>2686</v>
      </c>
      <c r="B763" s="586" t="s">
        <v>321</v>
      </c>
      <c r="C763" s="591" t="s">
        <v>526</v>
      </c>
      <c r="D763" s="477" t="s">
        <v>1664</v>
      </c>
      <c r="E763" s="71">
        <v>198452</v>
      </c>
      <c r="F763" s="435"/>
      <c r="G763" s="71"/>
      <c r="H763" s="71"/>
      <c r="I763" s="71"/>
      <c r="J763" s="71" t="s">
        <v>796</v>
      </c>
      <c r="K763" s="566" t="s">
        <v>796</v>
      </c>
      <c r="L763" s="566" t="s">
        <v>796</v>
      </c>
      <c r="M763" s="71" t="s">
        <v>296</v>
      </c>
      <c r="N763" s="71">
        <v>20.667749400000002</v>
      </c>
      <c r="O763" s="71">
        <v>92.608650209999993</v>
      </c>
      <c r="P763" s="71" t="s">
        <v>797</v>
      </c>
      <c r="Q763" s="71" t="s">
        <v>778</v>
      </c>
      <c r="R763" s="438"/>
      <c r="S763" s="439"/>
      <c r="T763" s="109"/>
      <c r="U763" s="105"/>
      <c r="V763" s="71" t="s">
        <v>526</v>
      </c>
      <c r="W763" s="435"/>
      <c r="X763" s="17"/>
      <c r="Z763" s="17"/>
    </row>
    <row r="764" spans="1:26" ht="14.25" customHeight="1">
      <c r="A764" s="561" t="s">
        <v>2686</v>
      </c>
      <c r="B764" s="586" t="s">
        <v>321</v>
      </c>
      <c r="C764" s="585" t="s">
        <v>600</v>
      </c>
      <c r="D764" s="477" t="s">
        <v>1664</v>
      </c>
      <c r="E764" s="561">
        <v>198380</v>
      </c>
      <c r="F764" s="561"/>
      <c r="G764" s="561"/>
      <c r="H764" s="561"/>
      <c r="I764" s="561"/>
      <c r="J764" s="71" t="s">
        <v>796</v>
      </c>
      <c r="K764" s="566" t="s">
        <v>796</v>
      </c>
      <c r="L764" s="566" t="s">
        <v>796</v>
      </c>
      <c r="M764" s="71" t="s">
        <v>793</v>
      </c>
      <c r="N764" s="561">
        <v>20.787410739999999</v>
      </c>
      <c r="O764" s="561">
        <v>92.55155182</v>
      </c>
      <c r="P764" s="71" t="s">
        <v>797</v>
      </c>
      <c r="Q764" s="561" t="s">
        <v>778</v>
      </c>
      <c r="R764" s="568"/>
      <c r="S764" s="569"/>
      <c r="T764" s="588"/>
      <c r="U764" s="570"/>
      <c r="V764" s="561" t="s">
        <v>600</v>
      </c>
      <c r="W764" s="561"/>
      <c r="X764" s="17"/>
      <c r="Z764" s="17"/>
    </row>
    <row r="765" spans="1:26" ht="14.25" customHeight="1">
      <c r="A765" s="569" t="s">
        <v>2686</v>
      </c>
      <c r="B765" s="572" t="s">
        <v>321</v>
      </c>
      <c r="C765" s="608" t="s">
        <v>602</v>
      </c>
      <c r="D765" s="567" t="s">
        <v>1664</v>
      </c>
      <c r="E765" s="561">
        <v>198378</v>
      </c>
      <c r="F765" s="561"/>
      <c r="G765" s="561"/>
      <c r="H765" s="561"/>
      <c r="I765" s="561"/>
      <c r="J765" s="71" t="s">
        <v>796</v>
      </c>
      <c r="K765" s="566" t="s">
        <v>796</v>
      </c>
      <c r="L765" s="566" t="s">
        <v>796</v>
      </c>
      <c r="M765" s="561" t="s">
        <v>793</v>
      </c>
      <c r="N765" s="561">
        <v>20.791679380000001</v>
      </c>
      <c r="O765" s="561">
        <v>92.550903320000003</v>
      </c>
      <c r="P765" s="561" t="s">
        <v>797</v>
      </c>
      <c r="Q765" s="561" t="s">
        <v>778</v>
      </c>
      <c r="R765" s="576"/>
      <c r="S765" s="569"/>
      <c r="T765" s="588"/>
      <c r="U765" s="576"/>
      <c r="V765" s="561" t="s">
        <v>602</v>
      </c>
      <c r="W765" s="568"/>
      <c r="X765" s="17"/>
      <c r="Z765" s="17"/>
    </row>
    <row r="766" spans="1:26" ht="14.25" customHeight="1">
      <c r="A766" s="561" t="s">
        <v>2686</v>
      </c>
      <c r="B766" s="566" t="s">
        <v>321</v>
      </c>
      <c r="C766" s="585" t="s">
        <v>2860</v>
      </c>
      <c r="D766" s="477"/>
      <c r="E766" s="71">
        <v>198407</v>
      </c>
      <c r="F766" s="435"/>
      <c r="G766" s="71"/>
      <c r="H766" s="71"/>
      <c r="I766" s="71"/>
      <c r="J766" s="71" t="s">
        <v>796</v>
      </c>
      <c r="K766" s="566" t="s">
        <v>796</v>
      </c>
      <c r="L766" s="566" t="s">
        <v>796</v>
      </c>
      <c r="M766" s="71" t="s">
        <v>793</v>
      </c>
      <c r="N766" s="71">
        <v>20.775840759277301</v>
      </c>
      <c r="O766" s="71">
        <v>92.613082885742202</v>
      </c>
      <c r="P766" s="71" t="s">
        <v>797</v>
      </c>
      <c r="Q766" s="435"/>
      <c r="R766" s="568"/>
      <c r="S766" s="439"/>
      <c r="T766" s="452"/>
      <c r="U766" s="570"/>
      <c r="V766" s="71" t="s">
        <v>591</v>
      </c>
      <c r="W766" s="561"/>
      <c r="X766" s="17"/>
      <c r="Z766" s="17"/>
    </row>
    <row r="767" spans="1:26" ht="14.25" customHeight="1">
      <c r="A767" s="561" t="s">
        <v>2686</v>
      </c>
      <c r="B767" s="586" t="s">
        <v>321</v>
      </c>
      <c r="C767" s="585" t="s">
        <v>2548</v>
      </c>
      <c r="D767" s="477"/>
      <c r="E767" s="71">
        <v>198337</v>
      </c>
      <c r="F767" s="435" t="s">
        <v>611</v>
      </c>
      <c r="G767" s="71"/>
      <c r="H767" s="71"/>
      <c r="I767" s="71"/>
      <c r="J767" s="71" t="s">
        <v>796</v>
      </c>
      <c r="K767" s="435" t="s">
        <v>796</v>
      </c>
      <c r="L767" s="435" t="s">
        <v>796</v>
      </c>
      <c r="M767" s="71" t="s">
        <v>296</v>
      </c>
      <c r="N767" s="71"/>
      <c r="O767" s="582"/>
      <c r="P767" s="561" t="s">
        <v>797</v>
      </c>
      <c r="Q767" s="71" t="s">
        <v>2663</v>
      </c>
      <c r="R767" s="568"/>
      <c r="S767" s="439"/>
      <c r="T767" s="109"/>
      <c r="U767" s="570"/>
      <c r="V767" s="71"/>
      <c r="W767" s="561"/>
      <c r="X767" s="17"/>
      <c r="Z767" s="17"/>
    </row>
    <row r="768" spans="1:26" ht="14.25" customHeight="1">
      <c r="A768" s="435" t="s">
        <v>2686</v>
      </c>
      <c r="B768" s="586" t="s">
        <v>321</v>
      </c>
      <c r="C768" s="585" t="s">
        <v>3073</v>
      </c>
      <c r="D768" s="477"/>
      <c r="E768" s="71">
        <v>198377</v>
      </c>
      <c r="F768" s="571"/>
      <c r="G768" s="71"/>
      <c r="H768" s="71"/>
      <c r="I768" s="71"/>
      <c r="J768" s="71" t="s">
        <v>796</v>
      </c>
      <c r="K768" s="435" t="s">
        <v>796</v>
      </c>
      <c r="L768" s="435" t="s">
        <v>796</v>
      </c>
      <c r="M768" s="71" t="s">
        <v>296</v>
      </c>
      <c r="N768" s="435">
        <v>20.7940998077393</v>
      </c>
      <c r="O768" s="561">
        <v>92.5543212890625</v>
      </c>
      <c r="P768" s="435" t="s">
        <v>797</v>
      </c>
      <c r="Q768" s="71" t="s">
        <v>3026</v>
      </c>
      <c r="R768" s="572"/>
      <c r="S768" s="573"/>
      <c r="T768" s="109">
        <v>43768</v>
      </c>
      <c r="U768" s="105"/>
      <c r="V768" s="71"/>
      <c r="W768" s="435"/>
      <c r="X768" s="17"/>
      <c r="Z768" s="17"/>
    </row>
    <row r="769" spans="1:26" ht="14.25" customHeight="1">
      <c r="A769" s="435" t="s">
        <v>2686</v>
      </c>
      <c r="B769" s="586" t="s">
        <v>321</v>
      </c>
      <c r="C769" s="585" t="s">
        <v>555</v>
      </c>
      <c r="D769" s="477" t="s">
        <v>1664</v>
      </c>
      <c r="E769" s="561">
        <v>198423</v>
      </c>
      <c r="F769" s="571"/>
      <c r="G769" s="561"/>
      <c r="H769" s="561"/>
      <c r="I769" s="561"/>
      <c r="J769" s="561" t="s">
        <v>796</v>
      </c>
      <c r="K769" s="561" t="s">
        <v>796</v>
      </c>
      <c r="L769" s="561" t="s">
        <v>796</v>
      </c>
      <c r="M769" s="561" t="s">
        <v>296</v>
      </c>
      <c r="N769" s="561">
        <v>20.707460399999999</v>
      </c>
      <c r="O769" s="561">
        <v>92.680862430000005</v>
      </c>
      <c r="P769" s="71" t="s">
        <v>797</v>
      </c>
      <c r="Q769" s="561" t="s">
        <v>778</v>
      </c>
      <c r="R769" s="568"/>
      <c r="S769" s="569"/>
      <c r="T769" s="588"/>
      <c r="U769" s="570"/>
      <c r="V769" s="561" t="s">
        <v>555</v>
      </c>
      <c r="W769" s="561"/>
      <c r="X769" s="17"/>
      <c r="Z769" s="17"/>
    </row>
    <row r="770" spans="1:26" ht="14.25" customHeight="1">
      <c r="A770" s="561" t="s">
        <v>2686</v>
      </c>
      <c r="B770" s="586" t="s">
        <v>321</v>
      </c>
      <c r="C770" s="585" t="s">
        <v>2547</v>
      </c>
      <c r="D770" s="477"/>
      <c r="E770" s="561">
        <v>198363</v>
      </c>
      <c r="F770" s="561" t="s">
        <v>2665</v>
      </c>
      <c r="G770" s="561"/>
      <c r="H770" s="561"/>
      <c r="I770" s="561"/>
      <c r="J770" s="561" t="s">
        <v>796</v>
      </c>
      <c r="K770" s="561" t="s">
        <v>796</v>
      </c>
      <c r="L770" s="561" t="s">
        <v>796</v>
      </c>
      <c r="M770" s="561" t="s">
        <v>296</v>
      </c>
      <c r="N770" s="561"/>
      <c r="O770" s="561"/>
      <c r="P770" s="71" t="s">
        <v>797</v>
      </c>
      <c r="Q770" s="561" t="s">
        <v>2663</v>
      </c>
      <c r="R770" s="568"/>
      <c r="S770" s="569"/>
      <c r="T770" s="588"/>
      <c r="U770" s="570"/>
      <c r="V770" s="561"/>
      <c r="W770" s="561"/>
      <c r="X770" s="17"/>
      <c r="Z770" s="17"/>
    </row>
    <row r="771" spans="1:26" ht="14.25" customHeight="1">
      <c r="A771" s="561" t="s">
        <v>2686</v>
      </c>
      <c r="B771" s="586" t="s">
        <v>321</v>
      </c>
      <c r="C771" s="585" t="s">
        <v>585</v>
      </c>
      <c r="D771" s="477" t="s">
        <v>1664</v>
      </c>
      <c r="E771" s="561">
        <v>198391</v>
      </c>
      <c r="F771" s="561"/>
      <c r="G771" s="561"/>
      <c r="H771" s="561"/>
      <c r="I771" s="561"/>
      <c r="J771" s="561" t="s">
        <v>796</v>
      </c>
      <c r="K771" s="561" t="s">
        <v>796</v>
      </c>
      <c r="L771" s="561" t="s">
        <v>796</v>
      </c>
      <c r="M771" s="561" t="s">
        <v>793</v>
      </c>
      <c r="N771" s="561">
        <v>20.761529920000001</v>
      </c>
      <c r="O771" s="566">
        <v>92.544082639999999</v>
      </c>
      <c r="P771" s="561" t="s">
        <v>797</v>
      </c>
      <c r="Q771" s="561" t="s">
        <v>778</v>
      </c>
      <c r="R771" s="568"/>
      <c r="S771" s="569"/>
      <c r="T771" s="588"/>
      <c r="U771" s="570"/>
      <c r="V771" s="561" t="s">
        <v>585</v>
      </c>
      <c r="W771" s="561"/>
      <c r="X771" s="17"/>
      <c r="Z771" s="17"/>
    </row>
    <row r="772" spans="1:26" ht="14.25" customHeight="1">
      <c r="A772" s="435" t="s">
        <v>2686</v>
      </c>
      <c r="B772" s="586" t="s">
        <v>321</v>
      </c>
      <c r="C772" s="586" t="s">
        <v>544</v>
      </c>
      <c r="D772" s="477" t="s">
        <v>1664</v>
      </c>
      <c r="E772" s="71">
        <v>198421</v>
      </c>
      <c r="F772" s="566"/>
      <c r="G772" s="71"/>
      <c r="H772" s="71"/>
      <c r="I772" s="71"/>
      <c r="J772" s="71" t="s">
        <v>796</v>
      </c>
      <c r="K772" s="435" t="s">
        <v>796</v>
      </c>
      <c r="L772" s="435" t="s">
        <v>796</v>
      </c>
      <c r="M772" s="71" t="s">
        <v>296</v>
      </c>
      <c r="N772" s="71">
        <v>20.688310619999999</v>
      </c>
      <c r="O772" s="566">
        <v>92.696960450000006</v>
      </c>
      <c r="P772" s="561" t="s">
        <v>797</v>
      </c>
      <c r="Q772" s="71" t="s">
        <v>778</v>
      </c>
      <c r="R772" s="568"/>
      <c r="S772" s="104"/>
      <c r="T772" s="588"/>
      <c r="U772" s="570"/>
      <c r="V772" s="71" t="s">
        <v>544</v>
      </c>
      <c r="W772" s="561"/>
      <c r="X772" s="17"/>
      <c r="Z772" s="17"/>
    </row>
    <row r="773" spans="1:26" ht="14.25" customHeight="1">
      <c r="A773" s="435" t="s">
        <v>2686</v>
      </c>
      <c r="B773" s="586" t="s">
        <v>321</v>
      </c>
      <c r="C773" s="585" t="s">
        <v>2557</v>
      </c>
      <c r="D773" s="477" t="s">
        <v>1664</v>
      </c>
      <c r="E773" s="71">
        <v>198300</v>
      </c>
      <c r="F773" s="566" t="s">
        <v>2670</v>
      </c>
      <c r="G773" s="71"/>
      <c r="H773" s="71"/>
      <c r="I773" s="71"/>
      <c r="J773" s="71" t="s">
        <v>796</v>
      </c>
      <c r="K773" s="435" t="s">
        <v>796</v>
      </c>
      <c r="L773" s="435" t="s">
        <v>796</v>
      </c>
      <c r="M773" s="71" t="s">
        <v>296</v>
      </c>
      <c r="N773" s="435">
        <v>20.887420649999999</v>
      </c>
      <c r="O773" s="435">
        <v>92.545410160000003</v>
      </c>
      <c r="P773" s="561" t="s">
        <v>797</v>
      </c>
      <c r="Q773" s="71" t="s">
        <v>778</v>
      </c>
      <c r="R773" s="568"/>
      <c r="S773" s="439"/>
      <c r="T773" s="109"/>
      <c r="U773" s="570"/>
      <c r="V773" s="71" t="s">
        <v>945</v>
      </c>
      <c r="W773" s="561"/>
      <c r="X773" s="17"/>
      <c r="Z773" s="17"/>
    </row>
    <row r="774" spans="1:26" ht="14.25" customHeight="1">
      <c r="A774" s="561" t="s">
        <v>2686</v>
      </c>
      <c r="B774" s="762" t="s">
        <v>321</v>
      </c>
      <c r="C774" s="764" t="s">
        <v>2553</v>
      </c>
      <c r="D774" s="567"/>
      <c r="E774" s="194">
        <v>198434</v>
      </c>
      <c r="F774" s="768" t="s">
        <v>2668</v>
      </c>
      <c r="G774" s="194"/>
      <c r="H774" s="194"/>
      <c r="I774" s="194"/>
      <c r="J774" s="194" t="s">
        <v>796</v>
      </c>
      <c r="K774" s="194" t="s">
        <v>796</v>
      </c>
      <c r="L774" s="194" t="s">
        <v>796</v>
      </c>
      <c r="M774" s="194" t="s">
        <v>793</v>
      </c>
      <c r="N774" s="194"/>
      <c r="O774" s="194"/>
      <c r="P774" s="561" t="s">
        <v>797</v>
      </c>
      <c r="Q774" s="194" t="s">
        <v>2663</v>
      </c>
      <c r="R774" s="195"/>
      <c r="S774" s="193"/>
      <c r="T774" s="196"/>
      <c r="U774" s="197"/>
      <c r="V774" s="194"/>
      <c r="W774" s="568"/>
      <c r="X774" s="17"/>
      <c r="Z774" s="17"/>
    </row>
    <row r="775" spans="1:26" ht="14.25" customHeight="1">
      <c r="A775" s="572" t="s">
        <v>2686</v>
      </c>
      <c r="B775" s="597" t="s">
        <v>321</v>
      </c>
      <c r="C775" s="598" t="s">
        <v>2554</v>
      </c>
      <c r="D775" s="567"/>
      <c r="E775" s="71">
        <v>198433</v>
      </c>
      <c r="F775" s="435" t="s">
        <v>2668</v>
      </c>
      <c r="G775" s="71"/>
      <c r="H775" s="71"/>
      <c r="I775" s="71"/>
      <c r="J775" s="71" t="s">
        <v>796</v>
      </c>
      <c r="K775" s="435" t="s">
        <v>796</v>
      </c>
      <c r="L775" s="435" t="s">
        <v>796</v>
      </c>
      <c r="M775" s="71" t="s">
        <v>296</v>
      </c>
      <c r="N775" s="71"/>
      <c r="O775" s="71"/>
      <c r="P775" s="561" t="s">
        <v>797</v>
      </c>
      <c r="Q775" s="71" t="s">
        <v>2663</v>
      </c>
      <c r="R775" s="576"/>
      <c r="S775" s="569"/>
      <c r="T775" s="109"/>
      <c r="U775" s="576"/>
      <c r="V775" s="435"/>
      <c r="W775" s="568"/>
      <c r="X775" s="17"/>
      <c r="Z775" s="17"/>
    </row>
    <row r="776" spans="1:26" ht="14.25" customHeight="1">
      <c r="A776" s="561" t="s">
        <v>2686</v>
      </c>
      <c r="B776" s="566" t="s">
        <v>321</v>
      </c>
      <c r="C776" s="513" t="s">
        <v>2773</v>
      </c>
      <c r="D776" s="477"/>
      <c r="E776" s="561"/>
      <c r="F776" s="491"/>
      <c r="G776" s="561"/>
      <c r="H776" s="561"/>
      <c r="I776" s="561"/>
      <c r="J776" s="561" t="s">
        <v>2692</v>
      </c>
      <c r="K776" s="561" t="s">
        <v>2658</v>
      </c>
      <c r="L776" s="561" t="s">
        <v>2658</v>
      </c>
      <c r="M776" s="561"/>
      <c r="N776" s="561"/>
      <c r="O776" s="561"/>
      <c r="P776" s="561"/>
      <c r="Q776" s="561"/>
      <c r="R776" s="568"/>
      <c r="S776" s="569"/>
      <c r="T776" s="493">
        <v>43591</v>
      </c>
      <c r="U776" s="494"/>
      <c r="V776" s="561"/>
      <c r="W776" s="561"/>
      <c r="X776" s="17"/>
      <c r="Z776" s="17"/>
    </row>
    <row r="777" spans="1:26" ht="14.25" customHeight="1">
      <c r="A777" s="435" t="s">
        <v>2686</v>
      </c>
      <c r="B777" s="586" t="s">
        <v>321</v>
      </c>
      <c r="C777" s="598" t="s">
        <v>2714</v>
      </c>
      <c r="D777" s="567" t="s">
        <v>1664</v>
      </c>
      <c r="E777" s="71">
        <v>198398</v>
      </c>
      <c r="F777" s="71" t="s">
        <v>2715</v>
      </c>
      <c r="G777" s="71"/>
      <c r="H777" s="71"/>
      <c r="I777" s="71"/>
      <c r="J777" s="71" t="s">
        <v>877</v>
      </c>
      <c r="K777" s="435" t="s">
        <v>877</v>
      </c>
      <c r="L777" s="435" t="s">
        <v>877</v>
      </c>
      <c r="M777" s="71" t="s">
        <v>793</v>
      </c>
      <c r="N777" s="71">
        <v>20.741249079999999</v>
      </c>
      <c r="O777" s="435">
        <v>92.610519409999995</v>
      </c>
      <c r="P777" s="71" t="s">
        <v>797</v>
      </c>
      <c r="Q777" s="561" t="s">
        <v>778</v>
      </c>
      <c r="R777" s="576"/>
      <c r="S777" s="569"/>
      <c r="T777" s="588">
        <v>43580</v>
      </c>
      <c r="U777" s="616" t="s">
        <v>2713</v>
      </c>
      <c r="V777" s="71" t="s">
        <v>579</v>
      </c>
      <c r="W777" s="568"/>
      <c r="X777" s="17"/>
      <c r="Z777" s="17"/>
    </row>
    <row r="778" spans="1:26" ht="14.25" customHeight="1">
      <c r="A778" s="435" t="s">
        <v>2686</v>
      </c>
      <c r="B778" s="586" t="s">
        <v>321</v>
      </c>
      <c r="C778" s="585" t="s">
        <v>578</v>
      </c>
      <c r="D778" s="477" t="s">
        <v>1664</v>
      </c>
      <c r="E778" s="71">
        <v>198399</v>
      </c>
      <c r="F778" s="71"/>
      <c r="G778" s="71"/>
      <c r="H778" s="71"/>
      <c r="I778" s="71"/>
      <c r="J778" s="71" t="s">
        <v>796</v>
      </c>
      <c r="K778" s="435" t="s">
        <v>796</v>
      </c>
      <c r="L778" s="435" t="s">
        <v>796</v>
      </c>
      <c r="M778" s="71" t="s">
        <v>296</v>
      </c>
      <c r="N778" s="71">
        <v>20.739839549999999</v>
      </c>
      <c r="O778" s="435">
        <v>92.613456729999996</v>
      </c>
      <c r="P778" s="71" t="s">
        <v>797</v>
      </c>
      <c r="Q778" s="435" t="s">
        <v>778</v>
      </c>
      <c r="R778" s="568"/>
      <c r="S778" s="569"/>
      <c r="T778" s="452"/>
      <c r="U778" s="105"/>
      <c r="V778" s="435" t="s">
        <v>578</v>
      </c>
      <c r="W778" s="435"/>
      <c r="X778" s="17"/>
      <c r="Z778" s="17"/>
    </row>
    <row r="779" spans="1:26" ht="14.25" customHeight="1">
      <c r="A779" s="561" t="s">
        <v>2686</v>
      </c>
      <c r="B779" s="586" t="s">
        <v>321</v>
      </c>
      <c r="C779" s="585" t="s">
        <v>527</v>
      </c>
      <c r="D779" s="477" t="s">
        <v>1664</v>
      </c>
      <c r="E779" s="561">
        <v>198448</v>
      </c>
      <c r="F779" s="561"/>
      <c r="G779" s="561"/>
      <c r="H779" s="561"/>
      <c r="I779" s="561"/>
      <c r="J779" s="561" t="s">
        <v>796</v>
      </c>
      <c r="K779" s="561" t="s">
        <v>796</v>
      </c>
      <c r="L779" s="561" t="s">
        <v>796</v>
      </c>
      <c r="M779" s="71" t="s">
        <v>296</v>
      </c>
      <c r="N779" s="71">
        <v>20.669130330000002</v>
      </c>
      <c r="O779" s="435">
        <v>92.595497129999998</v>
      </c>
      <c r="P779" s="71" t="s">
        <v>797</v>
      </c>
      <c r="Q779" s="561" t="s">
        <v>778</v>
      </c>
      <c r="R779" s="568"/>
      <c r="S779" s="569"/>
      <c r="T779" s="588"/>
      <c r="U779" s="570"/>
      <c r="V779" s="71" t="s">
        <v>527</v>
      </c>
      <c r="W779" s="561"/>
      <c r="X779" s="17"/>
      <c r="Z779" s="17"/>
    </row>
    <row r="780" spans="1:26" ht="14.25" customHeight="1">
      <c r="A780" s="435" t="s">
        <v>2686</v>
      </c>
      <c r="B780" s="586" t="s">
        <v>321</v>
      </c>
      <c r="C780" s="585" t="s">
        <v>532</v>
      </c>
      <c r="D780" s="477" t="s">
        <v>1664</v>
      </c>
      <c r="E780" s="71">
        <v>198447</v>
      </c>
      <c r="F780" s="435"/>
      <c r="G780" s="71"/>
      <c r="H780" s="71"/>
      <c r="I780" s="71"/>
      <c r="J780" s="71" t="s">
        <v>796</v>
      </c>
      <c r="K780" s="561" t="s">
        <v>796</v>
      </c>
      <c r="L780" s="561" t="s">
        <v>796</v>
      </c>
      <c r="M780" s="71" t="s">
        <v>793</v>
      </c>
      <c r="N780" s="71">
        <v>20.674699780000001</v>
      </c>
      <c r="O780" s="435">
        <v>92.590393070000005</v>
      </c>
      <c r="P780" s="71" t="s">
        <v>797</v>
      </c>
      <c r="Q780" s="71" t="s">
        <v>778</v>
      </c>
      <c r="R780" s="568"/>
      <c r="S780" s="569"/>
      <c r="T780" s="109"/>
      <c r="U780" s="105"/>
      <c r="V780" s="71" t="s">
        <v>532</v>
      </c>
      <c r="W780" s="435"/>
      <c r="X780" s="17"/>
      <c r="Z780" s="17"/>
    </row>
    <row r="781" spans="1:26" ht="14.25" customHeight="1">
      <c r="A781" s="435" t="s">
        <v>2686</v>
      </c>
      <c r="B781" s="586" t="s">
        <v>321</v>
      </c>
      <c r="C781" s="585" t="s">
        <v>590</v>
      </c>
      <c r="D781" s="477" t="s">
        <v>1664</v>
      </c>
      <c r="E781" s="71">
        <v>198410</v>
      </c>
      <c r="F781" s="561"/>
      <c r="G781" s="71"/>
      <c r="H781" s="71"/>
      <c r="I781" s="71"/>
      <c r="J781" s="71" t="s">
        <v>796</v>
      </c>
      <c r="K781" s="561" t="s">
        <v>796</v>
      </c>
      <c r="L781" s="561" t="s">
        <v>796</v>
      </c>
      <c r="M781" s="71" t="s">
        <v>296</v>
      </c>
      <c r="N781" s="71">
        <v>20.772550580000001</v>
      </c>
      <c r="O781" s="435">
        <v>92.638290409999996</v>
      </c>
      <c r="P781" s="561" t="s">
        <v>797</v>
      </c>
      <c r="Q781" s="71" t="s">
        <v>778</v>
      </c>
      <c r="R781" s="568"/>
      <c r="S781" s="569"/>
      <c r="T781" s="109"/>
      <c r="U781" s="105"/>
      <c r="V781" s="71" t="s">
        <v>590</v>
      </c>
      <c r="W781" s="435"/>
      <c r="X781" s="17"/>
      <c r="Z781" s="17"/>
    </row>
    <row r="782" spans="1:26" ht="14.25" customHeight="1">
      <c r="A782" s="561" t="s">
        <v>2686</v>
      </c>
      <c r="B782" s="586" t="s">
        <v>321</v>
      </c>
      <c r="C782" s="585" t="s">
        <v>352</v>
      </c>
      <c r="D782" s="477" t="s">
        <v>1664</v>
      </c>
      <c r="E782" s="561"/>
      <c r="F782" s="561"/>
      <c r="G782" s="561"/>
      <c r="H782" s="561"/>
      <c r="I782" s="561"/>
      <c r="J782" s="71" t="s">
        <v>796</v>
      </c>
      <c r="K782" s="561" t="s">
        <v>796</v>
      </c>
      <c r="L782" s="561" t="s">
        <v>796</v>
      </c>
      <c r="M782" s="561" t="s">
        <v>1147</v>
      </c>
      <c r="N782" s="561"/>
      <c r="O782" s="561"/>
      <c r="P782" s="561" t="s">
        <v>797</v>
      </c>
      <c r="Q782" s="561" t="s">
        <v>778</v>
      </c>
      <c r="R782" s="568"/>
      <c r="S782" s="569"/>
      <c r="T782" s="588"/>
      <c r="U782" s="570"/>
      <c r="V782" s="561" t="s">
        <v>352</v>
      </c>
      <c r="W782" s="561"/>
      <c r="X782" s="17"/>
      <c r="Z782" s="17"/>
    </row>
    <row r="783" spans="1:26" ht="14.25" customHeight="1">
      <c r="A783" s="561" t="s">
        <v>2686</v>
      </c>
      <c r="B783" s="586" t="s">
        <v>321</v>
      </c>
      <c r="C783" s="585" t="s">
        <v>2575</v>
      </c>
      <c r="D783" s="477"/>
      <c r="E783" s="71"/>
      <c r="F783" s="435"/>
      <c r="G783" s="71"/>
      <c r="H783" s="71"/>
      <c r="I783" s="71"/>
      <c r="J783" s="71" t="s">
        <v>2692</v>
      </c>
      <c r="K783" s="561" t="s">
        <v>2658</v>
      </c>
      <c r="L783" s="561" t="s">
        <v>2658</v>
      </c>
      <c r="M783" s="71"/>
      <c r="N783" s="71"/>
      <c r="O783" s="435"/>
      <c r="P783" s="71"/>
      <c r="Q783" s="71"/>
      <c r="R783" s="568"/>
      <c r="S783" s="569"/>
      <c r="T783" s="109"/>
      <c r="U783" s="570"/>
      <c r="V783" s="71"/>
      <c r="W783" s="561"/>
      <c r="X783" s="17"/>
      <c r="Z783" s="17"/>
    </row>
    <row r="784" spans="1:26" ht="14.25" customHeight="1">
      <c r="A784" s="561" t="s">
        <v>2686</v>
      </c>
      <c r="B784" s="586" t="s">
        <v>321</v>
      </c>
      <c r="C784" s="585" t="s">
        <v>2545</v>
      </c>
      <c r="D784" s="477"/>
      <c r="E784" s="71">
        <v>198370</v>
      </c>
      <c r="F784" s="435" t="s">
        <v>2664</v>
      </c>
      <c r="G784" s="71"/>
      <c r="H784" s="71"/>
      <c r="I784" s="71"/>
      <c r="J784" s="71" t="s">
        <v>796</v>
      </c>
      <c r="K784" s="566" t="s">
        <v>796</v>
      </c>
      <c r="L784" s="566" t="s">
        <v>796</v>
      </c>
      <c r="M784" s="71" t="s">
        <v>793</v>
      </c>
      <c r="N784" s="71"/>
      <c r="O784" s="71"/>
      <c r="P784" s="71" t="s">
        <v>797</v>
      </c>
      <c r="Q784" s="71" t="s">
        <v>2663</v>
      </c>
      <c r="R784" s="568"/>
      <c r="S784" s="569"/>
      <c r="T784" s="109"/>
      <c r="U784" s="570"/>
      <c r="V784" s="71"/>
      <c r="W784" s="561"/>
      <c r="X784" s="17"/>
      <c r="Z784" s="17"/>
    </row>
    <row r="785" spans="1:26" ht="14.25" customHeight="1">
      <c r="A785" s="561" t="s">
        <v>2686</v>
      </c>
      <c r="B785" s="586" t="s">
        <v>321</v>
      </c>
      <c r="C785" s="585" t="s">
        <v>572</v>
      </c>
      <c r="D785" s="477" t="s">
        <v>1664</v>
      </c>
      <c r="E785" s="561">
        <v>198430</v>
      </c>
      <c r="F785" s="561"/>
      <c r="G785" s="561"/>
      <c r="H785" s="561"/>
      <c r="I785" s="561"/>
      <c r="J785" s="71" t="s">
        <v>796</v>
      </c>
      <c r="K785" s="566" t="s">
        <v>796</v>
      </c>
      <c r="L785" s="566" t="s">
        <v>796</v>
      </c>
      <c r="M785" s="71" t="s">
        <v>793</v>
      </c>
      <c r="N785" s="561">
        <v>20.724700930000001</v>
      </c>
      <c r="O785" s="561">
        <v>92.628196720000005</v>
      </c>
      <c r="P785" s="561" t="s">
        <v>797</v>
      </c>
      <c r="Q785" s="561" t="s">
        <v>778</v>
      </c>
      <c r="R785" s="568"/>
      <c r="S785" s="569"/>
      <c r="T785" s="588"/>
      <c r="U785" s="570"/>
      <c r="V785" s="561" t="s">
        <v>572</v>
      </c>
      <c r="W785" s="561"/>
      <c r="X785" s="17"/>
      <c r="Z785" s="17"/>
    </row>
    <row r="786" spans="1:26" ht="14.25" customHeight="1">
      <c r="A786" s="561" t="s">
        <v>2686</v>
      </c>
      <c r="B786" s="586" t="s">
        <v>321</v>
      </c>
      <c r="C786" s="585" t="s">
        <v>641</v>
      </c>
      <c r="D786" s="477" t="s">
        <v>1664</v>
      </c>
      <c r="E786" s="561">
        <v>198291</v>
      </c>
      <c r="F786" s="561"/>
      <c r="G786" s="561"/>
      <c r="H786" s="561"/>
      <c r="I786" s="561"/>
      <c r="J786" s="71" t="s">
        <v>796</v>
      </c>
      <c r="K786" s="566" t="s">
        <v>796</v>
      </c>
      <c r="L786" s="566" t="s">
        <v>796</v>
      </c>
      <c r="M786" s="561" t="s">
        <v>793</v>
      </c>
      <c r="N786" s="561">
        <v>20.871829989999998</v>
      </c>
      <c r="O786" s="561">
        <v>92.566909789999997</v>
      </c>
      <c r="P786" s="561" t="s">
        <v>797</v>
      </c>
      <c r="Q786" s="561" t="s">
        <v>778</v>
      </c>
      <c r="R786" s="568"/>
      <c r="S786" s="569"/>
      <c r="T786" s="588"/>
      <c r="U786" s="570"/>
      <c r="V786" s="561" t="s">
        <v>641</v>
      </c>
      <c r="W786" s="561"/>
      <c r="X786" s="17"/>
      <c r="Z786" s="17"/>
    </row>
    <row r="787" spans="1:26" ht="14.25" customHeight="1">
      <c r="A787" s="569" t="s">
        <v>2686</v>
      </c>
      <c r="B787" s="597" t="s">
        <v>321</v>
      </c>
      <c r="C787" s="598" t="s">
        <v>940</v>
      </c>
      <c r="D787" s="567"/>
      <c r="E787" s="561"/>
      <c r="F787" s="561"/>
      <c r="G787" s="561"/>
      <c r="H787" s="561"/>
      <c r="I787" s="561"/>
      <c r="J787" s="435" t="s">
        <v>796</v>
      </c>
      <c r="K787" s="566" t="s">
        <v>796</v>
      </c>
      <c r="L787" s="566" t="s">
        <v>796</v>
      </c>
      <c r="M787" s="561"/>
      <c r="N787" s="561"/>
      <c r="O787" s="561"/>
      <c r="P787" s="561" t="s">
        <v>797</v>
      </c>
      <c r="Q787" s="561"/>
      <c r="R787" s="576"/>
      <c r="S787" s="569"/>
      <c r="T787" s="588"/>
      <c r="U787" s="576"/>
      <c r="V787" s="561"/>
      <c r="W787" s="568"/>
      <c r="X787" s="17"/>
      <c r="Z787" s="17"/>
    </row>
    <row r="788" spans="1:26" ht="14.25" customHeight="1">
      <c r="A788" s="569" t="s">
        <v>2686</v>
      </c>
      <c r="B788" s="597" t="s">
        <v>321</v>
      </c>
      <c r="C788" s="598" t="s">
        <v>2859</v>
      </c>
      <c r="D788" s="567"/>
      <c r="E788" s="71"/>
      <c r="F788" s="71"/>
      <c r="G788" s="71"/>
      <c r="H788" s="71"/>
      <c r="I788" s="71"/>
      <c r="J788" s="71" t="s">
        <v>796</v>
      </c>
      <c r="K788" s="566" t="s">
        <v>796</v>
      </c>
      <c r="L788" s="566" t="s">
        <v>796</v>
      </c>
      <c r="M788" s="71"/>
      <c r="N788" s="71"/>
      <c r="O788" s="561"/>
      <c r="P788" s="71" t="s">
        <v>797</v>
      </c>
      <c r="Q788" s="71"/>
      <c r="R788" s="576"/>
      <c r="S788" s="569"/>
      <c r="T788" s="109"/>
      <c r="U788" s="576"/>
      <c r="V788" s="435"/>
      <c r="W788" s="568"/>
      <c r="X788" s="17"/>
      <c r="Z788" s="17"/>
    </row>
    <row r="789" spans="1:26" ht="14.25" customHeight="1">
      <c r="A789" s="561" t="s">
        <v>2686</v>
      </c>
      <c r="B789" s="586" t="s">
        <v>321</v>
      </c>
      <c r="C789" s="585" t="s">
        <v>671</v>
      </c>
      <c r="D789" s="477" t="s">
        <v>1664</v>
      </c>
      <c r="E789" s="71">
        <v>198163</v>
      </c>
      <c r="F789" s="561"/>
      <c r="G789" s="71"/>
      <c r="H789" s="71"/>
      <c r="I789" s="71"/>
      <c r="J789" s="71" t="s">
        <v>802</v>
      </c>
      <c r="K789" s="566" t="s">
        <v>796</v>
      </c>
      <c r="L789" s="566" t="s">
        <v>802</v>
      </c>
      <c r="M789" s="71" t="s">
        <v>951</v>
      </c>
      <c r="N789" s="561">
        <v>20.99898911</v>
      </c>
      <c r="O789" s="561">
        <v>92.46325684</v>
      </c>
      <c r="P789" s="71" t="s">
        <v>921</v>
      </c>
      <c r="Q789" s="71" t="s">
        <v>800</v>
      </c>
      <c r="R789" s="568"/>
      <c r="S789" s="569"/>
      <c r="T789" s="109">
        <v>42926</v>
      </c>
      <c r="U789" s="570" t="s">
        <v>931</v>
      </c>
      <c r="V789" s="435"/>
      <c r="W789" s="561"/>
      <c r="X789" s="17"/>
      <c r="Z789" s="17"/>
    </row>
    <row r="790" spans="1:26" ht="14.25" customHeight="1">
      <c r="A790" s="435" t="s">
        <v>2686</v>
      </c>
      <c r="B790" s="451" t="s">
        <v>321</v>
      </c>
      <c r="C790" s="598" t="s">
        <v>2078</v>
      </c>
      <c r="D790" s="567"/>
      <c r="E790" s="71">
        <v>198348</v>
      </c>
      <c r="F790" s="561"/>
      <c r="G790" s="71"/>
      <c r="H790" s="71"/>
      <c r="I790" s="71"/>
      <c r="J790" s="71" t="s">
        <v>796</v>
      </c>
      <c r="K790" s="71" t="s">
        <v>796</v>
      </c>
      <c r="L790" s="71" t="s">
        <v>796</v>
      </c>
      <c r="M790" s="71"/>
      <c r="N790" s="71">
        <v>20.847490310668899</v>
      </c>
      <c r="O790" s="71">
        <v>92.556472778320298</v>
      </c>
      <c r="P790" s="71" t="s">
        <v>797</v>
      </c>
      <c r="Q790" s="71" t="s">
        <v>3026</v>
      </c>
      <c r="R790" s="576"/>
      <c r="S790" s="569"/>
      <c r="T790" s="109">
        <v>43769</v>
      </c>
      <c r="U790" s="576"/>
      <c r="V790" s="435"/>
      <c r="W790" s="568"/>
      <c r="X790" s="17"/>
      <c r="Z790" s="17"/>
    </row>
    <row r="791" spans="1:26" ht="14.25" customHeight="1">
      <c r="A791" s="489" t="s">
        <v>2686</v>
      </c>
      <c r="B791" s="490" t="s">
        <v>321</v>
      </c>
      <c r="C791" s="450" t="s">
        <v>1914</v>
      </c>
      <c r="D791" s="567"/>
      <c r="E791" s="491">
        <v>198348</v>
      </c>
      <c r="F791" s="491" t="s">
        <v>2078</v>
      </c>
      <c r="G791" s="491"/>
      <c r="H791" s="491"/>
      <c r="I791" s="491"/>
      <c r="J791" s="71" t="s">
        <v>877</v>
      </c>
      <c r="K791" s="566" t="s">
        <v>877</v>
      </c>
      <c r="L791" s="566" t="s">
        <v>877</v>
      </c>
      <c r="M791" s="71" t="s">
        <v>296</v>
      </c>
      <c r="N791" s="491">
        <v>20.847490310668899</v>
      </c>
      <c r="O791" s="491">
        <v>92.556472778320298</v>
      </c>
      <c r="P791" s="561" t="s">
        <v>797</v>
      </c>
      <c r="Q791" s="491" t="s">
        <v>2663</v>
      </c>
      <c r="R791" s="492"/>
      <c r="S791" s="489"/>
      <c r="T791" s="493">
        <v>43580</v>
      </c>
      <c r="U791" s="494" t="s">
        <v>2713</v>
      </c>
      <c r="V791" s="495"/>
      <c r="W791" s="568"/>
      <c r="X791" s="17"/>
      <c r="Z791" s="17"/>
    </row>
    <row r="792" spans="1:26" ht="14.25" customHeight="1">
      <c r="A792" s="489" t="s">
        <v>2686</v>
      </c>
      <c r="B792" s="490" t="s">
        <v>321</v>
      </c>
      <c r="C792" s="513" t="s">
        <v>2717</v>
      </c>
      <c r="D792" s="567"/>
      <c r="E792" s="491">
        <v>198326</v>
      </c>
      <c r="F792" s="491" t="s">
        <v>2718</v>
      </c>
      <c r="G792" s="491"/>
      <c r="H792" s="491"/>
      <c r="I792" s="491"/>
      <c r="J792" s="71" t="s">
        <v>796</v>
      </c>
      <c r="K792" s="566" t="s">
        <v>796</v>
      </c>
      <c r="L792" s="566" t="s">
        <v>796</v>
      </c>
      <c r="M792" s="491"/>
      <c r="N792" s="491">
        <v>20.8608493804932</v>
      </c>
      <c r="O792" s="491">
        <v>92.539390563964801</v>
      </c>
      <c r="P792" s="561" t="s">
        <v>797</v>
      </c>
      <c r="Q792" s="491" t="s">
        <v>2663</v>
      </c>
      <c r="R792" s="492"/>
      <c r="S792" s="489"/>
      <c r="T792" s="493">
        <v>43580</v>
      </c>
      <c r="U792" s="494" t="s">
        <v>2713</v>
      </c>
      <c r="V792" s="495"/>
      <c r="W792" s="568"/>
      <c r="X792" s="17"/>
      <c r="Z792" s="17"/>
    </row>
    <row r="793" spans="1:26" ht="14.25" customHeight="1">
      <c r="A793" s="572" t="s">
        <v>2686</v>
      </c>
      <c r="B793" s="597" t="s">
        <v>321</v>
      </c>
      <c r="C793" s="598" t="s">
        <v>2774</v>
      </c>
      <c r="D793" s="567"/>
      <c r="E793" s="71">
        <v>198326</v>
      </c>
      <c r="F793" s="71"/>
      <c r="G793" s="71"/>
      <c r="H793" s="71"/>
      <c r="I793" s="71"/>
      <c r="J793" s="71" t="s">
        <v>2692</v>
      </c>
      <c r="K793" s="566" t="s">
        <v>2658</v>
      </c>
      <c r="L793" s="566" t="s">
        <v>2658</v>
      </c>
      <c r="M793" s="71"/>
      <c r="N793" s="71">
        <v>20.8608493804932</v>
      </c>
      <c r="O793" s="561">
        <v>92.539390563964801</v>
      </c>
      <c r="P793" s="71"/>
      <c r="Q793" s="71"/>
      <c r="R793" s="576"/>
      <c r="S793" s="569"/>
      <c r="T793" s="109">
        <v>43591</v>
      </c>
      <c r="U793" s="576"/>
      <c r="V793" s="71"/>
      <c r="W793" s="568"/>
      <c r="X793" s="17"/>
      <c r="Z793" s="17"/>
    </row>
    <row r="794" spans="1:26" ht="14.25" customHeight="1">
      <c r="A794" s="569" t="s">
        <v>2686</v>
      </c>
      <c r="B794" s="597" t="s">
        <v>321</v>
      </c>
      <c r="C794" s="598" t="s">
        <v>2865</v>
      </c>
      <c r="D794" s="567"/>
      <c r="E794" s="71">
        <v>198424</v>
      </c>
      <c r="F794" s="561"/>
      <c r="G794" s="71"/>
      <c r="H794" s="435"/>
      <c r="I794" s="71"/>
      <c r="J794" s="71" t="s">
        <v>796</v>
      </c>
      <c r="K794" s="71" t="s">
        <v>796</v>
      </c>
      <c r="L794" s="71" t="s">
        <v>796</v>
      </c>
      <c r="M794" s="71"/>
      <c r="N794" s="561">
        <v>20.735639572143601</v>
      </c>
      <c r="O794" s="566">
        <v>92.638076782226605</v>
      </c>
      <c r="P794" s="71" t="s">
        <v>797</v>
      </c>
      <c r="Q794" s="435"/>
      <c r="R794" s="576"/>
      <c r="S794" s="569"/>
      <c r="T794" s="452"/>
      <c r="U794" s="576"/>
      <c r="V794" s="71"/>
      <c r="W794" s="568"/>
      <c r="X794" s="17"/>
      <c r="Z794" s="17"/>
    </row>
    <row r="795" spans="1:26" ht="14.25" customHeight="1">
      <c r="A795" s="435" t="s">
        <v>2686</v>
      </c>
      <c r="B795" s="586" t="s">
        <v>321</v>
      </c>
      <c r="C795" s="585" t="s">
        <v>669</v>
      </c>
      <c r="D795" s="477" t="s">
        <v>1664</v>
      </c>
      <c r="E795" s="561">
        <v>198184</v>
      </c>
      <c r="F795" s="566"/>
      <c r="G795" s="435"/>
      <c r="H795" s="435"/>
      <c r="I795" s="435"/>
      <c r="J795" s="71" t="s">
        <v>796</v>
      </c>
      <c r="K795" s="435" t="s">
        <v>796</v>
      </c>
      <c r="L795" s="435" t="s">
        <v>796</v>
      </c>
      <c r="M795" s="71" t="s">
        <v>793</v>
      </c>
      <c r="N795" s="71">
        <v>20.99110031</v>
      </c>
      <c r="O795" s="71">
        <v>92.493858340000003</v>
      </c>
      <c r="P795" s="561" t="s">
        <v>797</v>
      </c>
      <c r="Q795" s="71" t="s">
        <v>778</v>
      </c>
      <c r="R795" s="568"/>
      <c r="S795" s="569"/>
      <c r="T795" s="109"/>
      <c r="U795" s="105"/>
      <c r="V795" s="71" t="s">
        <v>669</v>
      </c>
      <c r="W795" s="435"/>
      <c r="X795" s="17"/>
      <c r="Z795" s="17"/>
    </row>
    <row r="796" spans="1:26" ht="14.25" customHeight="1">
      <c r="A796" s="435" t="s">
        <v>2686</v>
      </c>
      <c r="B796" s="586" t="s">
        <v>321</v>
      </c>
      <c r="C796" s="585" t="s">
        <v>577</v>
      </c>
      <c r="D796" s="477" t="s">
        <v>1664</v>
      </c>
      <c r="E796" s="561">
        <v>198425</v>
      </c>
      <c r="F796" s="566"/>
      <c r="G796" s="71"/>
      <c r="H796" s="71"/>
      <c r="I796" s="71"/>
      <c r="J796" s="71" t="s">
        <v>796</v>
      </c>
      <c r="K796" s="71" t="s">
        <v>796</v>
      </c>
      <c r="L796" s="71" t="s">
        <v>796</v>
      </c>
      <c r="M796" s="71" t="s">
        <v>793</v>
      </c>
      <c r="N796" s="561">
        <v>20.737430570000001</v>
      </c>
      <c r="O796" s="561">
        <v>92.634773249999995</v>
      </c>
      <c r="P796" s="561" t="s">
        <v>797</v>
      </c>
      <c r="Q796" s="71" t="s">
        <v>778</v>
      </c>
      <c r="R796" s="568"/>
      <c r="S796" s="569"/>
      <c r="T796" s="109"/>
      <c r="U796" s="105"/>
      <c r="V796" s="71" t="s">
        <v>577</v>
      </c>
      <c r="W796" s="435"/>
      <c r="X796" s="17"/>
      <c r="Z796" s="17"/>
    </row>
    <row r="797" spans="1:26" ht="14.25" customHeight="1">
      <c r="A797" s="561" t="s">
        <v>2686</v>
      </c>
      <c r="B797" s="586" t="s">
        <v>321</v>
      </c>
      <c r="C797" s="585" t="s">
        <v>521</v>
      </c>
      <c r="D797" s="477" t="s">
        <v>1664</v>
      </c>
      <c r="E797" s="561">
        <v>198450</v>
      </c>
      <c r="F797" s="561"/>
      <c r="G797" s="561"/>
      <c r="H797" s="561"/>
      <c r="I797" s="561"/>
      <c r="J797" s="561" t="s">
        <v>796</v>
      </c>
      <c r="K797" s="561" t="s">
        <v>796</v>
      </c>
      <c r="L797" s="561" t="s">
        <v>796</v>
      </c>
      <c r="M797" s="561" t="s">
        <v>793</v>
      </c>
      <c r="N797" s="561">
        <v>20.654249190000002</v>
      </c>
      <c r="O797" s="561">
        <v>92.619102479999995</v>
      </c>
      <c r="P797" s="561" t="s">
        <v>797</v>
      </c>
      <c r="Q797" s="561" t="s">
        <v>778</v>
      </c>
      <c r="R797" s="568"/>
      <c r="S797" s="569"/>
      <c r="T797" s="588"/>
      <c r="U797" s="570"/>
      <c r="V797" s="561" t="s">
        <v>919</v>
      </c>
      <c r="W797" s="561"/>
      <c r="X797" s="17"/>
      <c r="Z797" s="17"/>
    </row>
    <row r="798" spans="1:26" ht="14.25" customHeight="1">
      <c r="A798" s="561" t="s">
        <v>2686</v>
      </c>
      <c r="B798" s="586" t="s">
        <v>307</v>
      </c>
      <c r="C798" s="585" t="s">
        <v>2049</v>
      </c>
      <c r="D798" s="477"/>
      <c r="E798" s="561">
        <v>197857</v>
      </c>
      <c r="F798" s="561"/>
      <c r="G798" s="561"/>
      <c r="H798" s="561"/>
      <c r="I798" s="561"/>
      <c r="J798" s="561" t="s">
        <v>796</v>
      </c>
      <c r="K798" s="561" t="s">
        <v>796</v>
      </c>
      <c r="L798" s="561" t="s">
        <v>796</v>
      </c>
      <c r="M798" s="561" t="s">
        <v>681</v>
      </c>
      <c r="N798" s="561">
        <v>21.08677673</v>
      </c>
      <c r="O798" s="561">
        <v>92.337112430000005</v>
      </c>
      <c r="P798" s="561" t="s">
        <v>797</v>
      </c>
      <c r="Q798" s="561"/>
      <c r="R798" s="568"/>
      <c r="S798" s="569"/>
      <c r="T798" s="588">
        <v>43300</v>
      </c>
      <c r="U798" s="570"/>
      <c r="V798" s="561"/>
      <c r="W798" s="561"/>
      <c r="X798" s="17"/>
      <c r="Z798" s="17"/>
    </row>
    <row r="799" spans="1:26" ht="14.25" customHeight="1">
      <c r="A799" s="435" t="s">
        <v>2686</v>
      </c>
      <c r="B799" s="597" t="s">
        <v>307</v>
      </c>
      <c r="C799" s="598" t="s">
        <v>2741</v>
      </c>
      <c r="D799" s="567"/>
      <c r="E799" s="435">
        <v>197857</v>
      </c>
      <c r="F799" s="435"/>
      <c r="G799" s="435"/>
      <c r="H799" s="435"/>
      <c r="I799" s="435"/>
      <c r="J799" s="435" t="s">
        <v>796</v>
      </c>
      <c r="K799" s="435" t="s">
        <v>796</v>
      </c>
      <c r="L799" s="435" t="s">
        <v>796</v>
      </c>
      <c r="M799" s="435" t="s">
        <v>2086</v>
      </c>
      <c r="N799" s="435">
        <v>21.08677673</v>
      </c>
      <c r="O799" s="566">
        <v>92.337112430000005</v>
      </c>
      <c r="P799" s="561" t="s">
        <v>797</v>
      </c>
      <c r="Q799" s="435"/>
      <c r="R799" s="576"/>
      <c r="S799" s="569"/>
      <c r="T799" s="452">
        <v>43300</v>
      </c>
      <c r="U799" s="440"/>
      <c r="V799" s="435"/>
      <c r="W799" s="435"/>
      <c r="X799" s="17"/>
      <c r="Z799" s="17"/>
    </row>
    <row r="800" spans="1:26" ht="14.25" customHeight="1">
      <c r="A800" s="561" t="s">
        <v>2686</v>
      </c>
      <c r="B800" s="586" t="s">
        <v>307</v>
      </c>
      <c r="C800" s="585" t="s">
        <v>2740</v>
      </c>
      <c r="D800" s="477"/>
      <c r="E800" s="561">
        <v>197857</v>
      </c>
      <c r="F800" s="566"/>
      <c r="G800" s="561"/>
      <c r="H800" s="561"/>
      <c r="I800" s="561"/>
      <c r="J800" s="561" t="s">
        <v>796</v>
      </c>
      <c r="K800" s="561" t="s">
        <v>796</v>
      </c>
      <c r="L800" s="561" t="s">
        <v>796</v>
      </c>
      <c r="M800" s="71" t="s">
        <v>296</v>
      </c>
      <c r="N800" s="71">
        <v>21.08677673</v>
      </c>
      <c r="O800" s="71">
        <v>92.337112430000005</v>
      </c>
      <c r="P800" s="71" t="s">
        <v>797</v>
      </c>
      <c r="Q800" s="561"/>
      <c r="R800" s="568"/>
      <c r="S800" s="569"/>
      <c r="T800" s="588">
        <v>43300</v>
      </c>
      <c r="U800" s="570"/>
      <c r="V800" s="71"/>
      <c r="W800" s="561"/>
      <c r="X800" s="17"/>
      <c r="Z800" s="17"/>
    </row>
    <row r="801" spans="1:26" ht="14.25" customHeight="1">
      <c r="A801" s="561" t="s">
        <v>2686</v>
      </c>
      <c r="B801" s="586" t="s">
        <v>307</v>
      </c>
      <c r="C801" s="585" t="s">
        <v>2079</v>
      </c>
      <c r="D801" s="477"/>
      <c r="E801" s="566">
        <v>197920</v>
      </c>
      <c r="F801" s="566"/>
      <c r="G801" s="561"/>
      <c r="H801" s="561"/>
      <c r="I801" s="561"/>
      <c r="J801" s="561" t="s">
        <v>796</v>
      </c>
      <c r="K801" s="561" t="s">
        <v>796</v>
      </c>
      <c r="L801" s="561" t="s">
        <v>796</v>
      </c>
      <c r="M801" s="435" t="s">
        <v>793</v>
      </c>
      <c r="N801" s="435">
        <v>20.92394066</v>
      </c>
      <c r="O801" s="435">
        <v>92.322669980000001</v>
      </c>
      <c r="P801" s="561" t="s">
        <v>797</v>
      </c>
      <c r="Q801" s="561"/>
      <c r="R801" s="568"/>
      <c r="S801" s="569"/>
      <c r="T801" s="588">
        <v>43300</v>
      </c>
      <c r="U801" s="570"/>
      <c r="V801" s="435"/>
      <c r="W801" s="561"/>
      <c r="X801" s="17"/>
      <c r="Z801" s="17"/>
    </row>
    <row r="802" spans="1:26" ht="14.25" customHeight="1">
      <c r="A802" s="435" t="s">
        <v>2686</v>
      </c>
      <c r="B802" s="586" t="s">
        <v>307</v>
      </c>
      <c r="C802" s="585" t="s">
        <v>2050</v>
      </c>
      <c r="D802" s="477"/>
      <c r="E802" s="71">
        <v>197968</v>
      </c>
      <c r="F802" s="561"/>
      <c r="G802" s="71"/>
      <c r="H802" s="71"/>
      <c r="I802" s="71"/>
      <c r="J802" s="71" t="s">
        <v>796</v>
      </c>
      <c r="K802" s="435" t="s">
        <v>796</v>
      </c>
      <c r="L802" s="435" t="s">
        <v>796</v>
      </c>
      <c r="M802" s="71" t="s">
        <v>793</v>
      </c>
      <c r="N802" s="71">
        <v>20.878229139999998</v>
      </c>
      <c r="O802" s="435">
        <v>92.347267149999993</v>
      </c>
      <c r="P802" s="561" t="s">
        <v>797</v>
      </c>
      <c r="Q802" s="71"/>
      <c r="R802" s="568"/>
      <c r="S802" s="569"/>
      <c r="T802" s="109">
        <v>43300</v>
      </c>
      <c r="U802" s="105"/>
      <c r="V802" s="71"/>
      <c r="W802" s="435"/>
      <c r="X802" s="17"/>
      <c r="Z802" s="17"/>
    </row>
    <row r="803" spans="1:26" ht="14.25" customHeight="1">
      <c r="A803" s="435" t="s">
        <v>2686</v>
      </c>
      <c r="B803" s="597" t="s">
        <v>307</v>
      </c>
      <c r="C803" s="598" t="s">
        <v>2725</v>
      </c>
      <c r="D803" s="567"/>
      <c r="E803" s="435"/>
      <c r="F803" s="561"/>
      <c r="G803" s="435"/>
      <c r="H803" s="435"/>
      <c r="I803" s="435"/>
      <c r="J803" s="435" t="s">
        <v>796</v>
      </c>
      <c r="K803" s="435" t="s">
        <v>796</v>
      </c>
      <c r="L803" s="435" t="s">
        <v>796</v>
      </c>
      <c r="M803" s="435"/>
      <c r="N803" s="435"/>
      <c r="O803" s="435"/>
      <c r="P803" s="561" t="s">
        <v>797</v>
      </c>
      <c r="Q803" s="561" t="s">
        <v>3026</v>
      </c>
      <c r="R803" s="576"/>
      <c r="S803" s="569"/>
      <c r="T803" s="588">
        <v>43769</v>
      </c>
      <c r="U803" s="576"/>
      <c r="V803" s="435"/>
      <c r="W803" s="568"/>
      <c r="X803" s="17"/>
      <c r="Z803" s="17"/>
    </row>
    <row r="804" spans="1:26" ht="14.25" customHeight="1">
      <c r="A804" s="435" t="s">
        <v>2686</v>
      </c>
      <c r="B804" s="586" t="s">
        <v>307</v>
      </c>
      <c r="C804" s="585" t="s">
        <v>610</v>
      </c>
      <c r="D804" s="477" t="s">
        <v>1664</v>
      </c>
      <c r="E804" s="71">
        <v>197997</v>
      </c>
      <c r="F804" s="71"/>
      <c r="G804" s="71"/>
      <c r="H804" s="71"/>
      <c r="I804" s="71"/>
      <c r="J804" s="71" t="s">
        <v>796</v>
      </c>
      <c r="K804" s="71" t="s">
        <v>796</v>
      </c>
      <c r="L804" s="71" t="s">
        <v>796</v>
      </c>
      <c r="M804" s="71" t="s">
        <v>793</v>
      </c>
      <c r="N804" s="71">
        <v>20.803909300000001</v>
      </c>
      <c r="O804" s="71">
        <v>92.376831050000007</v>
      </c>
      <c r="P804" s="71" t="s">
        <v>797</v>
      </c>
      <c r="Q804" s="561" t="s">
        <v>778</v>
      </c>
      <c r="R804" s="568"/>
      <c r="S804" s="569"/>
      <c r="T804" s="588"/>
      <c r="U804" s="105"/>
      <c r="V804" s="71" t="s">
        <v>934</v>
      </c>
      <c r="W804" s="435"/>
      <c r="X804" s="17"/>
      <c r="Z804" s="17"/>
    </row>
    <row r="805" spans="1:26" ht="14.25" customHeight="1">
      <c r="A805" s="435" t="s">
        <v>2686</v>
      </c>
      <c r="B805" s="453" t="s">
        <v>307</v>
      </c>
      <c r="C805" s="454" t="s">
        <v>690</v>
      </c>
      <c r="D805" s="437" t="s">
        <v>1664</v>
      </c>
      <c r="E805" s="561">
        <v>197820</v>
      </c>
      <c r="F805" s="435"/>
      <c r="G805" s="435"/>
      <c r="H805" s="435"/>
      <c r="I805" s="435"/>
      <c r="J805" s="71" t="s">
        <v>796</v>
      </c>
      <c r="K805" s="71" t="s">
        <v>796</v>
      </c>
      <c r="L805" s="71" t="s">
        <v>796</v>
      </c>
      <c r="M805" s="435" t="s">
        <v>793</v>
      </c>
      <c r="N805" s="435">
        <v>21.26553917</v>
      </c>
      <c r="O805" s="435">
        <v>92.27140808</v>
      </c>
      <c r="P805" s="71" t="s">
        <v>797</v>
      </c>
      <c r="Q805" s="435" t="s">
        <v>778</v>
      </c>
      <c r="R805" s="576"/>
      <c r="S805" s="569"/>
      <c r="T805" s="588"/>
      <c r="U805" s="440"/>
      <c r="V805" s="435" t="s">
        <v>958</v>
      </c>
      <c r="W805" s="435"/>
      <c r="X805" s="17"/>
      <c r="Z805" s="17"/>
    </row>
    <row r="806" spans="1:26" ht="14.25" customHeight="1">
      <c r="A806" s="435" t="s">
        <v>2686</v>
      </c>
      <c r="B806" s="586" t="s">
        <v>307</v>
      </c>
      <c r="C806" s="585" t="s">
        <v>3052</v>
      </c>
      <c r="D806" s="477"/>
      <c r="E806" s="71"/>
      <c r="F806" s="435"/>
      <c r="G806" s="71"/>
      <c r="H806" s="435"/>
      <c r="I806" s="71"/>
      <c r="J806" s="71" t="s">
        <v>796</v>
      </c>
      <c r="K806" s="435" t="s">
        <v>796</v>
      </c>
      <c r="L806" s="435" t="s">
        <v>796</v>
      </c>
      <c r="M806" s="71"/>
      <c r="N806" s="71"/>
      <c r="O806" s="435"/>
      <c r="P806" s="561" t="s">
        <v>797</v>
      </c>
      <c r="Q806" s="435" t="s">
        <v>3026</v>
      </c>
      <c r="R806" s="568"/>
      <c r="S806" s="569"/>
      <c r="T806" s="452">
        <v>43768</v>
      </c>
      <c r="U806" s="440"/>
      <c r="V806" s="71"/>
      <c r="W806" s="435"/>
      <c r="X806" s="17"/>
      <c r="Z806" s="17"/>
    </row>
    <row r="807" spans="1:26" ht="14.25" customHeight="1">
      <c r="A807" s="489" t="s">
        <v>2686</v>
      </c>
      <c r="B807" s="490" t="s">
        <v>307</v>
      </c>
      <c r="C807" s="513" t="s">
        <v>959</v>
      </c>
      <c r="D807" s="567" t="s">
        <v>1664</v>
      </c>
      <c r="E807" s="491">
        <v>197817</v>
      </c>
      <c r="F807" s="516" t="s">
        <v>2723</v>
      </c>
      <c r="G807" s="491"/>
      <c r="H807" s="491"/>
      <c r="I807" s="491"/>
      <c r="J807" s="491" t="s">
        <v>2692</v>
      </c>
      <c r="K807" s="491" t="s">
        <v>2658</v>
      </c>
      <c r="L807" s="491" t="s">
        <v>2658</v>
      </c>
      <c r="M807" s="71" t="s">
        <v>793</v>
      </c>
      <c r="N807" s="71">
        <v>21.2688694</v>
      </c>
      <c r="O807" s="71">
        <v>92.274917599999995</v>
      </c>
      <c r="P807" s="71" t="s">
        <v>797</v>
      </c>
      <c r="Q807" s="491" t="s">
        <v>2663</v>
      </c>
      <c r="R807" s="517"/>
      <c r="S807" s="515"/>
      <c r="T807" s="493">
        <v>43580</v>
      </c>
      <c r="U807" s="494" t="s">
        <v>2713</v>
      </c>
      <c r="V807" s="71" t="s">
        <v>958</v>
      </c>
      <c r="W807" s="568"/>
      <c r="X807" s="17"/>
      <c r="Z807" s="17"/>
    </row>
    <row r="808" spans="1:26" ht="14.25" customHeight="1">
      <c r="A808" s="561" t="s">
        <v>2686</v>
      </c>
      <c r="B808" s="597" t="s">
        <v>307</v>
      </c>
      <c r="C808" s="598" t="s">
        <v>308</v>
      </c>
      <c r="D808" s="567" t="s">
        <v>1664</v>
      </c>
      <c r="E808" s="561"/>
      <c r="F808" s="561"/>
      <c r="G808" s="561"/>
      <c r="H808" s="561"/>
      <c r="I808" s="561"/>
      <c r="J808" s="435" t="s">
        <v>796</v>
      </c>
      <c r="K808" s="435" t="s">
        <v>796</v>
      </c>
      <c r="L808" s="435" t="s">
        <v>796</v>
      </c>
      <c r="M808" s="561" t="s">
        <v>793</v>
      </c>
      <c r="N808" s="561"/>
      <c r="O808" s="561"/>
      <c r="P808" s="435" t="s">
        <v>797</v>
      </c>
      <c r="Q808" s="561" t="s">
        <v>778</v>
      </c>
      <c r="R808" s="577"/>
      <c r="S808" s="573"/>
      <c r="T808" s="588"/>
      <c r="U808" s="570"/>
      <c r="V808" s="561" t="s">
        <v>308</v>
      </c>
      <c r="W808" s="561"/>
      <c r="X808" s="17"/>
      <c r="Z808" s="17"/>
    </row>
    <row r="809" spans="1:26" ht="14.25" customHeight="1">
      <c r="A809" s="561" t="s">
        <v>2686</v>
      </c>
      <c r="B809" s="586" t="s">
        <v>307</v>
      </c>
      <c r="C809" s="585" t="s">
        <v>2561</v>
      </c>
      <c r="D809" s="477"/>
      <c r="E809" s="561">
        <v>197968</v>
      </c>
      <c r="F809" s="566" t="s">
        <v>2563</v>
      </c>
      <c r="G809" s="561"/>
      <c r="H809" s="561"/>
      <c r="I809" s="561"/>
      <c r="J809" s="71" t="s">
        <v>796</v>
      </c>
      <c r="K809" s="435" t="s">
        <v>796</v>
      </c>
      <c r="L809" s="435" t="s">
        <v>796</v>
      </c>
      <c r="M809" s="561" t="s">
        <v>793</v>
      </c>
      <c r="N809" s="561"/>
      <c r="O809" s="561"/>
      <c r="P809" s="561" t="s">
        <v>797</v>
      </c>
      <c r="Q809" s="561"/>
      <c r="R809" s="572"/>
      <c r="S809" s="573"/>
      <c r="T809" s="588"/>
      <c r="U809" s="570"/>
      <c r="V809" s="561"/>
      <c r="W809" s="561"/>
      <c r="X809" s="17"/>
      <c r="Z809" s="17"/>
    </row>
    <row r="810" spans="1:26" ht="14.25" customHeight="1">
      <c r="A810" s="435" t="s">
        <v>2686</v>
      </c>
      <c r="B810" s="597" t="s">
        <v>307</v>
      </c>
      <c r="C810" s="585" t="s">
        <v>607</v>
      </c>
      <c r="D810" s="567" t="s">
        <v>1664</v>
      </c>
      <c r="E810" s="435">
        <v>197995</v>
      </c>
      <c r="F810" s="71"/>
      <c r="G810" s="71"/>
      <c r="H810" s="71"/>
      <c r="I810" s="435"/>
      <c r="J810" s="71" t="s">
        <v>796</v>
      </c>
      <c r="K810" s="71" t="s">
        <v>796</v>
      </c>
      <c r="L810" s="435" t="s">
        <v>796</v>
      </c>
      <c r="M810" s="71" t="s">
        <v>793</v>
      </c>
      <c r="N810" s="71">
        <v>20.802850719999999</v>
      </c>
      <c r="O810" s="71">
        <v>92.392669679999997</v>
      </c>
      <c r="P810" s="561" t="s">
        <v>797</v>
      </c>
      <c r="Q810" s="566" t="s">
        <v>778</v>
      </c>
      <c r="R810" s="577"/>
      <c r="S810" s="573"/>
      <c r="T810" s="589"/>
      <c r="U810" s="105"/>
      <c r="V810" s="71" t="s">
        <v>933</v>
      </c>
      <c r="W810" s="435"/>
      <c r="X810" s="17"/>
      <c r="Z810" s="17"/>
    </row>
    <row r="811" spans="1:26" ht="14.25" customHeight="1">
      <c r="A811" s="435" t="s">
        <v>2686</v>
      </c>
      <c r="B811" s="597" t="s">
        <v>307</v>
      </c>
      <c r="C811" s="598" t="s">
        <v>608</v>
      </c>
      <c r="D811" s="567" t="s">
        <v>1664</v>
      </c>
      <c r="E811" s="435">
        <v>197995</v>
      </c>
      <c r="F811" s="435"/>
      <c r="G811" s="435"/>
      <c r="H811" s="435"/>
      <c r="I811" s="435"/>
      <c r="J811" s="435" t="s">
        <v>796</v>
      </c>
      <c r="K811" s="435" t="s">
        <v>796</v>
      </c>
      <c r="L811" s="435" t="s">
        <v>796</v>
      </c>
      <c r="M811" s="435" t="s">
        <v>793</v>
      </c>
      <c r="N811" s="435">
        <v>20.802850719999999</v>
      </c>
      <c r="O811" s="435">
        <v>92.392669679999997</v>
      </c>
      <c r="P811" s="561" t="s">
        <v>797</v>
      </c>
      <c r="Q811" s="435" t="s">
        <v>778</v>
      </c>
      <c r="R811" s="577"/>
      <c r="S811" s="573"/>
      <c r="T811" s="452"/>
      <c r="U811" s="440"/>
      <c r="V811" s="435" t="s">
        <v>933</v>
      </c>
      <c r="W811" s="435"/>
      <c r="X811" s="17"/>
      <c r="Z811" s="17"/>
    </row>
    <row r="812" spans="1:26" ht="14.25" customHeight="1">
      <c r="A812" s="435" t="s">
        <v>2686</v>
      </c>
      <c r="B812" s="597" t="s">
        <v>307</v>
      </c>
      <c r="C812" s="598" t="s">
        <v>2041</v>
      </c>
      <c r="D812" s="567"/>
      <c r="E812" s="561">
        <v>197939</v>
      </c>
      <c r="F812" s="561"/>
      <c r="G812" s="71"/>
      <c r="H812" s="71"/>
      <c r="I812" s="71"/>
      <c r="J812" s="71" t="s">
        <v>796</v>
      </c>
      <c r="K812" s="71" t="s">
        <v>796</v>
      </c>
      <c r="L812" s="71" t="s">
        <v>796</v>
      </c>
      <c r="M812" s="71" t="s">
        <v>296</v>
      </c>
      <c r="N812" s="71">
        <v>20.832990649999999</v>
      </c>
      <c r="O812" s="71">
        <v>92.353683469999993</v>
      </c>
      <c r="P812" s="71" t="s">
        <v>797</v>
      </c>
      <c r="Q812" s="71"/>
      <c r="R812" s="577"/>
      <c r="S812" s="573"/>
      <c r="T812" s="109">
        <v>43300</v>
      </c>
      <c r="U812" s="105"/>
      <c r="V812" s="71"/>
      <c r="W812" s="435"/>
      <c r="X812" s="17"/>
      <c r="Z812" s="17"/>
    </row>
    <row r="813" spans="1:26" ht="14.25" customHeight="1">
      <c r="A813" s="435" t="s">
        <v>2686</v>
      </c>
      <c r="B813" s="597" t="s">
        <v>307</v>
      </c>
      <c r="C813" s="598" t="s">
        <v>2095</v>
      </c>
      <c r="D813" s="567"/>
      <c r="E813" s="561">
        <v>220733</v>
      </c>
      <c r="F813" s="561"/>
      <c r="G813" s="71"/>
      <c r="H813" s="71"/>
      <c r="I813" s="435"/>
      <c r="J813" s="71" t="s">
        <v>796</v>
      </c>
      <c r="K813" s="71" t="s">
        <v>796</v>
      </c>
      <c r="L813" s="435" t="s">
        <v>796</v>
      </c>
      <c r="M813" s="71" t="s">
        <v>296</v>
      </c>
      <c r="N813" s="71">
        <v>20.931335449999999</v>
      </c>
      <c r="O813" s="71">
        <v>92.381462099999993</v>
      </c>
      <c r="P813" s="561" t="s">
        <v>797</v>
      </c>
      <c r="Q813" s="71"/>
      <c r="R813" s="577"/>
      <c r="S813" s="573"/>
      <c r="T813" s="109">
        <v>43300</v>
      </c>
      <c r="U813" s="105"/>
      <c r="V813" s="71"/>
      <c r="W813" s="435"/>
      <c r="X813" s="17"/>
      <c r="Z813" s="17"/>
    </row>
    <row r="814" spans="1:26" ht="14.25" customHeight="1">
      <c r="A814" s="435" t="s">
        <v>2686</v>
      </c>
      <c r="B814" s="597" t="s">
        <v>307</v>
      </c>
      <c r="C814" s="598" t="s">
        <v>2048</v>
      </c>
      <c r="D814" s="567"/>
      <c r="E814" s="435">
        <v>197862</v>
      </c>
      <c r="F814" s="435"/>
      <c r="G814" s="435"/>
      <c r="H814" s="435"/>
      <c r="I814" s="435"/>
      <c r="J814" s="435" t="s">
        <v>796</v>
      </c>
      <c r="K814" s="435" t="s">
        <v>796</v>
      </c>
      <c r="L814" s="435" t="s">
        <v>796</v>
      </c>
      <c r="M814" s="435" t="s">
        <v>296</v>
      </c>
      <c r="N814" s="435">
        <v>21.094310759999999</v>
      </c>
      <c r="O814" s="435">
        <v>92.335670469999997</v>
      </c>
      <c r="P814" s="561" t="s">
        <v>797</v>
      </c>
      <c r="Q814" s="561"/>
      <c r="R814" s="577"/>
      <c r="S814" s="573"/>
      <c r="T814" s="588">
        <v>43300</v>
      </c>
      <c r="U814" s="440"/>
      <c r="V814" s="435"/>
      <c r="W814" s="435"/>
      <c r="X814" s="17"/>
      <c r="Z814" s="17"/>
    </row>
    <row r="815" spans="1:26" ht="14.25" customHeight="1">
      <c r="A815" s="489" t="s">
        <v>2686</v>
      </c>
      <c r="B815" s="490" t="s">
        <v>307</v>
      </c>
      <c r="C815" s="513" t="s">
        <v>2720</v>
      </c>
      <c r="D815" s="567"/>
      <c r="E815" s="491">
        <v>197800</v>
      </c>
      <c r="F815" s="491" t="s">
        <v>2721</v>
      </c>
      <c r="G815" s="491"/>
      <c r="H815" s="491"/>
      <c r="I815" s="491"/>
      <c r="J815" s="71" t="s">
        <v>796</v>
      </c>
      <c r="K815" s="71" t="s">
        <v>796</v>
      </c>
      <c r="L815" s="71" t="s">
        <v>796</v>
      </c>
      <c r="M815" s="491"/>
      <c r="N815" s="491">
        <v>21.363349914550799</v>
      </c>
      <c r="O815" s="491">
        <v>92.280487060546903</v>
      </c>
      <c r="P815" s="561" t="s">
        <v>797</v>
      </c>
      <c r="Q815" s="491" t="s">
        <v>2663</v>
      </c>
      <c r="R815" s="517"/>
      <c r="S815" s="515"/>
      <c r="T815" s="493">
        <v>43580</v>
      </c>
      <c r="U815" s="494" t="s">
        <v>2713</v>
      </c>
      <c r="V815" s="495"/>
      <c r="W815" s="568"/>
      <c r="X815" s="17"/>
      <c r="Z815" s="17"/>
    </row>
    <row r="816" spans="1:26" ht="14.25" customHeight="1">
      <c r="A816" s="435" t="s">
        <v>2686</v>
      </c>
      <c r="B816" s="586" t="s">
        <v>307</v>
      </c>
      <c r="C816" s="585" t="s">
        <v>659</v>
      </c>
      <c r="D816" s="477" t="s">
        <v>1664</v>
      </c>
      <c r="E816" s="71">
        <v>220734</v>
      </c>
      <c r="F816" s="71" t="s">
        <v>2672</v>
      </c>
      <c r="G816" s="71"/>
      <c r="H816" s="71"/>
      <c r="I816" s="71"/>
      <c r="J816" s="71" t="s">
        <v>796</v>
      </c>
      <c r="K816" s="71" t="s">
        <v>796</v>
      </c>
      <c r="L816" s="71" t="s">
        <v>796</v>
      </c>
      <c r="M816" s="71" t="s">
        <v>296</v>
      </c>
      <c r="N816" s="561">
        <v>20.910375599999998</v>
      </c>
      <c r="O816" s="561">
        <v>92.400138850000005</v>
      </c>
      <c r="P816" s="561" t="s">
        <v>797</v>
      </c>
      <c r="Q816" s="71" t="s">
        <v>800</v>
      </c>
      <c r="R816" s="572"/>
      <c r="S816" s="573"/>
      <c r="T816" s="109">
        <v>42926</v>
      </c>
      <c r="U816" s="105" t="s">
        <v>801</v>
      </c>
      <c r="V816" s="71"/>
      <c r="W816" s="435"/>
      <c r="X816" s="17"/>
      <c r="Z816" s="17"/>
    </row>
    <row r="817" spans="1:26" ht="14.25" customHeight="1">
      <c r="A817" s="435" t="s">
        <v>2686</v>
      </c>
      <c r="B817" s="597" t="s">
        <v>307</v>
      </c>
      <c r="C817" s="598" t="s">
        <v>311</v>
      </c>
      <c r="D817" s="567" t="s">
        <v>1664</v>
      </c>
      <c r="E817" s="71"/>
      <c r="F817" s="71"/>
      <c r="G817" s="71"/>
      <c r="H817" s="71"/>
      <c r="I817" s="71"/>
      <c r="J817" s="71" t="s">
        <v>796</v>
      </c>
      <c r="K817" s="561" t="s">
        <v>796</v>
      </c>
      <c r="L817" s="561" t="s">
        <v>796</v>
      </c>
      <c r="M817" s="71" t="s">
        <v>296</v>
      </c>
      <c r="N817" s="561"/>
      <c r="O817" s="561"/>
      <c r="P817" s="561" t="s">
        <v>797</v>
      </c>
      <c r="Q817" s="71" t="s">
        <v>778</v>
      </c>
      <c r="R817" s="577"/>
      <c r="S817" s="573"/>
      <c r="T817" s="109"/>
      <c r="U817" s="105"/>
      <c r="V817" s="71" t="s">
        <v>311</v>
      </c>
      <c r="W817" s="435"/>
      <c r="X817" s="17"/>
      <c r="Z817" s="17"/>
    </row>
    <row r="818" spans="1:26" ht="14.25" customHeight="1">
      <c r="A818" s="435" t="s">
        <v>2686</v>
      </c>
      <c r="B818" s="586" t="s">
        <v>307</v>
      </c>
      <c r="C818" s="585" t="s">
        <v>313</v>
      </c>
      <c r="D818" s="477" t="s">
        <v>1664</v>
      </c>
      <c r="E818" s="71"/>
      <c r="F818" s="435"/>
      <c r="G818" s="71"/>
      <c r="H818" s="71"/>
      <c r="I818" s="71"/>
      <c r="J818" s="71" t="s">
        <v>796</v>
      </c>
      <c r="K818" s="561" t="s">
        <v>796</v>
      </c>
      <c r="L818" s="561" t="s">
        <v>796</v>
      </c>
      <c r="M818" s="71" t="s">
        <v>793</v>
      </c>
      <c r="N818" s="561"/>
      <c r="O818" s="561"/>
      <c r="P818" s="71" t="s">
        <v>797</v>
      </c>
      <c r="Q818" s="71" t="s">
        <v>778</v>
      </c>
      <c r="R818" s="568"/>
      <c r="S818" s="569"/>
      <c r="T818" s="109"/>
      <c r="U818" s="105"/>
      <c r="V818" s="71" t="s">
        <v>1089</v>
      </c>
      <c r="W818" s="435"/>
      <c r="X818" s="17"/>
      <c r="Z818" s="17"/>
    </row>
    <row r="819" spans="1:26" ht="14.25" customHeight="1">
      <c r="A819" s="435" t="s">
        <v>2686</v>
      </c>
      <c r="B819" s="586" t="s">
        <v>307</v>
      </c>
      <c r="C819" s="585" t="s">
        <v>2301</v>
      </c>
      <c r="D819" s="477"/>
      <c r="E819" s="609">
        <v>196937</v>
      </c>
      <c r="F819" s="566" t="s">
        <v>2672</v>
      </c>
      <c r="G819" s="71"/>
      <c r="H819" s="71"/>
      <c r="I819" s="71"/>
      <c r="J819" s="71" t="s">
        <v>796</v>
      </c>
      <c r="K819" s="561" t="s">
        <v>796</v>
      </c>
      <c r="L819" s="561" t="s">
        <v>796</v>
      </c>
      <c r="M819" s="71" t="s">
        <v>296</v>
      </c>
      <c r="N819" s="71">
        <v>20.646560668945298</v>
      </c>
      <c r="O819" s="71">
        <v>92.976043701171903</v>
      </c>
      <c r="P819" s="71" t="s">
        <v>797</v>
      </c>
      <c r="Q819" s="561"/>
      <c r="R819" s="572"/>
      <c r="S819" s="573"/>
      <c r="T819" s="588"/>
      <c r="U819" s="105"/>
      <c r="V819" s="71"/>
      <c r="W819" s="435"/>
      <c r="X819" s="17"/>
      <c r="Z819" s="17"/>
    </row>
    <row r="820" spans="1:26" ht="14.25" customHeight="1">
      <c r="A820" s="435" t="s">
        <v>2686</v>
      </c>
      <c r="B820" s="586" t="s">
        <v>307</v>
      </c>
      <c r="C820" s="585" t="s">
        <v>2046</v>
      </c>
      <c r="D820" s="477"/>
      <c r="E820" s="71">
        <v>197947</v>
      </c>
      <c r="F820" s="71" t="s">
        <v>2672</v>
      </c>
      <c r="G820" s="71"/>
      <c r="H820" s="71"/>
      <c r="I820" s="71"/>
      <c r="J820" s="71" t="s">
        <v>796</v>
      </c>
      <c r="K820" s="561" t="s">
        <v>796</v>
      </c>
      <c r="L820" s="561" t="s">
        <v>796</v>
      </c>
      <c r="M820" s="71" t="s">
        <v>296</v>
      </c>
      <c r="N820" s="71">
        <v>20.899179459999999</v>
      </c>
      <c r="O820" s="71">
        <v>92.404052730000004</v>
      </c>
      <c r="P820" s="561" t="s">
        <v>797</v>
      </c>
      <c r="Q820" s="71"/>
      <c r="R820" s="568"/>
      <c r="S820" s="569"/>
      <c r="T820" s="109">
        <v>43300</v>
      </c>
      <c r="U820" s="105"/>
      <c r="V820" s="71"/>
      <c r="W820" s="435"/>
      <c r="X820" s="17"/>
      <c r="Z820" s="17"/>
    </row>
    <row r="821" spans="1:26" ht="14.25" customHeight="1">
      <c r="A821" s="435" t="s">
        <v>2686</v>
      </c>
      <c r="B821" s="453" t="s">
        <v>307</v>
      </c>
      <c r="C821" s="454" t="s">
        <v>621</v>
      </c>
      <c r="D821" s="437" t="s">
        <v>1664</v>
      </c>
      <c r="E821" s="71" t="s">
        <v>1407</v>
      </c>
      <c r="F821" s="435"/>
      <c r="G821" s="71"/>
      <c r="H821" s="71" t="s">
        <v>41</v>
      </c>
      <c r="I821" s="71"/>
      <c r="J821" s="71" t="s">
        <v>796</v>
      </c>
      <c r="K821" s="561" t="s">
        <v>796</v>
      </c>
      <c r="L821" s="561" t="s">
        <v>1664</v>
      </c>
      <c r="M821" s="71" t="s">
        <v>793</v>
      </c>
      <c r="N821" s="71">
        <v>20.819958</v>
      </c>
      <c r="O821" s="71">
        <v>92.365793999999994</v>
      </c>
      <c r="P821" s="71" t="s">
        <v>797</v>
      </c>
      <c r="Q821" s="71" t="s">
        <v>778</v>
      </c>
      <c r="R821" s="577"/>
      <c r="S821" s="573"/>
      <c r="T821" s="109">
        <v>43248</v>
      </c>
      <c r="U821" s="105" t="s">
        <v>1908</v>
      </c>
      <c r="V821" s="71"/>
      <c r="W821" s="435"/>
      <c r="X821" s="17"/>
      <c r="Z821" s="17"/>
    </row>
    <row r="822" spans="1:26" ht="14.25" customHeight="1">
      <c r="A822" s="561" t="s">
        <v>2686</v>
      </c>
      <c r="B822" s="586" t="s">
        <v>307</v>
      </c>
      <c r="C822" s="585" t="s">
        <v>2075</v>
      </c>
      <c r="D822" s="477" t="s">
        <v>1664</v>
      </c>
      <c r="E822" s="71">
        <v>197896</v>
      </c>
      <c r="F822" s="561"/>
      <c r="G822" s="71"/>
      <c r="H822" s="71"/>
      <c r="I822" s="71"/>
      <c r="J822" s="71" t="s">
        <v>796</v>
      </c>
      <c r="K822" s="561" t="s">
        <v>796</v>
      </c>
      <c r="L822" s="561" t="s">
        <v>796</v>
      </c>
      <c r="M822" s="71" t="s">
        <v>296</v>
      </c>
      <c r="N822" s="580">
        <v>20.991559980000002</v>
      </c>
      <c r="O822" s="580">
        <v>92.290878300000003</v>
      </c>
      <c r="P822" s="71" t="s">
        <v>797</v>
      </c>
      <c r="Q822" s="71" t="s">
        <v>778</v>
      </c>
      <c r="R822" s="572"/>
      <c r="S822" s="573"/>
      <c r="T822" s="109"/>
      <c r="U822" s="570"/>
      <c r="V822" s="71" t="s">
        <v>670</v>
      </c>
      <c r="W822" s="561"/>
      <c r="X822" s="17"/>
      <c r="Z822" s="17"/>
    </row>
    <row r="823" spans="1:26" ht="14.25" customHeight="1">
      <c r="A823" s="435" t="s">
        <v>2686</v>
      </c>
      <c r="B823" s="586" t="s">
        <v>307</v>
      </c>
      <c r="C823" s="585" t="s">
        <v>2080</v>
      </c>
      <c r="D823" s="477"/>
      <c r="E823" s="71">
        <v>197921</v>
      </c>
      <c r="F823" s="71"/>
      <c r="G823" s="71"/>
      <c r="H823" s="71"/>
      <c r="I823" s="71"/>
      <c r="J823" s="71" t="s">
        <v>796</v>
      </c>
      <c r="K823" s="561" t="s">
        <v>796</v>
      </c>
      <c r="L823" s="561" t="s">
        <v>796</v>
      </c>
      <c r="M823" s="71" t="s">
        <v>793</v>
      </c>
      <c r="N823" s="71">
        <v>20.9467392</v>
      </c>
      <c r="O823" s="71">
        <v>92.330482480000001</v>
      </c>
      <c r="P823" s="71" t="s">
        <v>797</v>
      </c>
      <c r="Q823" s="71"/>
      <c r="R823" s="572"/>
      <c r="S823" s="573"/>
      <c r="T823" s="109">
        <v>43300</v>
      </c>
      <c r="U823" s="105"/>
      <c r="V823" s="71"/>
      <c r="W823" s="435"/>
      <c r="X823" s="17"/>
      <c r="Z823" s="17"/>
    </row>
    <row r="824" spans="1:26" ht="14.25" customHeight="1">
      <c r="A824" s="435" t="s">
        <v>2686</v>
      </c>
      <c r="B824" s="451" t="s">
        <v>307</v>
      </c>
      <c r="C824" s="450" t="s">
        <v>2052</v>
      </c>
      <c r="D824" s="477"/>
      <c r="E824" s="571">
        <v>197970</v>
      </c>
      <c r="F824" s="435"/>
      <c r="G824" s="435"/>
      <c r="H824" s="435"/>
      <c r="I824" s="435"/>
      <c r="J824" s="435" t="s">
        <v>796</v>
      </c>
      <c r="K824" s="561" t="s">
        <v>796</v>
      </c>
      <c r="L824" s="561" t="s">
        <v>796</v>
      </c>
      <c r="M824" s="435" t="s">
        <v>793</v>
      </c>
      <c r="N824" s="580">
        <v>20.86484909</v>
      </c>
      <c r="O824" s="580">
        <v>92.347358700000001</v>
      </c>
      <c r="P824" s="435" t="s">
        <v>797</v>
      </c>
      <c r="Q824" s="435"/>
      <c r="R824" s="572"/>
      <c r="S824" s="573"/>
      <c r="T824" s="452">
        <v>43300</v>
      </c>
      <c r="U824" s="440"/>
      <c r="V824" s="435"/>
      <c r="W824" s="435"/>
      <c r="X824" s="17"/>
      <c r="Z824" s="17"/>
    </row>
    <row r="825" spans="1:26" ht="14.25" customHeight="1">
      <c r="A825" s="435" t="s">
        <v>2686</v>
      </c>
      <c r="B825" s="586" t="s">
        <v>307</v>
      </c>
      <c r="C825" s="585" t="s">
        <v>567</v>
      </c>
      <c r="D825" s="477" t="s">
        <v>1664</v>
      </c>
      <c r="E825" s="561">
        <v>198046</v>
      </c>
      <c r="F825" s="71"/>
      <c r="G825" s="71"/>
      <c r="H825" s="71"/>
      <c r="I825" s="71"/>
      <c r="J825" s="71" t="s">
        <v>796</v>
      </c>
      <c r="K825" s="561" t="s">
        <v>796</v>
      </c>
      <c r="L825" s="561" t="s">
        <v>796</v>
      </c>
      <c r="M825" s="71" t="s">
        <v>793</v>
      </c>
      <c r="N825" s="71">
        <v>20.720169070000001</v>
      </c>
      <c r="O825" s="71">
        <v>92.432983399999998</v>
      </c>
      <c r="P825" s="71" t="s">
        <v>797</v>
      </c>
      <c r="Q825" s="71" t="s">
        <v>778</v>
      </c>
      <c r="R825" s="568"/>
      <c r="S825" s="439"/>
      <c r="T825" s="109"/>
      <c r="U825" s="105"/>
      <c r="V825" s="71" t="s">
        <v>567</v>
      </c>
      <c r="W825" s="435"/>
      <c r="X825" s="17"/>
      <c r="Z825" s="17"/>
    </row>
    <row r="826" spans="1:26" ht="14.25" customHeight="1">
      <c r="A826" s="435" t="s">
        <v>2686</v>
      </c>
      <c r="B826" s="586" t="s">
        <v>307</v>
      </c>
      <c r="C826" s="585" t="s">
        <v>317</v>
      </c>
      <c r="D826" s="477" t="s">
        <v>1664</v>
      </c>
      <c r="E826" s="561"/>
      <c r="F826" s="561"/>
      <c r="G826" s="435"/>
      <c r="H826" s="435"/>
      <c r="I826" s="435"/>
      <c r="J826" s="435" t="s">
        <v>796</v>
      </c>
      <c r="K826" s="561" t="s">
        <v>796</v>
      </c>
      <c r="L826" s="561" t="s">
        <v>796</v>
      </c>
      <c r="M826" s="435" t="s">
        <v>296</v>
      </c>
      <c r="N826" s="435"/>
      <c r="O826" s="435"/>
      <c r="P826" s="71" t="s">
        <v>797</v>
      </c>
      <c r="Q826" s="435" t="s">
        <v>778</v>
      </c>
      <c r="R826" s="572"/>
      <c r="S826" s="573"/>
      <c r="T826" s="588"/>
      <c r="U826" s="440"/>
      <c r="V826" s="435" t="s">
        <v>317</v>
      </c>
      <c r="W826" s="435"/>
      <c r="X826" s="17"/>
      <c r="Z826" s="17"/>
    </row>
    <row r="827" spans="1:26" ht="14.25" customHeight="1">
      <c r="A827" s="435" t="s">
        <v>2686</v>
      </c>
      <c r="B827" s="453" t="s">
        <v>307</v>
      </c>
      <c r="C827" s="454" t="s">
        <v>561</v>
      </c>
      <c r="D827" s="437" t="s">
        <v>1664</v>
      </c>
      <c r="E827" s="561" t="s">
        <v>1402</v>
      </c>
      <c r="F827" s="561"/>
      <c r="G827" s="71"/>
      <c r="H827" s="435" t="s">
        <v>41</v>
      </c>
      <c r="I827" s="435"/>
      <c r="J827" s="435" t="s">
        <v>796</v>
      </c>
      <c r="K827" s="561" t="s">
        <v>796</v>
      </c>
      <c r="L827" s="561" t="s">
        <v>1664</v>
      </c>
      <c r="M827" s="435" t="s">
        <v>793</v>
      </c>
      <c r="N827" s="435">
        <v>20.714846999999999</v>
      </c>
      <c r="O827" s="561">
        <v>92.443427999999997</v>
      </c>
      <c r="P827" s="71" t="s">
        <v>797</v>
      </c>
      <c r="Q827" s="435" t="s">
        <v>778</v>
      </c>
      <c r="R827" s="577"/>
      <c r="S827" s="573"/>
      <c r="T827" s="588">
        <v>43248</v>
      </c>
      <c r="U827" s="440" t="s">
        <v>1908</v>
      </c>
      <c r="V827" s="71"/>
      <c r="W827" s="435"/>
      <c r="X827" s="17"/>
      <c r="Z827" s="17"/>
    </row>
    <row r="828" spans="1:26" ht="14.25" customHeight="1">
      <c r="A828" s="435" t="s">
        <v>2686</v>
      </c>
      <c r="B828" s="597" t="s">
        <v>307</v>
      </c>
      <c r="C828" s="598" t="s">
        <v>319</v>
      </c>
      <c r="D828" s="567" t="s">
        <v>1664</v>
      </c>
      <c r="E828" s="71"/>
      <c r="F828" s="561"/>
      <c r="G828" s="71"/>
      <c r="H828" s="71"/>
      <c r="I828" s="71"/>
      <c r="J828" s="71" t="s">
        <v>796</v>
      </c>
      <c r="K828" s="561" t="s">
        <v>796</v>
      </c>
      <c r="L828" s="561" t="s">
        <v>796</v>
      </c>
      <c r="M828" s="71" t="s">
        <v>793</v>
      </c>
      <c r="N828" s="71"/>
      <c r="O828" s="71"/>
      <c r="P828" s="71" t="s">
        <v>797</v>
      </c>
      <c r="Q828" s="71" t="s">
        <v>778</v>
      </c>
      <c r="R828" s="577"/>
      <c r="S828" s="573"/>
      <c r="T828" s="109"/>
      <c r="U828" s="105"/>
      <c r="V828" s="71" t="s">
        <v>319</v>
      </c>
      <c r="W828" s="435"/>
      <c r="X828" s="17"/>
      <c r="Z828" s="17"/>
    </row>
    <row r="829" spans="1:26" ht="14.25" customHeight="1">
      <c r="A829" s="435" t="s">
        <v>2686</v>
      </c>
      <c r="B829" s="597" t="s">
        <v>307</v>
      </c>
      <c r="C829" s="598" t="s">
        <v>2092</v>
      </c>
      <c r="D829" s="567"/>
      <c r="E829" s="71">
        <v>197934</v>
      </c>
      <c r="F829" s="561"/>
      <c r="G829" s="71"/>
      <c r="H829" s="71"/>
      <c r="I829" s="71"/>
      <c r="J829" s="71" t="s">
        <v>796</v>
      </c>
      <c r="K829" s="561" t="s">
        <v>796</v>
      </c>
      <c r="L829" s="561" t="s">
        <v>796</v>
      </c>
      <c r="M829" s="71" t="s">
        <v>793</v>
      </c>
      <c r="N829" s="71">
        <v>20.857500080000001</v>
      </c>
      <c r="O829" s="71">
        <v>92.357841489999998</v>
      </c>
      <c r="P829" s="561" t="s">
        <v>797</v>
      </c>
      <c r="Q829" s="71"/>
      <c r="R829" s="576"/>
      <c r="S829" s="439"/>
      <c r="T829" s="109">
        <v>43300</v>
      </c>
      <c r="U829" s="105"/>
      <c r="V829" s="71"/>
      <c r="W829" s="435"/>
      <c r="X829" s="17"/>
      <c r="Z829" s="17"/>
    </row>
    <row r="830" spans="1:26" ht="14.25" customHeight="1">
      <c r="A830" s="435" t="s">
        <v>2686</v>
      </c>
      <c r="B830" s="586" t="s">
        <v>307</v>
      </c>
      <c r="C830" s="585" t="s">
        <v>649</v>
      </c>
      <c r="D830" s="477"/>
      <c r="E830" s="566">
        <v>197941</v>
      </c>
      <c r="F830" s="71"/>
      <c r="G830" s="71"/>
      <c r="H830" s="435"/>
      <c r="I830" s="435"/>
      <c r="J830" s="435" t="s">
        <v>796</v>
      </c>
      <c r="K830" s="561" t="s">
        <v>796</v>
      </c>
      <c r="L830" s="561" t="s">
        <v>796</v>
      </c>
      <c r="M830" s="435" t="s">
        <v>793</v>
      </c>
      <c r="N830" s="435">
        <v>20.83185005</v>
      </c>
      <c r="O830" s="561">
        <v>92.359428410000007</v>
      </c>
      <c r="P830" s="561" t="s">
        <v>797</v>
      </c>
      <c r="Q830" s="435"/>
      <c r="R830" s="568"/>
      <c r="S830" s="439"/>
      <c r="T830" s="452">
        <v>43300</v>
      </c>
      <c r="U830" s="440"/>
      <c r="V830" s="71"/>
      <c r="W830" s="435"/>
      <c r="X830" s="17"/>
      <c r="Z830" s="17"/>
    </row>
    <row r="831" spans="1:26" ht="14.25" customHeight="1">
      <c r="A831" s="435" t="s">
        <v>2686</v>
      </c>
      <c r="B831" s="586" t="s">
        <v>307</v>
      </c>
      <c r="C831" s="585" t="s">
        <v>2069</v>
      </c>
      <c r="D831" s="477"/>
      <c r="E831" s="566">
        <v>197872</v>
      </c>
      <c r="F831" s="71"/>
      <c r="G831" s="71"/>
      <c r="H831" s="71"/>
      <c r="I831" s="71"/>
      <c r="J831" s="71" t="s">
        <v>796</v>
      </c>
      <c r="K831" s="561" t="s">
        <v>796</v>
      </c>
      <c r="L831" s="561" t="s">
        <v>796</v>
      </c>
      <c r="M831" s="71" t="s">
        <v>2088</v>
      </c>
      <c r="N831" s="71">
        <v>21.07212067</v>
      </c>
      <c r="O831" s="71">
        <v>92.314163210000004</v>
      </c>
      <c r="P831" s="561" t="s">
        <v>797</v>
      </c>
      <c r="Q831" s="71"/>
      <c r="R831" s="568"/>
      <c r="S831" s="439"/>
      <c r="T831" s="109">
        <v>43300</v>
      </c>
      <c r="U831" s="105"/>
      <c r="V831" s="71"/>
      <c r="W831" s="435"/>
      <c r="X831" s="17"/>
      <c r="Z831" s="17"/>
    </row>
    <row r="832" spans="1:26" ht="14.25" customHeight="1">
      <c r="A832" s="435" t="s">
        <v>2686</v>
      </c>
      <c r="B832" s="586" t="s">
        <v>307</v>
      </c>
      <c r="C832" s="585" t="s">
        <v>3068</v>
      </c>
      <c r="D832" s="477"/>
      <c r="E832" s="71">
        <v>197975</v>
      </c>
      <c r="F832" s="566"/>
      <c r="G832" s="71"/>
      <c r="H832" s="71"/>
      <c r="I832" s="71"/>
      <c r="J832" s="71" t="s">
        <v>796</v>
      </c>
      <c r="K832" s="561" t="s">
        <v>796</v>
      </c>
      <c r="L832" s="561" t="s">
        <v>796</v>
      </c>
      <c r="M832" s="71"/>
      <c r="N832" s="71">
        <v>20.860589981079102</v>
      </c>
      <c r="O832" s="71">
        <v>92.367843627929702</v>
      </c>
      <c r="P832" s="71" t="s">
        <v>797</v>
      </c>
      <c r="Q832" s="71"/>
      <c r="R832" s="568"/>
      <c r="S832" s="439"/>
      <c r="T832" s="109">
        <v>43768</v>
      </c>
      <c r="U832" s="105"/>
      <c r="V832" s="71"/>
      <c r="W832" s="435"/>
      <c r="X832" s="17"/>
      <c r="Z832" s="17"/>
    </row>
    <row r="833" spans="1:26" ht="14.25" customHeight="1">
      <c r="A833" s="435" t="s">
        <v>2686</v>
      </c>
      <c r="B833" s="597" t="s">
        <v>307</v>
      </c>
      <c r="C833" s="598" t="s">
        <v>560</v>
      </c>
      <c r="D833" s="567" t="s">
        <v>1664</v>
      </c>
      <c r="E833" s="435">
        <v>198049</v>
      </c>
      <c r="F833" s="561"/>
      <c r="G833" s="71"/>
      <c r="H833" s="71"/>
      <c r="I833" s="71"/>
      <c r="J833" s="71" t="s">
        <v>796</v>
      </c>
      <c r="K833" s="71" t="s">
        <v>796</v>
      </c>
      <c r="L833" s="435" t="s">
        <v>796</v>
      </c>
      <c r="M833" s="71" t="s">
        <v>793</v>
      </c>
      <c r="N833" s="71">
        <v>20.714559560000001</v>
      </c>
      <c r="O833" s="561">
        <v>92.435226439999994</v>
      </c>
      <c r="P833" s="71" t="s">
        <v>797</v>
      </c>
      <c r="Q833" s="71" t="s">
        <v>778</v>
      </c>
      <c r="R833" s="576"/>
      <c r="S833" s="439"/>
      <c r="T833" s="109"/>
      <c r="U833" s="105"/>
      <c r="V833" s="71" t="s">
        <v>560</v>
      </c>
      <c r="W833" s="435"/>
      <c r="X833" s="17"/>
      <c r="Z833" s="17"/>
    </row>
    <row r="834" spans="1:26" ht="14.25" customHeight="1">
      <c r="A834" s="435" t="s">
        <v>2686</v>
      </c>
      <c r="B834" s="597" t="s">
        <v>307</v>
      </c>
      <c r="C834" s="598" t="s">
        <v>681</v>
      </c>
      <c r="D834" s="567" t="s">
        <v>1664</v>
      </c>
      <c r="E834" s="173">
        <v>220731</v>
      </c>
      <c r="F834" s="561"/>
      <c r="G834" s="71"/>
      <c r="H834" s="71"/>
      <c r="I834" s="71"/>
      <c r="J834" s="71" t="s">
        <v>796</v>
      </c>
      <c r="K834" s="71" t="s">
        <v>796</v>
      </c>
      <c r="L834" s="71" t="s">
        <v>796</v>
      </c>
      <c r="M834" s="71" t="s">
        <v>681</v>
      </c>
      <c r="N834" s="71">
        <v>21.027990339999999</v>
      </c>
      <c r="O834" s="71">
        <v>92.298881530000003</v>
      </c>
      <c r="P834" s="561" t="s">
        <v>797</v>
      </c>
      <c r="Q834" s="71" t="s">
        <v>778</v>
      </c>
      <c r="R834" s="576"/>
      <c r="S834" s="439"/>
      <c r="T834" s="175">
        <v>43300</v>
      </c>
      <c r="U834" s="105"/>
      <c r="V834" s="71" t="s">
        <v>681</v>
      </c>
      <c r="W834" s="435"/>
      <c r="X834" s="17"/>
      <c r="Z834" s="17"/>
    </row>
    <row r="835" spans="1:26" ht="14.25" customHeight="1">
      <c r="A835" s="435" t="s">
        <v>2686</v>
      </c>
      <c r="B835" s="597" t="s">
        <v>307</v>
      </c>
      <c r="C835" s="598" t="s">
        <v>559</v>
      </c>
      <c r="D835" s="567" t="s">
        <v>1664</v>
      </c>
      <c r="E835" s="71" t="s">
        <v>1401</v>
      </c>
      <c r="F835" s="561"/>
      <c r="G835" s="71"/>
      <c r="H835" s="71" t="s">
        <v>41</v>
      </c>
      <c r="I835" s="71"/>
      <c r="J835" s="71" t="s">
        <v>796</v>
      </c>
      <c r="K835" s="561" t="s">
        <v>796</v>
      </c>
      <c r="L835" s="561" t="s">
        <v>1664</v>
      </c>
      <c r="M835" s="71" t="s">
        <v>793</v>
      </c>
      <c r="N835" s="71">
        <v>20.713882999999999</v>
      </c>
      <c r="O835" s="71">
        <v>92.435378</v>
      </c>
      <c r="P835" s="561" t="s">
        <v>797</v>
      </c>
      <c r="Q835" s="71" t="s">
        <v>778</v>
      </c>
      <c r="R835" s="576"/>
      <c r="S835" s="439"/>
      <c r="T835" s="109">
        <v>43248</v>
      </c>
      <c r="U835" s="105" t="s">
        <v>1908</v>
      </c>
      <c r="V835" s="71"/>
      <c r="W835" s="435"/>
      <c r="X835" s="17"/>
      <c r="Z835" s="17"/>
    </row>
    <row r="836" spans="1:26" ht="14.25" customHeight="1">
      <c r="A836" s="435" t="s">
        <v>2686</v>
      </c>
      <c r="B836" s="586" t="s">
        <v>307</v>
      </c>
      <c r="C836" s="585" t="s">
        <v>667</v>
      </c>
      <c r="D836" s="477" t="s">
        <v>1664</v>
      </c>
      <c r="E836" s="435">
        <v>197913</v>
      </c>
      <c r="F836" s="435"/>
      <c r="G836" s="435"/>
      <c r="H836" s="435"/>
      <c r="I836" s="435"/>
      <c r="J836" s="435" t="s">
        <v>796</v>
      </c>
      <c r="K836" s="561" t="s">
        <v>796</v>
      </c>
      <c r="L836" s="561" t="s">
        <v>796</v>
      </c>
      <c r="M836" s="435" t="s">
        <v>296</v>
      </c>
      <c r="N836" s="435">
        <v>20.987419129999999</v>
      </c>
      <c r="O836" s="435">
        <v>92.362136840000005</v>
      </c>
      <c r="P836" s="561" t="s">
        <v>797</v>
      </c>
      <c r="Q836" s="561" t="s">
        <v>800</v>
      </c>
      <c r="R836" s="568"/>
      <c r="S836" s="439"/>
      <c r="T836" s="588">
        <v>42926</v>
      </c>
      <c r="U836" s="440" t="s">
        <v>801</v>
      </c>
      <c r="V836" s="435"/>
      <c r="W836" s="435"/>
      <c r="X836" s="17"/>
      <c r="Z836" s="17"/>
    </row>
    <row r="837" spans="1:26" ht="14.25" customHeight="1">
      <c r="A837" s="435" t="s">
        <v>2686</v>
      </c>
      <c r="B837" s="597" t="s">
        <v>307</v>
      </c>
      <c r="C837" s="598" t="s">
        <v>668</v>
      </c>
      <c r="D837" s="567" t="s">
        <v>1664</v>
      </c>
      <c r="E837" s="71">
        <v>197913</v>
      </c>
      <c r="F837" s="71"/>
      <c r="G837" s="71"/>
      <c r="H837" s="71"/>
      <c r="I837" s="71"/>
      <c r="J837" s="71" t="s">
        <v>796</v>
      </c>
      <c r="K837" s="561" t="s">
        <v>796</v>
      </c>
      <c r="L837" s="561" t="s">
        <v>796</v>
      </c>
      <c r="M837" s="71" t="s">
        <v>793</v>
      </c>
      <c r="N837" s="71">
        <v>20.987419129999999</v>
      </c>
      <c r="O837" s="561">
        <v>92.362136840000005</v>
      </c>
      <c r="P837" s="71" t="s">
        <v>797</v>
      </c>
      <c r="Q837" s="71" t="s">
        <v>778</v>
      </c>
      <c r="R837" s="576"/>
      <c r="S837" s="439"/>
      <c r="T837" s="109">
        <v>42745</v>
      </c>
      <c r="U837" s="105"/>
      <c r="V837" s="71" t="s">
        <v>950</v>
      </c>
      <c r="W837" s="435"/>
      <c r="X837" s="17"/>
      <c r="Z837" s="17"/>
    </row>
    <row r="838" spans="1:26" ht="14.25" customHeight="1">
      <c r="A838" s="435" t="s">
        <v>2686</v>
      </c>
      <c r="B838" s="586" t="s">
        <v>307</v>
      </c>
      <c r="C838" s="585" t="s">
        <v>2096</v>
      </c>
      <c r="D838" s="477"/>
      <c r="E838" s="71">
        <v>197913</v>
      </c>
      <c r="F838" s="435"/>
      <c r="G838" s="71"/>
      <c r="H838" s="71"/>
      <c r="I838" s="71"/>
      <c r="J838" s="71" t="s">
        <v>796</v>
      </c>
      <c r="K838" s="561" t="s">
        <v>796</v>
      </c>
      <c r="L838" s="561" t="s">
        <v>796</v>
      </c>
      <c r="M838" s="71" t="s">
        <v>296</v>
      </c>
      <c r="N838" s="71">
        <v>20.987419129999999</v>
      </c>
      <c r="O838" s="71">
        <v>92.362136840000005</v>
      </c>
      <c r="P838" s="561" t="s">
        <v>797</v>
      </c>
      <c r="Q838" s="71"/>
      <c r="R838" s="568"/>
      <c r="S838" s="104"/>
      <c r="T838" s="109">
        <v>43300</v>
      </c>
      <c r="U838" s="105"/>
      <c r="V838" s="71"/>
      <c r="W838" s="435"/>
      <c r="X838" s="17"/>
      <c r="Z838" s="17"/>
    </row>
    <row r="839" spans="1:26" ht="14.25" customHeight="1">
      <c r="A839" s="435" t="s">
        <v>2686</v>
      </c>
      <c r="B839" s="597" t="s">
        <v>307</v>
      </c>
      <c r="C839" s="598" t="s">
        <v>2083</v>
      </c>
      <c r="D839" s="567"/>
      <c r="E839" s="435">
        <v>198084</v>
      </c>
      <c r="F839" s="561"/>
      <c r="G839" s="435"/>
      <c r="H839" s="435"/>
      <c r="I839" s="435"/>
      <c r="J839" s="435" t="s">
        <v>796</v>
      </c>
      <c r="K839" s="435" t="s">
        <v>796</v>
      </c>
      <c r="L839" s="435" t="s">
        <v>796</v>
      </c>
      <c r="M839" s="435" t="s">
        <v>296</v>
      </c>
      <c r="N839" s="435">
        <v>20.51251984</v>
      </c>
      <c r="O839" s="435">
        <v>92.582893369999994</v>
      </c>
      <c r="P839" s="71" t="s">
        <v>797</v>
      </c>
      <c r="Q839" s="435"/>
      <c r="R839" s="576"/>
      <c r="S839" s="439"/>
      <c r="T839" s="452">
        <v>43300</v>
      </c>
      <c r="U839" s="440"/>
      <c r="V839" s="435"/>
      <c r="W839" s="435"/>
      <c r="X839" s="17"/>
      <c r="Z839" s="17"/>
    </row>
    <row r="840" spans="1:26" ht="14.25" customHeight="1">
      <c r="A840" s="435" t="s">
        <v>2686</v>
      </c>
      <c r="B840" s="586" t="s">
        <v>307</v>
      </c>
      <c r="C840" s="585" t="s">
        <v>2111</v>
      </c>
      <c r="D840" s="477"/>
      <c r="E840" s="435"/>
      <c r="F840" s="561"/>
      <c r="G840" s="435"/>
      <c r="H840" s="435"/>
      <c r="I840" s="435"/>
      <c r="J840" s="435" t="s">
        <v>796</v>
      </c>
      <c r="K840" s="435" t="s">
        <v>796</v>
      </c>
      <c r="L840" s="435" t="s">
        <v>796</v>
      </c>
      <c r="M840" s="435" t="s">
        <v>296</v>
      </c>
      <c r="N840" s="435"/>
      <c r="O840" s="435"/>
      <c r="P840" s="561" t="s">
        <v>797</v>
      </c>
      <c r="Q840" s="561"/>
      <c r="R840" s="568"/>
      <c r="S840" s="439"/>
      <c r="T840" s="588">
        <v>43300</v>
      </c>
      <c r="U840" s="440"/>
      <c r="V840" s="435"/>
      <c r="W840" s="435"/>
      <c r="X840" s="17"/>
      <c r="Z840" s="17"/>
    </row>
    <row r="841" spans="1:26" ht="14.25" customHeight="1">
      <c r="A841" s="435" t="s">
        <v>2686</v>
      </c>
      <c r="B841" s="586" t="s">
        <v>307</v>
      </c>
      <c r="C841" s="585" t="s">
        <v>1911</v>
      </c>
      <c r="D841" s="477"/>
      <c r="E841" s="71">
        <v>197969</v>
      </c>
      <c r="F841" s="435" t="s">
        <v>2563</v>
      </c>
      <c r="G841" s="71"/>
      <c r="H841" s="71"/>
      <c r="I841" s="71"/>
      <c r="J841" s="71" t="s">
        <v>796</v>
      </c>
      <c r="K841" s="71" t="s">
        <v>796</v>
      </c>
      <c r="L841" s="71" t="s">
        <v>796</v>
      </c>
      <c r="M841" s="71" t="s">
        <v>793</v>
      </c>
      <c r="N841" s="71">
        <v>20.866529459999999</v>
      </c>
      <c r="O841" s="71">
        <v>92.364883419999998</v>
      </c>
      <c r="P841" s="71" t="s">
        <v>797</v>
      </c>
      <c r="Q841" s="561" t="s">
        <v>1915</v>
      </c>
      <c r="R841" s="568"/>
      <c r="S841" s="439"/>
      <c r="T841" s="588">
        <v>43245</v>
      </c>
      <c r="U841" s="105"/>
      <c r="V841" s="71"/>
      <c r="W841" s="435"/>
      <c r="X841" s="17"/>
      <c r="Z841" s="17"/>
    </row>
    <row r="842" spans="1:26" ht="14.25" customHeight="1">
      <c r="A842" s="435" t="s">
        <v>2686</v>
      </c>
      <c r="B842" s="586" t="s">
        <v>307</v>
      </c>
      <c r="C842" s="585" t="s">
        <v>2094</v>
      </c>
      <c r="D842" s="477"/>
      <c r="E842" s="71">
        <v>197936</v>
      </c>
      <c r="F842" s="71"/>
      <c r="G842" s="71"/>
      <c r="H842" s="71"/>
      <c r="I842" s="71"/>
      <c r="J842" s="71" t="s">
        <v>796</v>
      </c>
      <c r="K842" s="71" t="s">
        <v>796</v>
      </c>
      <c r="L842" s="71" t="s">
        <v>796</v>
      </c>
      <c r="M842" s="71" t="s">
        <v>296</v>
      </c>
      <c r="N842" s="71">
        <v>20.84993935</v>
      </c>
      <c r="O842" s="71">
        <v>92.348213200000004</v>
      </c>
      <c r="P842" s="71" t="s">
        <v>797</v>
      </c>
      <c r="Q842" s="561"/>
      <c r="R842" s="568"/>
      <c r="S842" s="104"/>
      <c r="T842" s="588">
        <v>43300</v>
      </c>
      <c r="U842" s="105"/>
      <c r="V842" s="71"/>
      <c r="W842" s="435"/>
      <c r="X842" s="17"/>
      <c r="Z842" s="17"/>
    </row>
    <row r="843" spans="1:26" ht="14.25" customHeight="1">
      <c r="A843" s="561" t="s">
        <v>2686</v>
      </c>
      <c r="B843" s="586" t="s">
        <v>307</v>
      </c>
      <c r="C843" s="585" t="s">
        <v>2058</v>
      </c>
      <c r="D843" s="477"/>
      <c r="E843" s="71">
        <v>197986</v>
      </c>
      <c r="F843" s="561"/>
      <c r="G843" s="71"/>
      <c r="H843" s="71"/>
      <c r="I843" s="71"/>
      <c r="J843" s="71" t="s">
        <v>796</v>
      </c>
      <c r="K843" s="71" t="s">
        <v>796</v>
      </c>
      <c r="L843" s="71" t="s">
        <v>796</v>
      </c>
      <c r="M843" s="71" t="s">
        <v>793</v>
      </c>
      <c r="N843" s="435">
        <v>20.819730759999999</v>
      </c>
      <c r="O843" s="561">
        <v>92.376846310000005</v>
      </c>
      <c r="P843" s="71" t="s">
        <v>797</v>
      </c>
      <c r="Q843" s="71"/>
      <c r="R843" s="568"/>
      <c r="S843" s="104"/>
      <c r="T843" s="109">
        <v>43300</v>
      </c>
      <c r="U843" s="570"/>
      <c r="V843" s="71"/>
      <c r="W843" s="561"/>
      <c r="X843" s="17"/>
      <c r="Z843" s="17"/>
    </row>
    <row r="844" spans="1:26" ht="14.25" customHeight="1">
      <c r="A844" s="561" t="s">
        <v>2686</v>
      </c>
      <c r="B844" s="597" t="s">
        <v>307</v>
      </c>
      <c r="C844" s="598" t="s">
        <v>369</v>
      </c>
      <c r="D844" s="567"/>
      <c r="E844" s="561">
        <v>197967</v>
      </c>
      <c r="F844" s="561"/>
      <c r="G844" s="561"/>
      <c r="H844" s="561"/>
      <c r="I844" s="561"/>
      <c r="J844" s="561" t="s">
        <v>796</v>
      </c>
      <c r="K844" s="561" t="s">
        <v>796</v>
      </c>
      <c r="L844" s="561" t="s">
        <v>796</v>
      </c>
      <c r="M844" s="561" t="s">
        <v>793</v>
      </c>
      <c r="N844" s="561">
        <v>20.872419359999999</v>
      </c>
      <c r="O844" s="561">
        <v>92.352493289999998</v>
      </c>
      <c r="P844" s="561" t="s">
        <v>797</v>
      </c>
      <c r="Q844" s="561"/>
      <c r="R844" s="576"/>
      <c r="S844" s="569"/>
      <c r="T844" s="588">
        <v>43300</v>
      </c>
      <c r="U844" s="570"/>
      <c r="V844" s="561"/>
      <c r="W844" s="561"/>
      <c r="X844" s="17"/>
      <c r="Z844" s="17"/>
    </row>
    <row r="845" spans="1:26" ht="14.25" customHeight="1">
      <c r="A845" s="561" t="s">
        <v>2686</v>
      </c>
      <c r="B845" s="586" t="s">
        <v>307</v>
      </c>
      <c r="C845" s="585" t="s">
        <v>2562</v>
      </c>
      <c r="D845" s="477"/>
      <c r="E845" s="561"/>
      <c r="F845" s="561"/>
      <c r="G845" s="561"/>
      <c r="H845" s="561"/>
      <c r="I845" s="561"/>
      <c r="J845" s="561" t="s">
        <v>796</v>
      </c>
      <c r="K845" s="561" t="s">
        <v>796</v>
      </c>
      <c r="L845" s="561" t="s">
        <v>796</v>
      </c>
      <c r="M845" s="561" t="s">
        <v>793</v>
      </c>
      <c r="N845" s="561"/>
      <c r="O845" s="561"/>
      <c r="P845" s="561" t="s">
        <v>797</v>
      </c>
      <c r="Q845" s="561"/>
      <c r="R845" s="568"/>
      <c r="S845" s="569"/>
      <c r="T845" s="588"/>
      <c r="U845" s="570"/>
      <c r="V845" s="561"/>
      <c r="W845" s="561"/>
      <c r="X845" s="17"/>
      <c r="Z845" s="17"/>
    </row>
    <row r="846" spans="1:26" ht="14.25" customHeight="1">
      <c r="A846" s="561" t="s">
        <v>2686</v>
      </c>
      <c r="B846" s="597" t="s">
        <v>307</v>
      </c>
      <c r="C846" s="598" t="s">
        <v>2093</v>
      </c>
      <c r="D846" s="567"/>
      <c r="E846" s="561">
        <v>197935</v>
      </c>
      <c r="F846" s="561"/>
      <c r="G846" s="561"/>
      <c r="H846" s="561"/>
      <c r="I846" s="561"/>
      <c r="J846" s="561" t="s">
        <v>796</v>
      </c>
      <c r="K846" s="561" t="s">
        <v>796</v>
      </c>
      <c r="L846" s="561" t="s">
        <v>796</v>
      </c>
      <c r="M846" s="561" t="s">
        <v>793</v>
      </c>
      <c r="N846" s="561">
        <v>20.85008049</v>
      </c>
      <c r="O846" s="561">
        <v>92.353576660000002</v>
      </c>
      <c r="P846" s="561" t="s">
        <v>797</v>
      </c>
      <c r="Q846" s="561"/>
      <c r="R846" s="576"/>
      <c r="S846" s="569"/>
      <c r="T846" s="588">
        <v>43300</v>
      </c>
      <c r="U846" s="570"/>
      <c r="V846" s="561"/>
      <c r="W846" s="561"/>
      <c r="X846" s="17"/>
      <c r="Z846" s="17"/>
    </row>
    <row r="847" spans="1:26" ht="14.25" customHeight="1">
      <c r="A847" s="561" t="s">
        <v>2686</v>
      </c>
      <c r="B847" s="597" t="s">
        <v>307</v>
      </c>
      <c r="C847" s="598" t="s">
        <v>631</v>
      </c>
      <c r="D847" s="567" t="s">
        <v>1664</v>
      </c>
      <c r="E847" s="71">
        <v>197992</v>
      </c>
      <c r="F847" s="561"/>
      <c r="G847" s="71"/>
      <c r="H847" s="71"/>
      <c r="I847" s="71"/>
      <c r="J847" s="71" t="s">
        <v>796</v>
      </c>
      <c r="K847" s="561" t="s">
        <v>796</v>
      </c>
      <c r="L847" s="561" t="s">
        <v>796</v>
      </c>
      <c r="M847" s="71" t="s">
        <v>793</v>
      </c>
      <c r="N847" s="71">
        <v>20.83049011</v>
      </c>
      <c r="O847" s="71">
        <v>92.393707280000001</v>
      </c>
      <c r="P847" s="71" t="s">
        <v>797</v>
      </c>
      <c r="Q847" s="561" t="s">
        <v>778</v>
      </c>
      <c r="R847" s="576"/>
      <c r="S847" s="104"/>
      <c r="T847" s="109"/>
      <c r="U847" s="570"/>
      <c r="V847" s="71" t="s">
        <v>631</v>
      </c>
      <c r="W847" s="561"/>
      <c r="X847" s="17"/>
      <c r="Z847" s="17"/>
    </row>
    <row r="848" spans="1:26" ht="14.25" customHeight="1">
      <c r="A848" s="435" t="s">
        <v>2686</v>
      </c>
      <c r="B848" s="597" t="s">
        <v>307</v>
      </c>
      <c r="C848" s="450" t="s">
        <v>627</v>
      </c>
      <c r="D848" s="567" t="s">
        <v>1664</v>
      </c>
      <c r="E848" s="561">
        <v>197989</v>
      </c>
      <c r="F848" s="561"/>
      <c r="G848" s="71"/>
      <c r="H848" s="71"/>
      <c r="I848" s="71"/>
      <c r="J848" s="71" t="s">
        <v>796</v>
      </c>
      <c r="K848" s="561" t="s">
        <v>796</v>
      </c>
      <c r="L848" s="561" t="s">
        <v>796</v>
      </c>
      <c r="M848" s="71" t="s">
        <v>793</v>
      </c>
      <c r="N848" s="71">
        <v>20.82498932</v>
      </c>
      <c r="O848" s="71">
        <v>92.390571589999993</v>
      </c>
      <c r="P848" s="561" t="s">
        <v>797</v>
      </c>
      <c r="Q848" s="566" t="s">
        <v>778</v>
      </c>
      <c r="R848" s="576"/>
      <c r="S848" s="104"/>
      <c r="T848" s="589"/>
      <c r="U848" s="105"/>
      <c r="V848" s="71" t="s">
        <v>627</v>
      </c>
      <c r="W848" s="435"/>
      <c r="X848" s="17"/>
      <c r="Z848" s="17"/>
    </row>
    <row r="849" spans="1:26" ht="14.25" customHeight="1">
      <c r="A849" s="435" t="s">
        <v>2686</v>
      </c>
      <c r="B849" s="597" t="s">
        <v>307</v>
      </c>
      <c r="C849" s="598" t="s">
        <v>2043</v>
      </c>
      <c r="D849" s="567"/>
      <c r="E849" s="561">
        <v>197937</v>
      </c>
      <c r="F849" s="561"/>
      <c r="G849" s="71"/>
      <c r="H849" s="71"/>
      <c r="I849" s="71"/>
      <c r="J849" s="71" t="s">
        <v>796</v>
      </c>
      <c r="K849" s="561" t="s">
        <v>796</v>
      </c>
      <c r="L849" s="561" t="s">
        <v>796</v>
      </c>
      <c r="M849" s="71" t="s">
        <v>793</v>
      </c>
      <c r="N849" s="71">
        <v>20.845720289999999</v>
      </c>
      <c r="O849" s="71">
        <v>92.353950499999996</v>
      </c>
      <c r="P849" s="561" t="s">
        <v>797</v>
      </c>
      <c r="Q849" s="71"/>
      <c r="R849" s="576"/>
      <c r="S849" s="439"/>
      <c r="T849" s="109">
        <v>43300</v>
      </c>
      <c r="U849" s="105"/>
      <c r="V849" s="561"/>
      <c r="W849" s="435"/>
      <c r="X849" s="17"/>
      <c r="Z849" s="17"/>
    </row>
    <row r="850" spans="1:26" ht="14.25" customHeight="1">
      <c r="A850" s="435" t="s">
        <v>2686</v>
      </c>
      <c r="B850" s="597" t="s">
        <v>307</v>
      </c>
      <c r="C850" s="598" t="s">
        <v>623</v>
      </c>
      <c r="D850" s="567" t="s">
        <v>1664</v>
      </c>
      <c r="E850" s="71">
        <v>217894</v>
      </c>
      <c r="F850" s="71"/>
      <c r="G850" s="71"/>
      <c r="H850" s="71"/>
      <c r="I850" s="71"/>
      <c r="J850" s="71" t="s">
        <v>796</v>
      </c>
      <c r="K850" s="561" t="s">
        <v>796</v>
      </c>
      <c r="L850" s="561" t="s">
        <v>796</v>
      </c>
      <c r="M850" s="71" t="s">
        <v>296</v>
      </c>
      <c r="N850" s="71">
        <v>20.822059629999998</v>
      </c>
      <c r="O850" s="71">
        <v>92.41690826</v>
      </c>
      <c r="P850" s="561" t="s">
        <v>797</v>
      </c>
      <c r="Q850" s="71" t="s">
        <v>778</v>
      </c>
      <c r="R850" s="576"/>
      <c r="S850" s="439"/>
      <c r="T850" s="109"/>
      <c r="U850" s="105"/>
      <c r="V850" s="561" t="s">
        <v>623</v>
      </c>
      <c r="W850" s="435"/>
      <c r="X850" s="17"/>
      <c r="Z850" s="17"/>
    </row>
    <row r="851" spans="1:26" ht="14.25" customHeight="1">
      <c r="A851" s="569" t="s">
        <v>2686</v>
      </c>
      <c r="B851" s="597" t="s">
        <v>307</v>
      </c>
      <c r="C851" s="598" t="s">
        <v>2861</v>
      </c>
      <c r="D851" s="567"/>
      <c r="E851" s="561">
        <v>217895</v>
      </c>
      <c r="F851" s="594" t="s">
        <v>2867</v>
      </c>
      <c r="G851" s="561"/>
      <c r="H851" s="561"/>
      <c r="I851" s="561"/>
      <c r="J851" s="561" t="s">
        <v>796</v>
      </c>
      <c r="K851" s="561" t="s">
        <v>796</v>
      </c>
      <c r="L851" s="561" t="s">
        <v>796</v>
      </c>
      <c r="M851" s="561" t="s">
        <v>296</v>
      </c>
      <c r="N851" s="561">
        <v>20.8013000488281</v>
      </c>
      <c r="O851" s="561">
        <v>92.423202514648395</v>
      </c>
      <c r="P851" s="561" t="s">
        <v>797</v>
      </c>
      <c r="Q851" s="561" t="s">
        <v>3026</v>
      </c>
      <c r="R851" s="576"/>
      <c r="S851" s="569"/>
      <c r="T851" s="588"/>
      <c r="U851" s="576"/>
      <c r="V851" s="561" t="s">
        <v>605</v>
      </c>
      <c r="W851" s="568"/>
      <c r="X851" s="17"/>
      <c r="Z851" s="17"/>
    </row>
    <row r="852" spans="1:26" ht="14.25" customHeight="1">
      <c r="A852" s="569" t="s">
        <v>2686</v>
      </c>
      <c r="B852" s="597" t="s">
        <v>307</v>
      </c>
      <c r="C852" s="598" t="s">
        <v>3055</v>
      </c>
      <c r="D852" s="567"/>
      <c r="E852" s="71"/>
      <c r="F852" s="594" t="s">
        <v>2867</v>
      </c>
      <c r="G852" s="71"/>
      <c r="H852" s="71"/>
      <c r="I852" s="71"/>
      <c r="J852" s="71" t="s">
        <v>796</v>
      </c>
      <c r="K852" s="561" t="s">
        <v>796</v>
      </c>
      <c r="L852" s="561" t="s">
        <v>796</v>
      </c>
      <c r="M852" s="71" t="s">
        <v>296</v>
      </c>
      <c r="N852" s="435"/>
      <c r="O852" s="435"/>
      <c r="P852" s="71" t="s">
        <v>797</v>
      </c>
      <c r="Q852" s="71" t="s">
        <v>3026</v>
      </c>
      <c r="R852" s="576"/>
      <c r="S852" s="104"/>
      <c r="T852" s="109"/>
      <c r="U852" s="576"/>
      <c r="V852" s="71" t="s">
        <v>605</v>
      </c>
      <c r="W852" s="568"/>
      <c r="X852" s="17"/>
      <c r="Z852" s="17"/>
    </row>
    <row r="853" spans="1:26" ht="14.25" customHeight="1">
      <c r="A853" s="569" t="s">
        <v>2686</v>
      </c>
      <c r="B853" s="597" t="s">
        <v>307</v>
      </c>
      <c r="C853" s="598" t="s">
        <v>3054</v>
      </c>
      <c r="D853" s="567"/>
      <c r="E853" s="71"/>
      <c r="F853" s="594" t="s">
        <v>2867</v>
      </c>
      <c r="G853" s="71"/>
      <c r="H853" s="71"/>
      <c r="I853" s="71"/>
      <c r="J853" s="71" t="s">
        <v>796</v>
      </c>
      <c r="K853" s="561" t="s">
        <v>796</v>
      </c>
      <c r="L853" s="561" t="s">
        <v>796</v>
      </c>
      <c r="M853" s="71" t="s">
        <v>296</v>
      </c>
      <c r="N853" s="435"/>
      <c r="O853" s="435"/>
      <c r="P853" s="561" t="s">
        <v>797</v>
      </c>
      <c r="Q853" s="71" t="s">
        <v>3026</v>
      </c>
      <c r="R853" s="576"/>
      <c r="S853" s="104"/>
      <c r="T853" s="109"/>
      <c r="U853" s="576"/>
      <c r="V853" s="71" t="s">
        <v>605</v>
      </c>
      <c r="W853" s="568"/>
      <c r="X853" s="17"/>
      <c r="Z853" s="17"/>
    </row>
    <row r="854" spans="1:26" ht="14.25" customHeight="1">
      <c r="A854" s="435" t="s">
        <v>2686</v>
      </c>
      <c r="B854" s="451" t="s">
        <v>307</v>
      </c>
      <c r="C854" s="450" t="s">
        <v>2077</v>
      </c>
      <c r="D854" s="567" t="s">
        <v>1664</v>
      </c>
      <c r="E854" s="71">
        <v>197890</v>
      </c>
      <c r="F854" s="71"/>
      <c r="G854" s="71"/>
      <c r="H854" s="71"/>
      <c r="I854" s="71"/>
      <c r="J854" s="71" t="s">
        <v>796</v>
      </c>
      <c r="K854" s="566" t="s">
        <v>796</v>
      </c>
      <c r="L854" s="566" t="s">
        <v>796</v>
      </c>
      <c r="M854" s="71" t="s">
        <v>296</v>
      </c>
      <c r="N854" s="435">
        <v>21.016569140000001</v>
      </c>
      <c r="O854" s="435">
        <v>92.307716369999994</v>
      </c>
      <c r="P854" s="561" t="s">
        <v>797</v>
      </c>
      <c r="Q854" s="71" t="s">
        <v>778</v>
      </c>
      <c r="R854" s="438"/>
      <c r="S854" s="104"/>
      <c r="T854" s="109">
        <v>43300</v>
      </c>
      <c r="U854" s="105"/>
      <c r="V854" s="561" t="s">
        <v>676</v>
      </c>
      <c r="W854" s="435"/>
      <c r="X854" s="17"/>
      <c r="Z854" s="17"/>
    </row>
    <row r="855" spans="1:26" ht="14.25" customHeight="1">
      <c r="A855" s="435" t="s">
        <v>2686</v>
      </c>
      <c r="B855" s="597" t="s">
        <v>307</v>
      </c>
      <c r="C855" s="598" t="s">
        <v>2723</v>
      </c>
      <c r="D855" s="567"/>
      <c r="E855" s="561">
        <v>197817</v>
      </c>
      <c r="F855" s="71"/>
      <c r="G855" s="71"/>
      <c r="H855" s="71"/>
      <c r="I855" s="71"/>
      <c r="J855" s="71" t="s">
        <v>796</v>
      </c>
      <c r="K855" s="71" t="s">
        <v>796</v>
      </c>
      <c r="L855" s="71" t="s">
        <v>796</v>
      </c>
      <c r="M855" s="71"/>
      <c r="N855" s="435">
        <v>21.270368576049801</v>
      </c>
      <c r="O855" s="561">
        <v>92.2763671875</v>
      </c>
      <c r="P855" s="561" t="s">
        <v>797</v>
      </c>
      <c r="Q855" s="71" t="s">
        <v>3026</v>
      </c>
      <c r="R855" s="576"/>
      <c r="S855" s="104"/>
      <c r="T855" s="109">
        <v>43769</v>
      </c>
      <c r="U855" s="576"/>
      <c r="V855" s="71"/>
      <c r="W855" s="568"/>
      <c r="X855" s="17"/>
      <c r="Z855" s="17"/>
    </row>
    <row r="856" spans="1:26" ht="14.25" customHeight="1">
      <c r="A856" s="435" t="s">
        <v>2686</v>
      </c>
      <c r="B856" s="586" t="s">
        <v>307</v>
      </c>
      <c r="C856" s="585" t="s">
        <v>324</v>
      </c>
      <c r="D856" s="477" t="s">
        <v>1664</v>
      </c>
      <c r="E856" s="566"/>
      <c r="F856" s="435"/>
      <c r="G856" s="435"/>
      <c r="H856" s="435"/>
      <c r="I856" s="435"/>
      <c r="J856" s="71" t="s">
        <v>796</v>
      </c>
      <c r="K856" s="566" t="s">
        <v>796</v>
      </c>
      <c r="L856" s="566" t="s">
        <v>796</v>
      </c>
      <c r="M856" s="435" t="s">
        <v>793</v>
      </c>
      <c r="N856" s="435"/>
      <c r="O856" s="561"/>
      <c r="P856" s="435" t="s">
        <v>797</v>
      </c>
      <c r="Q856" s="435" t="s">
        <v>778</v>
      </c>
      <c r="R856" s="568"/>
      <c r="S856" s="439"/>
      <c r="T856" s="452"/>
      <c r="U856" s="440"/>
      <c r="V856" s="561"/>
      <c r="W856" s="435"/>
      <c r="X856" s="17"/>
      <c r="Z856" s="17"/>
    </row>
    <row r="857" spans="1:26" ht="14.25" customHeight="1">
      <c r="A857" s="435" t="s">
        <v>2686</v>
      </c>
      <c r="B857" s="597" t="s">
        <v>307</v>
      </c>
      <c r="C857" s="598" t="s">
        <v>587</v>
      </c>
      <c r="D857" s="567" t="s">
        <v>1664</v>
      </c>
      <c r="E857" s="435">
        <v>220739</v>
      </c>
      <c r="F857" s="561"/>
      <c r="G857" s="71"/>
      <c r="H857" s="71"/>
      <c r="I857" s="71"/>
      <c r="J857" s="71" t="s">
        <v>796</v>
      </c>
      <c r="K857" s="566" t="s">
        <v>796</v>
      </c>
      <c r="L857" s="566" t="s">
        <v>796</v>
      </c>
      <c r="M857" s="71" t="s">
        <v>296</v>
      </c>
      <c r="N857" s="435">
        <v>20.76523972</v>
      </c>
      <c r="O857" s="435">
        <v>92.422332760000003</v>
      </c>
      <c r="P857" s="71" t="s">
        <v>797</v>
      </c>
      <c r="Q857" s="71" t="s">
        <v>778</v>
      </c>
      <c r="R857" s="576"/>
      <c r="S857" s="104"/>
      <c r="T857" s="109"/>
      <c r="U857" s="105"/>
      <c r="V857" s="561" t="s">
        <v>932</v>
      </c>
      <c r="W857" s="435"/>
      <c r="X857" s="17"/>
      <c r="Z857" s="17"/>
    </row>
    <row r="858" spans="1:26" ht="14.25" customHeight="1">
      <c r="A858" s="435" t="s">
        <v>2686</v>
      </c>
      <c r="B858" s="586" t="s">
        <v>307</v>
      </c>
      <c r="C858" s="585" t="s">
        <v>3056</v>
      </c>
      <c r="D858" s="477" t="s">
        <v>1664</v>
      </c>
      <c r="E858" s="71"/>
      <c r="F858" s="561"/>
      <c r="G858" s="71"/>
      <c r="H858" s="71"/>
      <c r="I858" s="71"/>
      <c r="J858" s="71" t="s">
        <v>796</v>
      </c>
      <c r="K858" s="566" t="s">
        <v>796</v>
      </c>
      <c r="L858" s="566" t="s">
        <v>796</v>
      </c>
      <c r="M858" s="71" t="s">
        <v>296</v>
      </c>
      <c r="N858" s="71"/>
      <c r="O858" s="561"/>
      <c r="P858" s="561" t="s">
        <v>797</v>
      </c>
      <c r="Q858" s="71" t="s">
        <v>924</v>
      </c>
      <c r="R858" s="568"/>
      <c r="S858" s="439"/>
      <c r="T858" s="109"/>
      <c r="U858" s="105"/>
      <c r="V858" s="71" t="s">
        <v>928</v>
      </c>
      <c r="W858" s="435"/>
      <c r="X858" s="17"/>
      <c r="Z858" s="17"/>
    </row>
    <row r="859" spans="1:26" ht="14.25" customHeight="1">
      <c r="A859" s="435" t="s">
        <v>2686</v>
      </c>
      <c r="B859" s="586" t="s">
        <v>307</v>
      </c>
      <c r="C859" s="585" t="s">
        <v>562</v>
      </c>
      <c r="D859" s="477" t="s">
        <v>1664</v>
      </c>
      <c r="E859" s="435">
        <v>220744</v>
      </c>
      <c r="F859" s="561"/>
      <c r="G859" s="71"/>
      <c r="H859" s="71"/>
      <c r="I859" s="71"/>
      <c r="J859" s="71" t="s">
        <v>796</v>
      </c>
      <c r="K859" s="566" t="s">
        <v>796</v>
      </c>
      <c r="L859" s="566" t="s">
        <v>796</v>
      </c>
      <c r="M859" s="71" t="s">
        <v>296</v>
      </c>
      <c r="N859" s="71">
        <v>20.71612167</v>
      </c>
      <c r="O859" s="561">
        <v>92.442459110000001</v>
      </c>
      <c r="P859" s="561" t="s">
        <v>797</v>
      </c>
      <c r="Q859" s="71" t="s">
        <v>778</v>
      </c>
      <c r="R859" s="568"/>
      <c r="S859" s="104"/>
      <c r="T859" s="109"/>
      <c r="U859" s="105"/>
      <c r="V859" s="71" t="s">
        <v>928</v>
      </c>
      <c r="W859" s="435"/>
      <c r="X859" s="17"/>
      <c r="Z859" s="17"/>
    </row>
    <row r="860" spans="1:26" ht="14.25" customHeight="1">
      <c r="A860" s="435" t="s">
        <v>2686</v>
      </c>
      <c r="B860" s="597" t="s">
        <v>307</v>
      </c>
      <c r="C860" s="598" t="s">
        <v>528</v>
      </c>
      <c r="D860" s="567" t="s">
        <v>1664</v>
      </c>
      <c r="E860" s="71">
        <v>198024</v>
      </c>
      <c r="F860" s="561"/>
      <c r="G860" s="71"/>
      <c r="H860" s="71"/>
      <c r="I860" s="71"/>
      <c r="J860" s="71" t="s">
        <v>796</v>
      </c>
      <c r="K860" s="566" t="s">
        <v>796</v>
      </c>
      <c r="L860" s="566" t="s">
        <v>796</v>
      </c>
      <c r="M860" s="71" t="s">
        <v>793</v>
      </c>
      <c r="N860" s="71">
        <v>20.669300079999999</v>
      </c>
      <c r="O860" s="71">
        <v>92.46575928</v>
      </c>
      <c r="P860" s="71" t="s">
        <v>797</v>
      </c>
      <c r="Q860" s="71" t="s">
        <v>778</v>
      </c>
      <c r="R860" s="576"/>
      <c r="S860" s="439"/>
      <c r="T860" s="109">
        <v>42745</v>
      </c>
      <c r="U860" s="105"/>
      <c r="V860" s="561" t="s">
        <v>922</v>
      </c>
      <c r="W860" s="435"/>
      <c r="X860" s="17"/>
      <c r="Z860" s="17"/>
    </row>
    <row r="861" spans="1:26" ht="14.25" customHeight="1">
      <c r="A861" s="435" t="s">
        <v>2686</v>
      </c>
      <c r="B861" s="586" t="s">
        <v>307</v>
      </c>
      <c r="C861" s="585" t="s">
        <v>682</v>
      </c>
      <c r="D861" s="477" t="s">
        <v>1664</v>
      </c>
      <c r="E861" s="71">
        <v>197887</v>
      </c>
      <c r="F861" s="561"/>
      <c r="G861" s="71"/>
      <c r="H861" s="71"/>
      <c r="I861" s="71"/>
      <c r="J861" s="71" t="s">
        <v>796</v>
      </c>
      <c r="K861" s="566" t="s">
        <v>796</v>
      </c>
      <c r="L861" s="566" t="s">
        <v>796</v>
      </c>
      <c r="M861" s="71" t="s">
        <v>793</v>
      </c>
      <c r="N861" s="71">
        <v>21.04866028</v>
      </c>
      <c r="O861" s="71">
        <v>92.293350219999994</v>
      </c>
      <c r="P861" s="561" t="s">
        <v>797</v>
      </c>
      <c r="Q861" s="71" t="s">
        <v>778</v>
      </c>
      <c r="R861" s="568"/>
      <c r="S861" s="439"/>
      <c r="T861" s="109"/>
      <c r="U861" s="105"/>
      <c r="V861" s="71" t="s">
        <v>682</v>
      </c>
      <c r="W861" s="435"/>
      <c r="X861" s="17"/>
      <c r="Z861" s="17"/>
    </row>
    <row r="862" spans="1:26" ht="14.25" customHeight="1">
      <c r="A862" s="435" t="s">
        <v>2686</v>
      </c>
      <c r="B862" s="586" t="s">
        <v>307</v>
      </c>
      <c r="C862" s="585" t="s">
        <v>2068</v>
      </c>
      <c r="D862" s="477"/>
      <c r="E862" s="71">
        <v>198094</v>
      </c>
      <c r="F862" s="71"/>
      <c r="G862" s="71"/>
      <c r="H862" s="71"/>
      <c r="I862" s="71"/>
      <c r="J862" s="71" t="s">
        <v>796</v>
      </c>
      <c r="K862" s="561" t="s">
        <v>796</v>
      </c>
      <c r="L862" s="561" t="s">
        <v>796</v>
      </c>
      <c r="M862" s="71" t="s">
        <v>296</v>
      </c>
      <c r="N862" s="435">
        <v>21.157270430000001</v>
      </c>
      <c r="O862" s="435">
        <v>92.209739690000006</v>
      </c>
      <c r="P862" s="561" t="s">
        <v>797</v>
      </c>
      <c r="Q862" s="71"/>
      <c r="R862" s="568"/>
      <c r="S862" s="439"/>
      <c r="T862" s="109">
        <v>43300</v>
      </c>
      <c r="U862" s="105"/>
      <c r="V862" s="71"/>
      <c r="W862" s="435"/>
      <c r="X862" s="17"/>
      <c r="Z862" s="17"/>
    </row>
    <row r="863" spans="1:26" ht="14.25" customHeight="1">
      <c r="A863" s="435" t="s">
        <v>2686</v>
      </c>
      <c r="B863" s="586" t="s">
        <v>307</v>
      </c>
      <c r="C863" s="585" t="s">
        <v>2055</v>
      </c>
      <c r="D863" s="477"/>
      <c r="E863" s="566">
        <v>197950</v>
      </c>
      <c r="F863" s="561"/>
      <c r="G863" s="561"/>
      <c r="H863" s="561"/>
      <c r="I863" s="561"/>
      <c r="J863" s="561" t="s">
        <v>796</v>
      </c>
      <c r="K863" s="561" t="s">
        <v>796</v>
      </c>
      <c r="L863" s="561" t="s">
        <v>796</v>
      </c>
      <c r="M863" s="561" t="s">
        <v>793</v>
      </c>
      <c r="N863" s="561">
        <v>20.914119719999999</v>
      </c>
      <c r="O863" s="566">
        <v>92.3506012</v>
      </c>
      <c r="P863" s="561" t="s">
        <v>797</v>
      </c>
      <c r="Q863" s="561"/>
      <c r="R863" s="568"/>
      <c r="S863" s="569"/>
      <c r="T863" s="588">
        <v>43300</v>
      </c>
      <c r="U863" s="570"/>
      <c r="V863" s="561"/>
      <c r="W863" s="435"/>
      <c r="X863" s="17"/>
      <c r="Z863" s="17"/>
    </row>
    <row r="864" spans="1:26" ht="14.25" customHeight="1">
      <c r="A864" s="435" t="s">
        <v>2686</v>
      </c>
      <c r="B864" s="597" t="s">
        <v>307</v>
      </c>
      <c r="C864" s="598" t="s">
        <v>2084</v>
      </c>
      <c r="D864" s="567"/>
      <c r="E864" s="435">
        <v>198075</v>
      </c>
      <c r="F864" s="435"/>
      <c r="G864" s="435"/>
      <c r="H864" s="435"/>
      <c r="I864" s="435"/>
      <c r="J864" s="435" t="s">
        <v>796</v>
      </c>
      <c r="K864" s="561" t="s">
        <v>796</v>
      </c>
      <c r="L864" s="561" t="s">
        <v>796</v>
      </c>
      <c r="M864" s="435" t="s">
        <v>296</v>
      </c>
      <c r="N864" s="435">
        <v>20.543220519999998</v>
      </c>
      <c r="O864" s="435">
        <v>92.544296259999996</v>
      </c>
      <c r="P864" s="435" t="s">
        <v>797</v>
      </c>
      <c r="Q864" s="435"/>
      <c r="R864" s="576"/>
      <c r="S864" s="439"/>
      <c r="T864" s="452">
        <v>43300</v>
      </c>
      <c r="U864" s="440"/>
      <c r="V864" s="435"/>
      <c r="W864" s="435"/>
      <c r="X864" s="17"/>
      <c r="Z864" s="17"/>
    </row>
    <row r="865" spans="1:26" ht="14.25" customHeight="1">
      <c r="A865" s="435" t="s">
        <v>2686</v>
      </c>
      <c r="B865" s="586" t="s">
        <v>307</v>
      </c>
      <c r="C865" s="585" t="s">
        <v>494</v>
      </c>
      <c r="D865" s="477" t="s">
        <v>1664</v>
      </c>
      <c r="E865" s="435">
        <v>198075</v>
      </c>
      <c r="F865" s="566"/>
      <c r="G865" s="435"/>
      <c r="H865" s="435"/>
      <c r="I865" s="435"/>
      <c r="J865" s="435" t="s">
        <v>796</v>
      </c>
      <c r="K865" s="435" t="s">
        <v>796</v>
      </c>
      <c r="L865" s="435" t="s">
        <v>796</v>
      </c>
      <c r="M865" s="435" t="s">
        <v>296</v>
      </c>
      <c r="N865" s="435">
        <v>20.543220519999998</v>
      </c>
      <c r="O865" s="435">
        <v>92.544296259999996</v>
      </c>
      <c r="P865" s="561" t="s">
        <v>797</v>
      </c>
      <c r="Q865" s="435" t="s">
        <v>778</v>
      </c>
      <c r="R865" s="568"/>
      <c r="S865" s="439"/>
      <c r="T865" s="452"/>
      <c r="U865" s="440"/>
      <c r="V865" s="435" t="s">
        <v>494</v>
      </c>
      <c r="W865" s="435"/>
      <c r="X865" s="17"/>
      <c r="Z865" s="17"/>
    </row>
    <row r="866" spans="1:26" ht="14.25" customHeight="1">
      <c r="A866" s="435" t="s">
        <v>2686</v>
      </c>
      <c r="B866" s="453" t="s">
        <v>307</v>
      </c>
      <c r="C866" s="454" t="s">
        <v>518</v>
      </c>
      <c r="D866" s="437" t="s">
        <v>1664</v>
      </c>
      <c r="E866" s="435">
        <v>198058</v>
      </c>
      <c r="F866" s="566"/>
      <c r="G866" s="435"/>
      <c r="H866" s="435"/>
      <c r="I866" s="435"/>
      <c r="J866" s="435" t="s">
        <v>796</v>
      </c>
      <c r="K866" s="435" t="s">
        <v>796</v>
      </c>
      <c r="L866" s="435" t="s">
        <v>796</v>
      </c>
      <c r="M866" s="435" t="s">
        <v>793</v>
      </c>
      <c r="N866" s="435">
        <v>20.64685059</v>
      </c>
      <c r="O866" s="566">
        <v>92.493553160000005</v>
      </c>
      <c r="P866" s="435" t="s">
        <v>797</v>
      </c>
      <c r="Q866" s="435" t="s">
        <v>778</v>
      </c>
      <c r="R866" s="445"/>
      <c r="S866" s="439"/>
      <c r="T866" s="452"/>
      <c r="U866" s="440"/>
      <c r="V866" s="435" t="s">
        <v>518</v>
      </c>
      <c r="W866" s="435"/>
      <c r="X866" s="17"/>
      <c r="Z866" s="17"/>
    </row>
    <row r="867" spans="1:26" ht="14.25" customHeight="1">
      <c r="A867" s="435" t="s">
        <v>2686</v>
      </c>
      <c r="B867" s="586" t="s">
        <v>307</v>
      </c>
      <c r="C867" s="566" t="s">
        <v>2047</v>
      </c>
      <c r="D867" s="477"/>
      <c r="E867" s="435">
        <v>197943</v>
      </c>
      <c r="F867" s="566"/>
      <c r="G867" s="71"/>
      <c r="H867" s="71"/>
      <c r="I867" s="71"/>
      <c r="J867" s="71" t="s">
        <v>796</v>
      </c>
      <c r="K867" s="566" t="s">
        <v>796</v>
      </c>
      <c r="L867" s="566" t="s">
        <v>796</v>
      </c>
      <c r="M867" s="71" t="s">
        <v>793</v>
      </c>
      <c r="N867" s="71">
        <v>20.895000459999999</v>
      </c>
      <c r="O867" s="435">
        <v>92.398574830000001</v>
      </c>
      <c r="P867" s="561" t="s">
        <v>797</v>
      </c>
      <c r="Q867" s="561"/>
      <c r="R867" s="568"/>
      <c r="S867" s="104"/>
      <c r="T867" s="588">
        <v>43300</v>
      </c>
      <c r="U867" s="105"/>
      <c r="V867" s="71"/>
      <c r="W867" s="435"/>
      <c r="X867" s="17"/>
      <c r="Z867" s="17"/>
    </row>
    <row r="868" spans="1:26" s="71" customFormat="1" ht="14.25" customHeight="1">
      <c r="A868" s="435" t="s">
        <v>2686</v>
      </c>
      <c r="B868" s="597" t="s">
        <v>307</v>
      </c>
      <c r="C868" s="598" t="s">
        <v>3053</v>
      </c>
      <c r="D868" s="567"/>
      <c r="E868" s="71">
        <v>197943</v>
      </c>
      <c r="F868" s="566"/>
      <c r="J868" s="71" t="s">
        <v>796</v>
      </c>
      <c r="K868" s="435" t="s">
        <v>796</v>
      </c>
      <c r="L868" s="435" t="s">
        <v>796</v>
      </c>
      <c r="M868" s="71" t="s">
        <v>793</v>
      </c>
      <c r="N868" s="71">
        <v>20.895000459999999</v>
      </c>
      <c r="O868" s="561">
        <v>92.398574830000001</v>
      </c>
      <c r="P868" s="561" t="s">
        <v>797</v>
      </c>
      <c r="Q868" s="561"/>
      <c r="R868" s="576"/>
      <c r="S868" s="439"/>
      <c r="T868" s="588">
        <v>43300</v>
      </c>
      <c r="U868" s="105"/>
      <c r="W868" s="435"/>
    </row>
    <row r="869" spans="1:26" ht="14.25" customHeight="1">
      <c r="A869" s="435" t="s">
        <v>2686</v>
      </c>
      <c r="B869" s="586" t="s">
        <v>307</v>
      </c>
      <c r="C869" s="585" t="s">
        <v>2016</v>
      </c>
      <c r="D869" s="477"/>
      <c r="E869" s="571">
        <v>197878</v>
      </c>
      <c r="F869" s="561" t="s">
        <v>2015</v>
      </c>
      <c r="G869" s="561"/>
      <c r="H869" s="561"/>
      <c r="I869" s="561"/>
      <c r="J869" s="561" t="s">
        <v>796</v>
      </c>
      <c r="K869" s="566" t="s">
        <v>796</v>
      </c>
      <c r="L869" s="566" t="s">
        <v>796</v>
      </c>
      <c r="M869" s="561" t="s">
        <v>793</v>
      </c>
      <c r="N869" s="561">
        <v>21.012830730000001</v>
      </c>
      <c r="O869" s="561">
        <v>92.338958739999995</v>
      </c>
      <c r="P869" s="561" t="s">
        <v>797</v>
      </c>
      <c r="Q869" s="561"/>
      <c r="R869" s="568"/>
      <c r="S869" s="569"/>
      <c r="T869" s="588">
        <v>43300</v>
      </c>
      <c r="U869" s="570"/>
      <c r="V869" s="561"/>
      <c r="W869" s="435"/>
      <c r="X869" s="17"/>
      <c r="Z869" s="17"/>
    </row>
    <row r="870" spans="1:26" ht="14.25" customHeight="1">
      <c r="A870" s="435" t="s">
        <v>2686</v>
      </c>
      <c r="B870" s="586" t="s">
        <v>307</v>
      </c>
      <c r="C870" s="585" t="s">
        <v>678</v>
      </c>
      <c r="D870" s="477" t="s">
        <v>1664</v>
      </c>
      <c r="E870" s="561">
        <v>197880</v>
      </c>
      <c r="F870" s="561"/>
      <c r="G870" s="71"/>
      <c r="H870" s="561"/>
      <c r="I870" s="71"/>
      <c r="J870" s="71" t="s">
        <v>796</v>
      </c>
      <c r="K870" s="566" t="s">
        <v>796</v>
      </c>
      <c r="L870" s="566" t="s">
        <v>796</v>
      </c>
      <c r="M870" s="71" t="s">
        <v>793</v>
      </c>
      <c r="N870" s="435">
        <v>21.021259310000001</v>
      </c>
      <c r="O870" s="435">
        <v>92.339538570000002</v>
      </c>
      <c r="P870" s="561" t="s">
        <v>797</v>
      </c>
      <c r="Q870" s="561" t="s">
        <v>778</v>
      </c>
      <c r="R870" s="568"/>
      <c r="S870" s="439"/>
      <c r="T870" s="588"/>
      <c r="U870" s="105"/>
      <c r="V870" s="71" t="s">
        <v>678</v>
      </c>
      <c r="W870" s="435"/>
      <c r="X870" s="17"/>
      <c r="Z870" s="17"/>
    </row>
    <row r="871" spans="1:26" ht="14.25" customHeight="1">
      <c r="A871" s="435" t="s">
        <v>2686</v>
      </c>
      <c r="B871" s="597" t="s">
        <v>307</v>
      </c>
      <c r="C871" s="598" t="s">
        <v>2051</v>
      </c>
      <c r="D871" s="567"/>
      <c r="E871" s="71"/>
      <c r="F871" s="561"/>
      <c r="G871" s="71"/>
      <c r="H871" s="71"/>
      <c r="I871" s="71"/>
      <c r="J871" s="71" t="s">
        <v>796</v>
      </c>
      <c r="K871" s="566" t="s">
        <v>796</v>
      </c>
      <c r="L871" s="566" t="s">
        <v>796</v>
      </c>
      <c r="M871" s="71" t="s">
        <v>793</v>
      </c>
      <c r="N871" s="435"/>
      <c r="O871" s="435"/>
      <c r="P871" s="71" t="s">
        <v>797</v>
      </c>
      <c r="Q871" s="71"/>
      <c r="R871" s="576"/>
      <c r="S871" s="104"/>
      <c r="T871" s="109">
        <v>43300</v>
      </c>
      <c r="U871" s="105"/>
      <c r="V871" s="71"/>
      <c r="W871" s="435"/>
      <c r="X871" s="17"/>
      <c r="Z871" s="17"/>
    </row>
    <row r="872" spans="1:26" ht="14.25" customHeight="1">
      <c r="A872" s="435" t="s">
        <v>2686</v>
      </c>
      <c r="B872" s="586" t="s">
        <v>307</v>
      </c>
      <c r="C872" s="585" t="s">
        <v>566</v>
      </c>
      <c r="D872" s="477" t="s">
        <v>1664</v>
      </c>
      <c r="E872" s="561">
        <v>198048</v>
      </c>
      <c r="F872" s="561"/>
      <c r="G872" s="561"/>
      <c r="H872" s="561"/>
      <c r="I872" s="561"/>
      <c r="J872" s="561" t="s">
        <v>796</v>
      </c>
      <c r="K872" s="561" t="s">
        <v>796</v>
      </c>
      <c r="L872" s="561" t="s">
        <v>796</v>
      </c>
      <c r="M872" s="561" t="s">
        <v>793</v>
      </c>
      <c r="N872" s="561">
        <v>20.720079420000001</v>
      </c>
      <c r="O872" s="561">
        <v>92.423591610000003</v>
      </c>
      <c r="P872" s="561" t="s">
        <v>797</v>
      </c>
      <c r="Q872" s="561" t="s">
        <v>778</v>
      </c>
      <c r="R872" s="568"/>
      <c r="S872" s="569"/>
      <c r="T872" s="588"/>
      <c r="U872" s="570"/>
      <c r="V872" s="561" t="s">
        <v>566</v>
      </c>
      <c r="W872" s="435"/>
      <c r="X872" s="17"/>
      <c r="Z872" s="17"/>
    </row>
    <row r="873" spans="1:26" ht="14.25" customHeight="1">
      <c r="A873" s="435" t="s">
        <v>2686</v>
      </c>
      <c r="B873" s="597" t="s">
        <v>307</v>
      </c>
      <c r="C873" s="598" t="s">
        <v>2107</v>
      </c>
      <c r="D873" s="567"/>
      <c r="E873" s="71">
        <v>220728</v>
      </c>
      <c r="F873" s="71"/>
      <c r="G873" s="71"/>
      <c r="H873" s="71"/>
      <c r="I873" s="71"/>
      <c r="J873" s="71" t="s">
        <v>796</v>
      </c>
      <c r="K873" s="71" t="s">
        <v>796</v>
      </c>
      <c r="L873" s="435" t="s">
        <v>796</v>
      </c>
      <c r="M873" s="71" t="s">
        <v>2085</v>
      </c>
      <c r="N873" s="435">
        <v>21.090957639999999</v>
      </c>
      <c r="O873" s="435">
        <v>92.361534120000002</v>
      </c>
      <c r="P873" s="561" t="s">
        <v>797</v>
      </c>
      <c r="Q873" s="71"/>
      <c r="R873" s="576"/>
      <c r="S873" s="104"/>
      <c r="T873" s="109">
        <v>43300</v>
      </c>
      <c r="U873" s="105"/>
      <c r="V873" s="71"/>
      <c r="W873" s="435"/>
      <c r="X873" s="17"/>
      <c r="Z873" s="17"/>
    </row>
    <row r="874" spans="1:26" ht="14.25" customHeight="1">
      <c r="A874" s="561" t="s">
        <v>2686</v>
      </c>
      <c r="B874" s="597" t="s">
        <v>307</v>
      </c>
      <c r="C874" s="598" t="s">
        <v>683</v>
      </c>
      <c r="D874" s="567" t="s">
        <v>1664</v>
      </c>
      <c r="E874" s="561">
        <v>197883</v>
      </c>
      <c r="F874" s="561"/>
      <c r="G874" s="561"/>
      <c r="H874" s="561"/>
      <c r="I874" s="561"/>
      <c r="J874" s="561" t="s">
        <v>796</v>
      </c>
      <c r="K874" s="561" t="s">
        <v>796</v>
      </c>
      <c r="L874" s="561" t="s">
        <v>796</v>
      </c>
      <c r="M874" s="561" t="s">
        <v>793</v>
      </c>
      <c r="N874" s="561">
        <v>21.05369949</v>
      </c>
      <c r="O874" s="561">
        <v>92.324119569999993</v>
      </c>
      <c r="P874" s="561" t="s">
        <v>797</v>
      </c>
      <c r="Q874" s="561" t="s">
        <v>778</v>
      </c>
      <c r="R874" s="576"/>
      <c r="S874" s="569"/>
      <c r="T874" s="588"/>
      <c r="U874" s="570"/>
      <c r="V874" s="561" t="s">
        <v>954</v>
      </c>
      <c r="W874" s="561"/>
      <c r="X874" s="17"/>
      <c r="Z874" s="17"/>
    </row>
    <row r="875" spans="1:26" ht="14.25" customHeight="1">
      <c r="A875" s="435" t="s">
        <v>2686</v>
      </c>
      <c r="B875" s="597" t="s">
        <v>307</v>
      </c>
      <c r="C875" s="585" t="s">
        <v>677</v>
      </c>
      <c r="D875" s="567" t="s">
        <v>1664</v>
      </c>
      <c r="E875" s="71">
        <v>197879</v>
      </c>
      <c r="F875" s="571"/>
      <c r="G875" s="71"/>
      <c r="H875" s="71"/>
      <c r="I875" s="71"/>
      <c r="J875" s="71" t="s">
        <v>796</v>
      </c>
      <c r="K875" s="435" t="s">
        <v>796</v>
      </c>
      <c r="L875" s="435" t="s">
        <v>796</v>
      </c>
      <c r="M875" s="71" t="s">
        <v>793</v>
      </c>
      <c r="N875" s="435">
        <v>21.0184803</v>
      </c>
      <c r="O875" s="435">
        <v>92.333999629999994</v>
      </c>
      <c r="P875" s="71" t="s">
        <v>797</v>
      </c>
      <c r="Q875" s="566" t="s">
        <v>778</v>
      </c>
      <c r="R875" s="576"/>
      <c r="S875" s="104"/>
      <c r="T875" s="589"/>
      <c r="U875" s="105"/>
      <c r="V875" s="71" t="s">
        <v>677</v>
      </c>
      <c r="W875" s="435"/>
      <c r="X875" s="17"/>
      <c r="Z875" s="17"/>
    </row>
    <row r="876" spans="1:26" ht="14.25" customHeight="1">
      <c r="A876" s="561" t="s">
        <v>2686</v>
      </c>
      <c r="B876" s="597" t="s">
        <v>307</v>
      </c>
      <c r="C876" s="598" t="s">
        <v>325</v>
      </c>
      <c r="D876" s="567" t="s">
        <v>1664</v>
      </c>
      <c r="E876" s="566"/>
      <c r="F876" s="561"/>
      <c r="G876" s="561"/>
      <c r="H876" s="561"/>
      <c r="I876" s="561"/>
      <c r="J876" s="561" t="s">
        <v>796</v>
      </c>
      <c r="K876" s="561" t="s">
        <v>796</v>
      </c>
      <c r="L876" s="561" t="s">
        <v>796</v>
      </c>
      <c r="M876" s="561" t="s">
        <v>296</v>
      </c>
      <c r="N876" s="561"/>
      <c r="O876" s="566"/>
      <c r="P876" s="561" t="s">
        <v>797</v>
      </c>
      <c r="Q876" s="561" t="s">
        <v>778</v>
      </c>
      <c r="R876" s="576"/>
      <c r="S876" s="569"/>
      <c r="T876" s="588"/>
      <c r="U876" s="570"/>
      <c r="V876" s="561" t="s">
        <v>325</v>
      </c>
      <c r="W876" s="561"/>
      <c r="X876" s="17"/>
      <c r="Z876" s="17"/>
    </row>
    <row r="877" spans="1:26" ht="14.25" customHeight="1">
      <c r="A877" s="561" t="s">
        <v>2686</v>
      </c>
      <c r="B877" s="586" t="s">
        <v>307</v>
      </c>
      <c r="C877" s="585" t="s">
        <v>599</v>
      </c>
      <c r="D877" s="477" t="s">
        <v>1664</v>
      </c>
      <c r="E877" s="566">
        <v>198001</v>
      </c>
      <c r="F877" s="561"/>
      <c r="G877" s="561"/>
      <c r="H877" s="561"/>
      <c r="I877" s="561"/>
      <c r="J877" s="561" t="s">
        <v>796</v>
      </c>
      <c r="K877" s="561" t="s">
        <v>796</v>
      </c>
      <c r="L877" s="561" t="s">
        <v>796</v>
      </c>
      <c r="M877" s="561" t="s">
        <v>793</v>
      </c>
      <c r="N877" s="561">
        <v>20.78729057</v>
      </c>
      <c r="O877" s="561">
        <v>92.401252749999998</v>
      </c>
      <c r="P877" s="561" t="s">
        <v>797</v>
      </c>
      <c r="Q877" s="561" t="s">
        <v>778</v>
      </c>
      <c r="R877" s="568"/>
      <c r="S877" s="569"/>
      <c r="T877" s="588"/>
      <c r="U877" s="570"/>
      <c r="V877" s="561" t="s">
        <v>599</v>
      </c>
      <c r="W877" s="561"/>
      <c r="X877" s="17"/>
      <c r="Z877" s="17"/>
    </row>
    <row r="878" spans="1:26" ht="14.25" customHeight="1">
      <c r="A878" s="435" t="s">
        <v>2686</v>
      </c>
      <c r="B878" s="586" t="s">
        <v>307</v>
      </c>
      <c r="C878" s="585" t="s">
        <v>2059</v>
      </c>
      <c r="D878" s="477"/>
      <c r="E878" s="561">
        <v>197987</v>
      </c>
      <c r="F878" s="566"/>
      <c r="G878" s="71"/>
      <c r="H878" s="71"/>
      <c r="I878" s="71"/>
      <c r="J878" s="71" t="s">
        <v>796</v>
      </c>
      <c r="K878" s="435" t="s">
        <v>796</v>
      </c>
      <c r="L878" s="435" t="s">
        <v>796</v>
      </c>
      <c r="M878" s="71" t="s">
        <v>793</v>
      </c>
      <c r="N878" s="561">
        <v>20.81588936</v>
      </c>
      <c r="O878" s="561">
        <v>92.372566219999996</v>
      </c>
      <c r="P878" s="561" t="s">
        <v>797</v>
      </c>
      <c r="Q878" s="71"/>
      <c r="R878" s="568"/>
      <c r="S878" s="439"/>
      <c r="T878" s="109">
        <v>43300</v>
      </c>
      <c r="U878" s="105"/>
      <c r="V878" s="71"/>
      <c r="W878" s="435"/>
      <c r="X878" s="17"/>
      <c r="Z878" s="17"/>
    </row>
    <row r="879" spans="1:26" ht="14.25" customHeight="1">
      <c r="A879" s="435" t="s">
        <v>2686</v>
      </c>
      <c r="B879" s="597" t="s">
        <v>307</v>
      </c>
      <c r="C879" s="598" t="s">
        <v>2101</v>
      </c>
      <c r="D879" s="567"/>
      <c r="E879" s="413">
        <v>198089</v>
      </c>
      <c r="F879" s="566"/>
      <c r="G879" s="435"/>
      <c r="H879" s="561"/>
      <c r="I879" s="435"/>
      <c r="J879" s="435" t="s">
        <v>796</v>
      </c>
      <c r="K879" s="435" t="s">
        <v>796</v>
      </c>
      <c r="L879" s="435" t="s">
        <v>796</v>
      </c>
      <c r="M879" s="413" t="s">
        <v>2088</v>
      </c>
      <c r="N879" s="413">
        <v>21.19529915</v>
      </c>
      <c r="O879" s="413">
        <v>92.221542360000001</v>
      </c>
      <c r="P879" s="561" t="s">
        <v>797</v>
      </c>
      <c r="Q879" s="561"/>
      <c r="R879" s="576"/>
      <c r="S879" s="439"/>
      <c r="T879" s="588">
        <v>43300</v>
      </c>
      <c r="U879" s="440"/>
      <c r="V879" s="413"/>
      <c r="W879" s="435"/>
      <c r="X879" s="17"/>
      <c r="Z879" s="17"/>
    </row>
    <row r="880" spans="1:26" ht="14.25" customHeight="1">
      <c r="A880" s="435" t="s">
        <v>2686</v>
      </c>
      <c r="B880" s="586" t="s">
        <v>307</v>
      </c>
      <c r="C880" s="585" t="s">
        <v>2081</v>
      </c>
      <c r="D880" s="477"/>
      <c r="E880" s="413">
        <v>197922</v>
      </c>
      <c r="F880" s="435"/>
      <c r="G880" s="435"/>
      <c r="H880" s="435"/>
      <c r="I880" s="435"/>
      <c r="J880" s="435" t="s">
        <v>796</v>
      </c>
      <c r="K880" s="435" t="s">
        <v>796</v>
      </c>
      <c r="L880" s="435" t="s">
        <v>796</v>
      </c>
      <c r="M880" s="413" t="s">
        <v>793</v>
      </c>
      <c r="N880" s="413">
        <v>20.93643951</v>
      </c>
      <c r="O880" s="435">
        <v>92.314498900000004</v>
      </c>
      <c r="P880" s="413" t="s">
        <v>797</v>
      </c>
      <c r="Q880" s="435"/>
      <c r="R880" s="568"/>
      <c r="S880" s="439"/>
      <c r="T880" s="452">
        <v>43300</v>
      </c>
      <c r="U880" s="440"/>
      <c r="V880" s="561"/>
      <c r="W880" s="435"/>
      <c r="X880" s="17"/>
      <c r="Z880" s="17"/>
    </row>
    <row r="881" spans="1:26" ht="14.25" customHeight="1">
      <c r="A881" s="435" t="s">
        <v>2686</v>
      </c>
      <c r="B881" s="586" t="s">
        <v>307</v>
      </c>
      <c r="C881" s="585" t="s">
        <v>1912</v>
      </c>
      <c r="D881" s="477"/>
      <c r="E881" s="561">
        <v>197961</v>
      </c>
      <c r="F881" s="566"/>
      <c r="G881" s="561"/>
      <c r="H881" s="561"/>
      <c r="I881" s="561"/>
      <c r="J881" s="561" t="s">
        <v>796</v>
      </c>
      <c r="K881" s="561" t="s">
        <v>796</v>
      </c>
      <c r="L881" s="561" t="s">
        <v>796</v>
      </c>
      <c r="M881" s="561" t="s">
        <v>793</v>
      </c>
      <c r="N881" s="561">
        <v>20.903369900000001</v>
      </c>
      <c r="O881" s="561">
        <v>92.332237239999998</v>
      </c>
      <c r="P881" s="561" t="s">
        <v>797</v>
      </c>
      <c r="Q881" s="561" t="s">
        <v>1915</v>
      </c>
      <c r="R881" s="568"/>
      <c r="S881" s="569"/>
      <c r="T881" s="588">
        <v>43245</v>
      </c>
      <c r="U881" s="570"/>
      <c r="V881" s="561"/>
      <c r="W881" s="435"/>
      <c r="X881" s="17"/>
      <c r="Z881" s="17"/>
    </row>
    <row r="882" spans="1:26" ht="14.25" customHeight="1">
      <c r="A882" s="435" t="s">
        <v>2686</v>
      </c>
      <c r="B882" s="586" t="s">
        <v>307</v>
      </c>
      <c r="C882" s="585" t="s">
        <v>3057</v>
      </c>
      <c r="D882" s="477"/>
      <c r="E882" s="435">
        <v>197848</v>
      </c>
      <c r="F882" s="566"/>
      <c r="G882" s="435"/>
      <c r="H882" s="435"/>
      <c r="I882" s="435"/>
      <c r="J882" s="413" t="s">
        <v>796</v>
      </c>
      <c r="K882" s="413" t="s">
        <v>796</v>
      </c>
      <c r="L882" s="413" t="s">
        <v>796</v>
      </c>
      <c r="M882" s="435"/>
      <c r="N882" s="435">
        <v>21.139829635620099</v>
      </c>
      <c r="O882" s="435">
        <v>92.330848693847699</v>
      </c>
      <c r="P882" s="413" t="s">
        <v>797</v>
      </c>
      <c r="Q882" s="435"/>
      <c r="R882" s="568"/>
      <c r="S882" s="439"/>
      <c r="T882" s="452">
        <v>43768</v>
      </c>
      <c r="U882" s="440"/>
      <c r="V882" s="561"/>
      <c r="W882" s="435"/>
      <c r="X882" s="17"/>
      <c r="Z882" s="17"/>
    </row>
    <row r="883" spans="1:26" ht="14.25" customHeight="1">
      <c r="A883" s="435" t="s">
        <v>2686</v>
      </c>
      <c r="B883" s="586" t="s">
        <v>307</v>
      </c>
      <c r="C883" s="585" t="s">
        <v>2099</v>
      </c>
      <c r="D883" s="477"/>
      <c r="E883" s="413">
        <v>197847</v>
      </c>
      <c r="F883" s="566"/>
      <c r="G883" s="413"/>
      <c r="H883" s="413"/>
      <c r="I883" s="413"/>
      <c r="J883" s="413" t="s">
        <v>796</v>
      </c>
      <c r="K883" s="435" t="s">
        <v>796</v>
      </c>
      <c r="L883" s="435" t="s">
        <v>796</v>
      </c>
      <c r="M883" s="413" t="s">
        <v>296</v>
      </c>
      <c r="N883" s="413">
        <v>21.134050370000001</v>
      </c>
      <c r="O883" s="435">
        <v>92.323478699999995</v>
      </c>
      <c r="P883" s="561" t="s">
        <v>797</v>
      </c>
      <c r="Q883" s="413"/>
      <c r="R883" s="568"/>
      <c r="S883" s="569"/>
      <c r="T883" s="416">
        <v>43300</v>
      </c>
      <c r="U883" s="415"/>
      <c r="V883" s="413"/>
      <c r="W883" s="435"/>
      <c r="X883" s="17"/>
      <c r="Z883" s="17"/>
    </row>
    <row r="884" spans="1:26" ht="14.25" customHeight="1">
      <c r="A884" s="435" t="s">
        <v>2686</v>
      </c>
      <c r="B884" s="586" t="s">
        <v>307</v>
      </c>
      <c r="C884" s="585" t="s">
        <v>2105</v>
      </c>
      <c r="D884" s="477"/>
      <c r="E884" s="561">
        <v>220706</v>
      </c>
      <c r="F884" s="561"/>
      <c r="G884" s="561"/>
      <c r="H884" s="561"/>
      <c r="I884" s="561"/>
      <c r="J884" s="561" t="s">
        <v>796</v>
      </c>
      <c r="K884" s="561" t="s">
        <v>796</v>
      </c>
      <c r="L884" s="561" t="s">
        <v>796</v>
      </c>
      <c r="M884" s="561" t="s">
        <v>2089</v>
      </c>
      <c r="N884" s="561">
        <v>21.2600956</v>
      </c>
      <c r="O884" s="561">
        <v>92.278442380000001</v>
      </c>
      <c r="P884" s="561" t="s">
        <v>797</v>
      </c>
      <c r="Q884" s="561"/>
      <c r="R884" s="568"/>
      <c r="S884" s="569"/>
      <c r="T884" s="588">
        <v>43300</v>
      </c>
      <c r="U884" s="570"/>
      <c r="V884" s="561"/>
      <c r="W884" s="435"/>
      <c r="X884" s="17"/>
      <c r="Z884" s="17"/>
    </row>
    <row r="885" spans="1:26" ht="14.25" customHeight="1">
      <c r="A885" s="435" t="s">
        <v>2686</v>
      </c>
      <c r="B885" s="586" t="s">
        <v>307</v>
      </c>
      <c r="C885" s="585" t="s">
        <v>2104</v>
      </c>
      <c r="D885" s="477"/>
      <c r="E885" s="413">
        <v>220721</v>
      </c>
      <c r="F885" s="413"/>
      <c r="G885" s="413"/>
      <c r="H885" s="413"/>
      <c r="I885" s="413"/>
      <c r="J885" s="413" t="s">
        <v>796</v>
      </c>
      <c r="K885" s="413" t="s">
        <v>796</v>
      </c>
      <c r="L885" s="413" t="s">
        <v>796</v>
      </c>
      <c r="M885" s="413" t="s">
        <v>296</v>
      </c>
      <c r="N885" s="413">
        <v>21.224542620000001</v>
      </c>
      <c r="O885" s="413">
        <v>92.294197080000004</v>
      </c>
      <c r="P885" s="413" t="s">
        <v>797</v>
      </c>
      <c r="Q885" s="413"/>
      <c r="R885" s="568"/>
      <c r="S885" s="439"/>
      <c r="T885" s="416">
        <v>43300</v>
      </c>
      <c r="U885" s="415"/>
      <c r="V885" s="561"/>
      <c r="W885" s="435"/>
      <c r="X885" s="17"/>
      <c r="Z885" s="17"/>
    </row>
    <row r="886" spans="1:26" ht="14.25" customHeight="1">
      <c r="A886" s="435" t="s">
        <v>2686</v>
      </c>
      <c r="B886" s="597" t="s">
        <v>307</v>
      </c>
      <c r="C886" s="598" t="s">
        <v>330</v>
      </c>
      <c r="D886" s="567" t="s">
        <v>1664</v>
      </c>
      <c r="E886" s="413"/>
      <c r="F886" s="435"/>
      <c r="G886" s="413"/>
      <c r="H886" s="413"/>
      <c r="I886" s="413"/>
      <c r="J886" s="413" t="s">
        <v>796</v>
      </c>
      <c r="K886" s="413" t="s">
        <v>796</v>
      </c>
      <c r="L886" s="413" t="s">
        <v>796</v>
      </c>
      <c r="M886" s="413" t="s">
        <v>793</v>
      </c>
      <c r="N886" s="413"/>
      <c r="O886" s="413"/>
      <c r="P886" s="413" t="s">
        <v>797</v>
      </c>
      <c r="Q886" s="413" t="s">
        <v>778</v>
      </c>
      <c r="R886" s="576"/>
      <c r="S886" s="439"/>
      <c r="T886" s="416"/>
      <c r="U886" s="415"/>
      <c r="V886" s="429" t="s">
        <v>1115</v>
      </c>
      <c r="W886" s="435"/>
      <c r="X886" s="17"/>
      <c r="Z886" s="17"/>
    </row>
    <row r="887" spans="1:26" ht="14.25" customHeight="1">
      <c r="A887" s="435" t="s">
        <v>2686</v>
      </c>
      <c r="B887" s="586" t="s">
        <v>307</v>
      </c>
      <c r="C887" s="585" t="s">
        <v>331</v>
      </c>
      <c r="D887" s="477" t="s">
        <v>1664</v>
      </c>
      <c r="E887" s="413"/>
      <c r="F887" s="435"/>
      <c r="G887" s="413"/>
      <c r="H887" s="413"/>
      <c r="I887" s="413"/>
      <c r="J887" s="413" t="s">
        <v>796</v>
      </c>
      <c r="K887" s="413" t="s">
        <v>796</v>
      </c>
      <c r="L887" s="413" t="s">
        <v>796</v>
      </c>
      <c r="M887" s="413" t="s">
        <v>793</v>
      </c>
      <c r="N887" s="413"/>
      <c r="O887" s="413"/>
      <c r="P887" s="413" t="s">
        <v>797</v>
      </c>
      <c r="Q887" s="413" t="s">
        <v>778</v>
      </c>
      <c r="R887" s="568"/>
      <c r="S887" s="439"/>
      <c r="T887" s="416"/>
      <c r="U887" s="415"/>
      <c r="V887" s="429" t="s">
        <v>1116</v>
      </c>
      <c r="W887" s="435"/>
      <c r="X887" s="17"/>
      <c r="Z887" s="17"/>
    </row>
    <row r="888" spans="1:26" ht="14.25" customHeight="1">
      <c r="A888" s="435" t="s">
        <v>2686</v>
      </c>
      <c r="B888" s="597" t="s">
        <v>307</v>
      </c>
      <c r="C888" s="598" t="s">
        <v>2743</v>
      </c>
      <c r="D888" s="567"/>
      <c r="E888" s="413">
        <v>220725</v>
      </c>
      <c r="F888" s="435"/>
      <c r="G888" s="413"/>
      <c r="H888" s="413"/>
      <c r="I888" s="413"/>
      <c r="J888" s="413" t="s">
        <v>796</v>
      </c>
      <c r="K888" s="435" t="s">
        <v>796</v>
      </c>
      <c r="L888" s="435" t="s">
        <v>796</v>
      </c>
      <c r="M888" s="413" t="s">
        <v>681</v>
      </c>
      <c r="N888" s="413">
        <v>21.089906689999999</v>
      </c>
      <c r="O888" s="413">
        <v>92.341598509999997</v>
      </c>
      <c r="P888" s="413" t="s">
        <v>797</v>
      </c>
      <c r="Q888" s="413"/>
      <c r="R888" s="576"/>
      <c r="S888" s="439"/>
      <c r="T888" s="416">
        <v>43300</v>
      </c>
      <c r="U888" s="415"/>
      <c r="V888" s="413"/>
      <c r="W888" s="435"/>
      <c r="X888" s="17"/>
      <c r="Z888" s="17"/>
    </row>
    <row r="889" spans="1:26" ht="14.25" customHeight="1">
      <c r="A889" s="435" t="s">
        <v>2686</v>
      </c>
      <c r="B889" s="586" t="s">
        <v>307</v>
      </c>
      <c r="C889" s="585" t="s">
        <v>2742</v>
      </c>
      <c r="D889" s="477"/>
      <c r="E889" s="435">
        <v>220725</v>
      </c>
      <c r="F889" s="435"/>
      <c r="G889" s="435"/>
      <c r="H889" s="435"/>
      <c r="I889" s="435"/>
      <c r="J889" s="435" t="s">
        <v>796</v>
      </c>
      <c r="K889" s="435" t="s">
        <v>796</v>
      </c>
      <c r="L889" s="435" t="s">
        <v>796</v>
      </c>
      <c r="M889" s="435" t="s">
        <v>296</v>
      </c>
      <c r="N889" s="435">
        <v>21.089906689999999</v>
      </c>
      <c r="O889" s="435">
        <v>92.341598509999997</v>
      </c>
      <c r="P889" s="561" t="s">
        <v>797</v>
      </c>
      <c r="Q889" s="435"/>
      <c r="R889" s="568"/>
      <c r="S889" s="569"/>
      <c r="T889" s="452">
        <v>43300</v>
      </c>
      <c r="U889" s="440"/>
      <c r="V889" s="435"/>
      <c r="W889" s="435"/>
      <c r="X889" s="17"/>
      <c r="Z889" s="17"/>
    </row>
    <row r="890" spans="1:26" ht="14.25" customHeight="1">
      <c r="A890" s="435" t="s">
        <v>2686</v>
      </c>
      <c r="B890" s="586" t="s">
        <v>307</v>
      </c>
      <c r="C890" s="585" t="s">
        <v>332</v>
      </c>
      <c r="D890" s="477" t="s">
        <v>1664</v>
      </c>
      <c r="E890" s="561"/>
      <c r="F890" s="561"/>
      <c r="G890" s="561"/>
      <c r="H890" s="561"/>
      <c r="I890" s="561"/>
      <c r="J890" s="561" t="s">
        <v>796</v>
      </c>
      <c r="K890" s="561" t="s">
        <v>796</v>
      </c>
      <c r="L890" s="561" t="s">
        <v>796</v>
      </c>
      <c r="M890" s="561" t="s">
        <v>296</v>
      </c>
      <c r="N890" s="561"/>
      <c r="O890" s="561"/>
      <c r="P890" s="561" t="s">
        <v>797</v>
      </c>
      <c r="Q890" s="561" t="s">
        <v>778</v>
      </c>
      <c r="R890" s="568"/>
      <c r="S890" s="569"/>
      <c r="T890" s="588"/>
      <c r="U890" s="570"/>
      <c r="V890" s="429" t="s">
        <v>1117</v>
      </c>
      <c r="W890" s="435"/>
      <c r="X890" s="17"/>
      <c r="Z890" s="17"/>
    </row>
    <row r="891" spans="1:26" ht="14.25" customHeight="1">
      <c r="A891" s="435" t="s">
        <v>2686</v>
      </c>
      <c r="B891" s="586" t="s">
        <v>307</v>
      </c>
      <c r="C891" s="585" t="s">
        <v>2073</v>
      </c>
      <c r="D891" s="477"/>
      <c r="E891" s="435">
        <v>197978</v>
      </c>
      <c r="F891" s="435"/>
      <c r="G891" s="413"/>
      <c r="H891" s="413"/>
      <c r="I891" s="435"/>
      <c r="J891" s="413" t="s">
        <v>796</v>
      </c>
      <c r="K891" s="435" t="s">
        <v>796</v>
      </c>
      <c r="L891" s="435" t="s">
        <v>796</v>
      </c>
      <c r="M891" s="413" t="s">
        <v>793</v>
      </c>
      <c r="N891" s="413">
        <v>20.834230420000001</v>
      </c>
      <c r="O891" s="413">
        <v>92.37967682</v>
      </c>
      <c r="P891" s="413" t="s">
        <v>797</v>
      </c>
      <c r="Q891" s="413"/>
      <c r="R891" s="568"/>
      <c r="S891" s="439"/>
      <c r="T891" s="416">
        <v>43300</v>
      </c>
      <c r="U891" s="415"/>
      <c r="V891" s="413"/>
      <c r="W891" s="435"/>
      <c r="X891" s="17"/>
      <c r="Z891" s="17"/>
    </row>
    <row r="892" spans="1:26" ht="14.25" customHeight="1">
      <c r="A892" s="435" t="s">
        <v>2686</v>
      </c>
      <c r="B892" s="597" t="s">
        <v>307</v>
      </c>
      <c r="C892" s="598" t="s">
        <v>630</v>
      </c>
      <c r="D892" s="567" t="s">
        <v>1664</v>
      </c>
      <c r="E892" s="561" t="s">
        <v>1411</v>
      </c>
      <c r="F892" s="435"/>
      <c r="G892" s="435"/>
      <c r="H892" s="435" t="s">
        <v>41</v>
      </c>
      <c r="I892" s="435"/>
      <c r="J892" s="435" t="s">
        <v>796</v>
      </c>
      <c r="K892" s="435" t="s">
        <v>796</v>
      </c>
      <c r="L892" s="435" t="s">
        <v>1664</v>
      </c>
      <c r="M892" s="435" t="s">
        <v>793</v>
      </c>
      <c r="N892" s="435">
        <v>20.827044000000001</v>
      </c>
      <c r="O892" s="435">
        <v>92.362932999999998</v>
      </c>
      <c r="P892" s="561" t="s">
        <v>797</v>
      </c>
      <c r="Q892" s="435" t="s">
        <v>778</v>
      </c>
      <c r="R892" s="576"/>
      <c r="S892" s="439"/>
      <c r="T892" s="452">
        <v>43248</v>
      </c>
      <c r="U892" s="440" t="s">
        <v>1908</v>
      </c>
      <c r="V892" s="435"/>
      <c r="W892" s="435"/>
      <c r="X892" s="17"/>
      <c r="Z892" s="17"/>
    </row>
    <row r="893" spans="1:26" ht="14.25" customHeight="1">
      <c r="A893" s="435" t="s">
        <v>2686</v>
      </c>
      <c r="B893" s="597" t="s">
        <v>307</v>
      </c>
      <c r="C893" s="598" t="s">
        <v>333</v>
      </c>
      <c r="D893" s="567" t="s">
        <v>1664</v>
      </c>
      <c r="E893" s="561"/>
      <c r="F893" s="561"/>
      <c r="G893" s="561"/>
      <c r="H893" s="561"/>
      <c r="I893" s="561"/>
      <c r="J893" s="561" t="s">
        <v>796</v>
      </c>
      <c r="K893" s="561" t="s">
        <v>796</v>
      </c>
      <c r="L893" s="561" t="s">
        <v>796</v>
      </c>
      <c r="M893" s="561" t="s">
        <v>793</v>
      </c>
      <c r="N893" s="561"/>
      <c r="O893" s="561"/>
      <c r="P893" s="561" t="s">
        <v>797</v>
      </c>
      <c r="Q893" s="561" t="s">
        <v>778</v>
      </c>
      <c r="R893" s="576"/>
      <c r="S893" s="569"/>
      <c r="T893" s="588"/>
      <c r="U893" s="570"/>
      <c r="V893" s="561" t="s">
        <v>333</v>
      </c>
      <c r="W893" s="435"/>
      <c r="X893" s="17"/>
      <c r="Z893" s="17"/>
    </row>
    <row r="894" spans="1:26" ht="14.25" customHeight="1">
      <c r="A894" s="435" t="s">
        <v>2686</v>
      </c>
      <c r="B894" s="597" t="s">
        <v>307</v>
      </c>
      <c r="C894" s="598" t="s">
        <v>334</v>
      </c>
      <c r="D894" s="567" t="s">
        <v>1664</v>
      </c>
      <c r="E894" s="561"/>
      <c r="F894" s="561"/>
      <c r="G894" s="561"/>
      <c r="H894" s="561"/>
      <c r="I894" s="561"/>
      <c r="J894" s="561" t="s">
        <v>796</v>
      </c>
      <c r="K894" s="561" t="s">
        <v>796</v>
      </c>
      <c r="L894" s="561" t="s">
        <v>796</v>
      </c>
      <c r="M894" s="561" t="s">
        <v>793</v>
      </c>
      <c r="N894" s="561"/>
      <c r="O894" s="561"/>
      <c r="P894" s="561" t="s">
        <v>797</v>
      </c>
      <c r="Q894" s="561" t="s">
        <v>778</v>
      </c>
      <c r="R894" s="576"/>
      <c r="S894" s="569"/>
      <c r="T894" s="588"/>
      <c r="U894" s="570"/>
      <c r="V894" s="561" t="s">
        <v>334</v>
      </c>
      <c r="W894" s="435"/>
      <c r="X894" s="17"/>
      <c r="Z894" s="17"/>
    </row>
    <row r="895" spans="1:26" ht="14.25" customHeight="1">
      <c r="A895" s="561" t="s">
        <v>2686</v>
      </c>
      <c r="B895" s="597" t="s">
        <v>307</v>
      </c>
      <c r="C895" s="598" t="s">
        <v>2108</v>
      </c>
      <c r="D895" s="567"/>
      <c r="E895" s="413">
        <v>197894</v>
      </c>
      <c r="F895" s="435"/>
      <c r="G895" s="413"/>
      <c r="H895" s="413"/>
      <c r="I895" s="413"/>
      <c r="J895" s="413" t="s">
        <v>796</v>
      </c>
      <c r="K895" s="413" t="s">
        <v>796</v>
      </c>
      <c r="L895" s="413" t="s">
        <v>796</v>
      </c>
      <c r="M895" s="413" t="s">
        <v>296</v>
      </c>
      <c r="N895" s="413">
        <v>21.025550840000001</v>
      </c>
      <c r="O895" s="413">
        <v>92.29528809</v>
      </c>
      <c r="P895" s="561" t="s">
        <v>797</v>
      </c>
      <c r="Q895" s="413"/>
      <c r="R895" s="576"/>
      <c r="S895" s="439"/>
      <c r="T895" s="416">
        <v>43300</v>
      </c>
      <c r="U895" s="570"/>
      <c r="V895" s="413"/>
      <c r="W895" s="561"/>
      <c r="X895" s="17"/>
      <c r="Z895" s="17"/>
    </row>
    <row r="896" spans="1:26" ht="14.25" customHeight="1">
      <c r="A896" s="435" t="s">
        <v>2686</v>
      </c>
      <c r="B896" s="597" t="s">
        <v>307</v>
      </c>
      <c r="C896" s="598" t="s">
        <v>679</v>
      </c>
      <c r="D896" s="567" t="s">
        <v>1664</v>
      </c>
      <c r="E896" s="413">
        <v>197894</v>
      </c>
      <c r="F896" s="413"/>
      <c r="G896" s="413"/>
      <c r="H896" s="413"/>
      <c r="I896" s="413"/>
      <c r="J896" s="413" t="s">
        <v>796</v>
      </c>
      <c r="K896" s="413" t="s">
        <v>796</v>
      </c>
      <c r="L896" s="413" t="s">
        <v>796</v>
      </c>
      <c r="M896" s="413" t="s">
        <v>793</v>
      </c>
      <c r="N896" s="413">
        <v>21.025550840000001</v>
      </c>
      <c r="O896" s="413">
        <v>92.29528809</v>
      </c>
      <c r="P896" s="561" t="s">
        <v>797</v>
      </c>
      <c r="Q896" s="413" t="s">
        <v>778</v>
      </c>
      <c r="R896" s="576"/>
      <c r="S896" s="439"/>
      <c r="T896" s="416">
        <v>42745</v>
      </c>
      <c r="U896" s="415"/>
      <c r="V896" s="413" t="s">
        <v>953</v>
      </c>
      <c r="W896" s="435"/>
      <c r="X896" s="17"/>
      <c r="Z896" s="17"/>
    </row>
    <row r="897" spans="1:26" ht="14.25" customHeight="1">
      <c r="A897" s="435" t="s">
        <v>2686</v>
      </c>
      <c r="B897" s="597" t="s">
        <v>307</v>
      </c>
      <c r="C897" s="598" t="s">
        <v>2109</v>
      </c>
      <c r="D897" s="567"/>
      <c r="E897" s="413">
        <v>197895</v>
      </c>
      <c r="F897" s="413"/>
      <c r="G897" s="413"/>
      <c r="H897" s="413"/>
      <c r="I897" s="413"/>
      <c r="J897" s="413" t="s">
        <v>796</v>
      </c>
      <c r="K897" s="413" t="s">
        <v>796</v>
      </c>
      <c r="L897" s="413" t="s">
        <v>796</v>
      </c>
      <c r="M897" s="413" t="s">
        <v>793</v>
      </c>
      <c r="N897" s="413">
        <v>21.019170760000002</v>
      </c>
      <c r="O897" s="413">
        <v>92.291992190000002</v>
      </c>
      <c r="P897" s="561" t="s">
        <v>797</v>
      </c>
      <c r="Q897" s="413"/>
      <c r="R897" s="576"/>
      <c r="S897" s="439"/>
      <c r="T897" s="416">
        <v>43300</v>
      </c>
      <c r="U897" s="415"/>
      <c r="V897" s="413"/>
      <c r="W897" s="435"/>
      <c r="X897" s="17"/>
      <c r="Z897" s="17"/>
    </row>
    <row r="898" spans="1:26" ht="14.25" customHeight="1">
      <c r="A898" s="435" t="s">
        <v>2686</v>
      </c>
      <c r="B898" s="586" t="s">
        <v>307</v>
      </c>
      <c r="C898" s="585" t="s">
        <v>2071</v>
      </c>
      <c r="D898" s="477"/>
      <c r="E898" s="413">
        <v>197909</v>
      </c>
      <c r="F898" s="561"/>
      <c r="G898" s="413"/>
      <c r="H898" s="413"/>
      <c r="I898" s="413"/>
      <c r="J898" s="413" t="s">
        <v>796</v>
      </c>
      <c r="K898" s="413" t="s">
        <v>796</v>
      </c>
      <c r="L898" s="413" t="s">
        <v>796</v>
      </c>
      <c r="M898" s="413" t="s">
        <v>793</v>
      </c>
      <c r="N898" s="413">
        <v>21.003770830000001</v>
      </c>
      <c r="O898" s="413">
        <v>92.351142879999998</v>
      </c>
      <c r="P898" s="561" t="s">
        <v>797</v>
      </c>
      <c r="Q898" s="413"/>
      <c r="R898" s="568"/>
      <c r="S898" s="439"/>
      <c r="T898" s="416">
        <v>43300</v>
      </c>
      <c r="U898" s="415"/>
      <c r="V898" s="413"/>
      <c r="W898" s="435"/>
      <c r="X898" s="17"/>
      <c r="Z898" s="17"/>
    </row>
    <row r="899" spans="1:26" ht="14.25" customHeight="1">
      <c r="A899" s="435" t="s">
        <v>2686</v>
      </c>
      <c r="B899" s="178" t="s">
        <v>307</v>
      </c>
      <c r="C899" s="598" t="s">
        <v>674</v>
      </c>
      <c r="D899" s="567" t="s">
        <v>1664</v>
      </c>
      <c r="E899" s="765">
        <v>197910</v>
      </c>
      <c r="F899" s="173"/>
      <c r="G899" s="173"/>
      <c r="H899" s="173"/>
      <c r="I899" s="173"/>
      <c r="J899" s="173" t="s">
        <v>796</v>
      </c>
      <c r="K899" s="173" t="s">
        <v>796</v>
      </c>
      <c r="L899" s="173" t="s">
        <v>796</v>
      </c>
      <c r="M899" s="173" t="s">
        <v>296</v>
      </c>
      <c r="N899" s="173">
        <v>21.007270810000001</v>
      </c>
      <c r="O899" s="173">
        <v>92.358520510000005</v>
      </c>
      <c r="P899" s="173" t="s">
        <v>797</v>
      </c>
      <c r="Q899" s="173" t="s">
        <v>800</v>
      </c>
      <c r="R899" s="174"/>
      <c r="S899" s="172"/>
      <c r="T899" s="175">
        <v>42926</v>
      </c>
      <c r="U899" s="176" t="s">
        <v>801</v>
      </c>
      <c r="V899" s="173"/>
      <c r="W899" s="435"/>
      <c r="X899" s="17"/>
      <c r="Z899" s="17"/>
    </row>
    <row r="900" spans="1:26" ht="14.25" customHeight="1">
      <c r="A900" s="435" t="s">
        <v>2686</v>
      </c>
      <c r="B900" s="597" t="s">
        <v>307</v>
      </c>
      <c r="C900" s="598" t="s">
        <v>2070</v>
      </c>
      <c r="D900" s="567"/>
      <c r="E900" s="561">
        <v>197874</v>
      </c>
      <c r="F900" s="435"/>
      <c r="G900" s="435"/>
      <c r="H900" s="561"/>
      <c r="I900" s="435"/>
      <c r="J900" s="413" t="s">
        <v>796</v>
      </c>
      <c r="K900" s="435" t="s">
        <v>796</v>
      </c>
      <c r="L900" s="435" t="s">
        <v>796</v>
      </c>
      <c r="M900" s="435" t="s">
        <v>793</v>
      </c>
      <c r="N900" s="435">
        <v>21.035009380000002</v>
      </c>
      <c r="O900" s="435">
        <v>92.332046509999998</v>
      </c>
      <c r="P900" s="561" t="s">
        <v>797</v>
      </c>
      <c r="Q900" s="561"/>
      <c r="R900" s="576"/>
      <c r="S900" s="439"/>
      <c r="T900" s="588">
        <v>43300</v>
      </c>
      <c r="U900" s="440"/>
      <c r="V900" s="435"/>
      <c r="W900" s="435"/>
      <c r="X900" s="17"/>
      <c r="Z900" s="17"/>
    </row>
    <row r="901" spans="1:26" ht="14.25" customHeight="1">
      <c r="A901" s="435" t="s">
        <v>2686</v>
      </c>
      <c r="B901" s="586" t="s">
        <v>307</v>
      </c>
      <c r="C901" s="585" t="s">
        <v>519</v>
      </c>
      <c r="D901" s="477" t="s">
        <v>1664</v>
      </c>
      <c r="E901" s="413"/>
      <c r="F901" s="413"/>
      <c r="G901" s="413"/>
      <c r="H901" s="561"/>
      <c r="I901" s="413"/>
      <c r="J901" s="413" t="s">
        <v>796</v>
      </c>
      <c r="K901" s="413" t="s">
        <v>796</v>
      </c>
      <c r="L901" s="413" t="s">
        <v>796</v>
      </c>
      <c r="M901" s="413" t="s">
        <v>296</v>
      </c>
      <c r="N901" s="413">
        <v>20.651159289999999</v>
      </c>
      <c r="O901" s="435">
        <v>92.605712890000007</v>
      </c>
      <c r="P901" s="561" t="s">
        <v>797</v>
      </c>
      <c r="Q901" s="561" t="s">
        <v>778</v>
      </c>
      <c r="R901" s="568"/>
      <c r="S901" s="439"/>
      <c r="T901" s="588"/>
      <c r="U901" s="415"/>
      <c r="V901" s="413" t="s">
        <v>519</v>
      </c>
      <c r="W901" s="435"/>
      <c r="X901" s="17"/>
      <c r="Z901" s="17"/>
    </row>
    <row r="902" spans="1:26" ht="14.25" customHeight="1">
      <c r="A902" s="435" t="s">
        <v>2686</v>
      </c>
      <c r="B902" s="597" t="s">
        <v>307</v>
      </c>
      <c r="C902" s="598" t="s">
        <v>596</v>
      </c>
      <c r="D902" s="567" t="s">
        <v>1664</v>
      </c>
      <c r="E902" s="561">
        <v>197999</v>
      </c>
      <c r="F902" s="561"/>
      <c r="G902" s="561"/>
      <c r="H902" s="561"/>
      <c r="I902" s="561"/>
      <c r="J902" s="561" t="s">
        <v>796</v>
      </c>
      <c r="K902" s="561" t="s">
        <v>796</v>
      </c>
      <c r="L902" s="561" t="s">
        <v>796</v>
      </c>
      <c r="M902" s="561" t="s">
        <v>793</v>
      </c>
      <c r="N902" s="561">
        <v>20.785320280000001</v>
      </c>
      <c r="O902" s="561">
        <v>92.406509400000004</v>
      </c>
      <c r="P902" s="561" t="s">
        <v>797</v>
      </c>
      <c r="Q902" s="561" t="s">
        <v>778</v>
      </c>
      <c r="R902" s="576"/>
      <c r="S902" s="569"/>
      <c r="T902" s="588"/>
      <c r="U902" s="570"/>
      <c r="V902" s="561" t="s">
        <v>596</v>
      </c>
      <c r="W902" s="435"/>
      <c r="X902" s="17"/>
      <c r="Z902" s="17"/>
    </row>
    <row r="903" spans="1:26" ht="14.25" customHeight="1">
      <c r="A903" s="561" t="s">
        <v>2686</v>
      </c>
      <c r="B903" s="586" t="s">
        <v>307</v>
      </c>
      <c r="C903" s="585" t="s">
        <v>546</v>
      </c>
      <c r="D903" s="477"/>
      <c r="E903" s="561">
        <v>197993</v>
      </c>
      <c r="F903" s="561" t="s">
        <v>546</v>
      </c>
      <c r="G903" s="561"/>
      <c r="H903" s="561"/>
      <c r="I903" s="561"/>
      <c r="J903" s="561" t="s">
        <v>796</v>
      </c>
      <c r="K903" s="561" t="s">
        <v>796</v>
      </c>
      <c r="L903" s="561" t="s">
        <v>796</v>
      </c>
      <c r="M903" s="561" t="s">
        <v>793</v>
      </c>
      <c r="N903" s="561">
        <v>20.809099199999999</v>
      </c>
      <c r="O903" s="561">
        <v>92.39829254</v>
      </c>
      <c r="P903" s="561" t="s">
        <v>797</v>
      </c>
      <c r="Q903" s="561"/>
      <c r="R903" s="568"/>
      <c r="S903" s="569"/>
      <c r="T903" s="588">
        <v>43300</v>
      </c>
      <c r="U903" s="570"/>
      <c r="V903" s="561"/>
      <c r="W903" s="561"/>
      <c r="X903" s="17"/>
      <c r="Z903" s="17"/>
    </row>
    <row r="904" spans="1:26" ht="14.25" customHeight="1">
      <c r="A904" s="435" t="s">
        <v>2686</v>
      </c>
      <c r="B904" s="597" t="s">
        <v>307</v>
      </c>
      <c r="C904" s="598" t="s">
        <v>477</v>
      </c>
      <c r="D904" s="567" t="s">
        <v>2313</v>
      </c>
      <c r="E904" s="413" t="s">
        <v>1409</v>
      </c>
      <c r="F904" s="566" t="s">
        <v>1761</v>
      </c>
      <c r="G904" s="413" t="s">
        <v>1761</v>
      </c>
      <c r="H904" s="413" t="s">
        <v>41</v>
      </c>
      <c r="I904" s="413"/>
      <c r="J904" s="413" t="s">
        <v>796</v>
      </c>
      <c r="K904" s="413" t="s">
        <v>796</v>
      </c>
      <c r="L904" s="413" t="s">
        <v>881</v>
      </c>
      <c r="M904" s="413" t="s">
        <v>296</v>
      </c>
      <c r="N904" s="413">
        <v>20.824777999999998</v>
      </c>
      <c r="O904" s="413">
        <v>92.362196999999995</v>
      </c>
      <c r="P904" s="561" t="s">
        <v>797</v>
      </c>
      <c r="Q904" s="413"/>
      <c r="R904" s="568">
        <v>17</v>
      </c>
      <c r="S904" s="439">
        <v>109</v>
      </c>
      <c r="T904" s="416"/>
      <c r="U904" s="415" t="s">
        <v>858</v>
      </c>
      <c r="V904" s="413" t="s">
        <v>477</v>
      </c>
      <c r="W904" s="435"/>
      <c r="X904" s="17"/>
      <c r="Z904" s="17"/>
    </row>
    <row r="905" spans="1:26" ht="14.25" customHeight="1">
      <c r="A905" s="561" t="s">
        <v>2686</v>
      </c>
      <c r="B905" s="597" t="s">
        <v>307</v>
      </c>
      <c r="C905" s="598" t="s">
        <v>2098</v>
      </c>
      <c r="D905" s="567"/>
      <c r="E905" s="566">
        <v>197858</v>
      </c>
      <c r="F905" s="561"/>
      <c r="G905" s="413"/>
      <c r="H905" s="413"/>
      <c r="I905" s="413"/>
      <c r="J905" s="413" t="s">
        <v>796</v>
      </c>
      <c r="K905" s="435" t="s">
        <v>796</v>
      </c>
      <c r="L905" s="435" t="s">
        <v>796</v>
      </c>
      <c r="M905" s="413" t="s">
        <v>2085</v>
      </c>
      <c r="N905" s="561">
        <v>21.160549159999999</v>
      </c>
      <c r="O905" s="561">
        <v>92.330261230000005</v>
      </c>
      <c r="P905" s="413" t="s">
        <v>797</v>
      </c>
      <c r="Q905" s="413"/>
      <c r="R905" s="576"/>
      <c r="S905" s="439"/>
      <c r="T905" s="416">
        <v>43300</v>
      </c>
      <c r="U905" s="570"/>
      <c r="V905" s="561"/>
      <c r="W905" s="561"/>
      <c r="X905" s="17"/>
      <c r="Z905" s="17"/>
    </row>
    <row r="906" spans="1:26" ht="14.25" customHeight="1">
      <c r="A906" s="569" t="s">
        <v>2686</v>
      </c>
      <c r="B906" s="597" t="s">
        <v>307</v>
      </c>
      <c r="C906" s="598" t="s">
        <v>3066</v>
      </c>
      <c r="D906" s="567"/>
      <c r="E906" s="561">
        <v>220746</v>
      </c>
      <c r="F906" s="594" t="s">
        <v>3067</v>
      </c>
      <c r="G906" s="413"/>
      <c r="H906" s="413"/>
      <c r="I906" s="413"/>
      <c r="J906" s="413" t="s">
        <v>796</v>
      </c>
      <c r="K906" s="413" t="s">
        <v>796</v>
      </c>
      <c r="L906" s="413" t="s">
        <v>796</v>
      </c>
      <c r="M906" s="413"/>
      <c r="N906" s="561">
        <v>20.5168571472168</v>
      </c>
      <c r="O906" s="561">
        <v>92.577987670898395</v>
      </c>
      <c r="P906" s="561" t="s">
        <v>797</v>
      </c>
      <c r="Q906" s="413" t="s">
        <v>3026</v>
      </c>
      <c r="R906" s="576"/>
      <c r="S906" s="439"/>
      <c r="T906" s="416">
        <v>43768</v>
      </c>
      <c r="U906" s="576"/>
      <c r="V906" s="413"/>
      <c r="W906" s="568"/>
      <c r="X906" s="17"/>
      <c r="Z906" s="17"/>
    </row>
    <row r="907" spans="1:26" ht="14.25" customHeight="1">
      <c r="A907" s="435" t="s">
        <v>2686</v>
      </c>
      <c r="B907" s="586" t="s">
        <v>307</v>
      </c>
      <c r="C907" s="585" t="s">
        <v>2060</v>
      </c>
      <c r="D907" s="567"/>
      <c r="E907" s="561">
        <v>197996</v>
      </c>
      <c r="F907" s="561"/>
      <c r="G907" s="561"/>
      <c r="H907" s="569"/>
      <c r="I907" s="561"/>
      <c r="J907" s="561" t="s">
        <v>796</v>
      </c>
      <c r="K907" s="561" t="s">
        <v>796</v>
      </c>
      <c r="L907" s="561" t="s">
        <v>796</v>
      </c>
      <c r="M907" s="561" t="s">
        <v>793</v>
      </c>
      <c r="N907" s="561">
        <v>20.805980680000001</v>
      </c>
      <c r="O907" s="561">
        <v>92.383308409999998</v>
      </c>
      <c r="P907" s="561" t="s">
        <v>797</v>
      </c>
      <c r="Q907" s="566"/>
      <c r="R907" s="568"/>
      <c r="S907" s="569"/>
      <c r="T907" s="589">
        <v>43300</v>
      </c>
      <c r="U907" s="570"/>
      <c r="V907" s="561"/>
      <c r="W907" s="435"/>
      <c r="X907" s="17"/>
      <c r="Z907" s="17"/>
    </row>
    <row r="908" spans="1:26" ht="14.25" customHeight="1">
      <c r="A908" s="435" t="s">
        <v>2686</v>
      </c>
      <c r="B908" s="597" t="s">
        <v>307</v>
      </c>
      <c r="C908" s="598" t="s">
        <v>1913</v>
      </c>
      <c r="D908" s="567"/>
      <c r="E908" s="435">
        <v>197971</v>
      </c>
      <c r="F908" s="435" t="s">
        <v>1913</v>
      </c>
      <c r="G908" s="413"/>
      <c r="H908" s="413"/>
      <c r="I908" s="435"/>
      <c r="J908" s="413" t="s">
        <v>796</v>
      </c>
      <c r="K908" s="413" t="s">
        <v>796</v>
      </c>
      <c r="L908" s="435" t="s">
        <v>796</v>
      </c>
      <c r="M908" s="413" t="s">
        <v>793</v>
      </c>
      <c r="N908" s="413">
        <v>20.872400280000001</v>
      </c>
      <c r="O908" s="413">
        <v>92.337608340000003</v>
      </c>
      <c r="P908" s="561" t="s">
        <v>797</v>
      </c>
      <c r="Q908" s="413" t="s">
        <v>1915</v>
      </c>
      <c r="R908" s="576"/>
      <c r="S908" s="439"/>
      <c r="T908" s="416">
        <v>43245</v>
      </c>
      <c r="U908" s="415"/>
      <c r="V908" s="413"/>
      <c r="W908" s="435"/>
      <c r="X908" s="17"/>
      <c r="Z908" s="17"/>
    </row>
    <row r="909" spans="1:26" ht="14.25" customHeight="1">
      <c r="A909" s="435" t="s">
        <v>2686</v>
      </c>
      <c r="B909" s="178" t="s">
        <v>307</v>
      </c>
      <c r="C909" s="598" t="s">
        <v>337</v>
      </c>
      <c r="D909" s="567" t="s">
        <v>1664</v>
      </c>
      <c r="E909" s="173"/>
      <c r="F909" s="173"/>
      <c r="G909" s="173"/>
      <c r="H909" s="173"/>
      <c r="I909" s="173"/>
      <c r="J909" s="173" t="s">
        <v>796</v>
      </c>
      <c r="K909" s="173" t="s">
        <v>796</v>
      </c>
      <c r="L909" s="173" t="s">
        <v>796</v>
      </c>
      <c r="M909" s="173" t="s">
        <v>793</v>
      </c>
      <c r="N909" s="592"/>
      <c r="O909" s="592"/>
      <c r="P909" s="173" t="s">
        <v>797</v>
      </c>
      <c r="Q909" s="173" t="s">
        <v>778</v>
      </c>
      <c r="R909" s="174"/>
      <c r="S909" s="172"/>
      <c r="T909" s="175"/>
      <c r="U909" s="176"/>
      <c r="V909" s="173" t="s">
        <v>337</v>
      </c>
      <c r="W909" s="435"/>
      <c r="X909" s="17"/>
      <c r="Z909" s="17"/>
    </row>
    <row r="910" spans="1:26" ht="14.25" customHeight="1">
      <c r="A910" s="435" t="s">
        <v>2686</v>
      </c>
      <c r="B910" s="597" t="s">
        <v>307</v>
      </c>
      <c r="C910" s="598" t="s">
        <v>601</v>
      </c>
      <c r="D910" s="567" t="s">
        <v>1664</v>
      </c>
      <c r="E910" s="435">
        <v>198000</v>
      </c>
      <c r="F910" s="435"/>
      <c r="G910" s="435"/>
      <c r="H910" s="435"/>
      <c r="I910" s="435"/>
      <c r="J910" s="435" t="s">
        <v>796</v>
      </c>
      <c r="K910" s="435" t="s">
        <v>796</v>
      </c>
      <c r="L910" s="435" t="s">
        <v>796</v>
      </c>
      <c r="M910" s="435" t="s">
        <v>793</v>
      </c>
      <c r="N910" s="435">
        <v>20.788669590000001</v>
      </c>
      <c r="O910" s="435">
        <v>92.397300720000004</v>
      </c>
      <c r="P910" s="435" t="s">
        <v>797</v>
      </c>
      <c r="Q910" s="435" t="s">
        <v>778</v>
      </c>
      <c r="R910" s="576"/>
      <c r="S910" s="569"/>
      <c r="T910" s="452"/>
      <c r="U910" s="440"/>
      <c r="V910" s="435" t="s">
        <v>601</v>
      </c>
      <c r="W910" s="435"/>
      <c r="X910" s="17"/>
      <c r="Z910" s="17"/>
    </row>
    <row r="911" spans="1:26" ht="14.25" customHeight="1">
      <c r="A911" s="561" t="s">
        <v>2686</v>
      </c>
      <c r="B911" s="597" t="s">
        <v>307</v>
      </c>
      <c r="C911" s="598" t="s">
        <v>2053</v>
      </c>
      <c r="D911" s="437"/>
      <c r="E911" s="561">
        <v>197972</v>
      </c>
      <c r="F911" s="566"/>
      <c r="G911" s="561"/>
      <c r="H911" s="561"/>
      <c r="I911" s="561"/>
      <c r="J911" s="561" t="s">
        <v>796</v>
      </c>
      <c r="K911" s="561" t="s">
        <v>796</v>
      </c>
      <c r="L911" s="561" t="s">
        <v>796</v>
      </c>
      <c r="M911" s="561" t="s">
        <v>793</v>
      </c>
      <c r="N911" s="561">
        <v>20.879430769999999</v>
      </c>
      <c r="O911" s="561">
        <v>92.334373470000003</v>
      </c>
      <c r="P911" s="561" t="s">
        <v>797</v>
      </c>
      <c r="Q911" s="561"/>
      <c r="R911" s="576"/>
      <c r="S911" s="569"/>
      <c r="T911" s="588">
        <v>43300</v>
      </c>
      <c r="U911" s="570"/>
      <c r="V911" s="561"/>
      <c r="W911" s="561"/>
      <c r="X911" s="17"/>
      <c r="Z911" s="17"/>
    </row>
    <row r="912" spans="1:26" ht="14.25" customHeight="1">
      <c r="A912" s="435" t="s">
        <v>2686</v>
      </c>
      <c r="B912" s="586" t="s">
        <v>307</v>
      </c>
      <c r="C912" s="585" t="s">
        <v>296</v>
      </c>
      <c r="D912" s="477" t="s">
        <v>1664</v>
      </c>
      <c r="E912" s="561"/>
      <c r="F912" s="561"/>
      <c r="G912" s="561"/>
      <c r="H912" s="561"/>
      <c r="I912" s="561"/>
      <c r="J912" s="561" t="s">
        <v>796</v>
      </c>
      <c r="K912" s="561" t="s">
        <v>796</v>
      </c>
      <c r="L912" s="561" t="s">
        <v>796</v>
      </c>
      <c r="M912" s="561" t="s">
        <v>296</v>
      </c>
      <c r="N912" s="580"/>
      <c r="O912" s="580"/>
      <c r="P912" s="561" t="s">
        <v>797</v>
      </c>
      <c r="Q912" s="561" t="s">
        <v>778</v>
      </c>
      <c r="R912" s="568"/>
      <c r="S912" s="569"/>
      <c r="T912" s="588"/>
      <c r="U912" s="570"/>
      <c r="V912" s="561" t="s">
        <v>296</v>
      </c>
      <c r="W912" s="435"/>
      <c r="X912" s="17"/>
      <c r="Z912" s="17"/>
    </row>
    <row r="913" spans="1:26" ht="14.25" customHeight="1">
      <c r="A913" s="435" t="s">
        <v>2686</v>
      </c>
      <c r="B913" s="586" t="s">
        <v>307</v>
      </c>
      <c r="C913" s="585" t="s">
        <v>342</v>
      </c>
      <c r="D913" s="477" t="s">
        <v>1664</v>
      </c>
      <c r="E913" s="413"/>
      <c r="F913" s="435"/>
      <c r="G913" s="413"/>
      <c r="H913" s="413"/>
      <c r="I913" s="413"/>
      <c r="J913" s="413" t="s">
        <v>796</v>
      </c>
      <c r="K913" s="413" t="s">
        <v>796</v>
      </c>
      <c r="L913" s="413" t="s">
        <v>796</v>
      </c>
      <c r="M913" s="413" t="s">
        <v>296</v>
      </c>
      <c r="N913" s="413"/>
      <c r="O913" s="413"/>
      <c r="P913" s="413" t="s">
        <v>797</v>
      </c>
      <c r="Q913" s="413" t="s">
        <v>778</v>
      </c>
      <c r="R913" s="568"/>
      <c r="S913" s="439"/>
      <c r="T913" s="416"/>
      <c r="U913" s="415"/>
      <c r="V913" s="413"/>
      <c r="W913" s="435"/>
      <c r="X913" s="17"/>
      <c r="Z913" s="17"/>
    </row>
    <row r="914" spans="1:26" ht="14.25" customHeight="1">
      <c r="A914" s="435" t="s">
        <v>2686</v>
      </c>
      <c r="B914" s="597" t="s">
        <v>307</v>
      </c>
      <c r="C914" s="598" t="s">
        <v>1133</v>
      </c>
      <c r="D914" s="567" t="s">
        <v>1664</v>
      </c>
      <c r="E914" s="561"/>
      <c r="F914" s="413"/>
      <c r="G914" s="413"/>
      <c r="H914" s="413"/>
      <c r="I914" s="413"/>
      <c r="J914" s="413" t="s">
        <v>796</v>
      </c>
      <c r="K914" s="435" t="s">
        <v>796</v>
      </c>
      <c r="L914" s="435" t="s">
        <v>796</v>
      </c>
      <c r="M914" s="413" t="s">
        <v>793</v>
      </c>
      <c r="N914" s="413"/>
      <c r="O914" s="413"/>
      <c r="P914" s="413" t="s">
        <v>797</v>
      </c>
      <c r="Q914" s="413"/>
      <c r="R914" s="576"/>
      <c r="S914" s="569"/>
      <c r="T914" s="416"/>
      <c r="U914" s="415"/>
      <c r="V914" s="413" t="s">
        <v>342</v>
      </c>
      <c r="W914" s="435"/>
      <c r="X914" s="17"/>
      <c r="Z914" s="17"/>
    </row>
    <row r="915" spans="1:26" ht="14.25" customHeight="1">
      <c r="A915" s="435" t="s">
        <v>2686</v>
      </c>
      <c r="B915" s="597" t="s">
        <v>307</v>
      </c>
      <c r="C915" s="598" t="s">
        <v>343</v>
      </c>
      <c r="D915" s="567" t="s">
        <v>1664</v>
      </c>
      <c r="E915" s="561"/>
      <c r="F915" s="561"/>
      <c r="G915" s="561"/>
      <c r="H915" s="561"/>
      <c r="I915" s="561"/>
      <c r="J915" s="561" t="s">
        <v>796</v>
      </c>
      <c r="K915" s="561" t="s">
        <v>796</v>
      </c>
      <c r="L915" s="561" t="s">
        <v>796</v>
      </c>
      <c r="M915" s="561" t="s">
        <v>296</v>
      </c>
      <c r="N915" s="561"/>
      <c r="O915" s="561"/>
      <c r="P915" s="561" t="s">
        <v>797</v>
      </c>
      <c r="Q915" s="561" t="s">
        <v>778</v>
      </c>
      <c r="R915" s="576"/>
      <c r="S915" s="569"/>
      <c r="T915" s="588"/>
      <c r="U915" s="570"/>
      <c r="V915" s="561" t="s">
        <v>342</v>
      </c>
      <c r="W915" s="435"/>
      <c r="X915" s="17"/>
      <c r="Z915" s="17"/>
    </row>
    <row r="916" spans="1:26" ht="14.25" customHeight="1">
      <c r="A916" s="561" t="s">
        <v>2686</v>
      </c>
      <c r="B916" s="586" t="s">
        <v>307</v>
      </c>
      <c r="C916" s="585" t="s">
        <v>344</v>
      </c>
      <c r="D916" s="477" t="s">
        <v>1664</v>
      </c>
      <c r="E916" s="435"/>
      <c r="F916" s="435"/>
      <c r="G916" s="413"/>
      <c r="H916" s="413"/>
      <c r="I916" s="413"/>
      <c r="J916" s="413" t="s">
        <v>796</v>
      </c>
      <c r="K916" s="435" t="s">
        <v>796</v>
      </c>
      <c r="L916" s="435" t="s">
        <v>796</v>
      </c>
      <c r="M916" s="413" t="s">
        <v>793</v>
      </c>
      <c r="N916" s="413"/>
      <c r="O916" s="413"/>
      <c r="P916" s="413" t="s">
        <v>797</v>
      </c>
      <c r="Q916" s="413" t="s">
        <v>778</v>
      </c>
      <c r="R916" s="568"/>
      <c r="S916" s="439"/>
      <c r="T916" s="416"/>
      <c r="U916" s="570"/>
      <c r="V916" s="413" t="s">
        <v>344</v>
      </c>
      <c r="W916" s="561"/>
      <c r="X916" s="17"/>
      <c r="Z916" s="17"/>
    </row>
    <row r="917" spans="1:26" ht="14.25" customHeight="1">
      <c r="A917" s="561" t="s">
        <v>2686</v>
      </c>
      <c r="B917" s="597" t="s">
        <v>307</v>
      </c>
      <c r="C917" s="598" t="s">
        <v>2076</v>
      </c>
      <c r="D917" s="567"/>
      <c r="E917" s="413">
        <v>197897</v>
      </c>
      <c r="F917" s="435"/>
      <c r="G917" s="413"/>
      <c r="H917" s="413"/>
      <c r="I917" s="413"/>
      <c r="J917" s="413" t="s">
        <v>796</v>
      </c>
      <c r="K917" s="435" t="s">
        <v>796</v>
      </c>
      <c r="L917" s="435" t="s">
        <v>796</v>
      </c>
      <c r="M917" s="413" t="s">
        <v>296</v>
      </c>
      <c r="N917" s="413">
        <v>21.004550930000001</v>
      </c>
      <c r="O917" s="413">
        <v>92.294601439999994</v>
      </c>
      <c r="P917" s="561" t="s">
        <v>797</v>
      </c>
      <c r="Q917" s="413"/>
      <c r="R917" s="577"/>
      <c r="S917" s="573"/>
      <c r="T917" s="416">
        <v>43300</v>
      </c>
      <c r="U917" s="570"/>
      <c r="V917" s="413"/>
      <c r="W917" s="561"/>
      <c r="X917" s="17"/>
      <c r="Z917" s="17"/>
    </row>
    <row r="918" spans="1:26" ht="14.25" customHeight="1">
      <c r="A918" s="435" t="s">
        <v>2686</v>
      </c>
      <c r="B918" s="178" t="s">
        <v>307</v>
      </c>
      <c r="C918" s="179" t="s">
        <v>685</v>
      </c>
      <c r="D918" s="567" t="s">
        <v>1664</v>
      </c>
      <c r="E918" s="173">
        <v>197866</v>
      </c>
      <c r="F918" s="173"/>
      <c r="G918" s="173"/>
      <c r="H918" s="173"/>
      <c r="I918" s="173"/>
      <c r="J918" s="173" t="s">
        <v>796</v>
      </c>
      <c r="K918" s="173" t="s">
        <v>796</v>
      </c>
      <c r="L918" s="173" t="s">
        <v>796</v>
      </c>
      <c r="M918" s="173" t="s">
        <v>793</v>
      </c>
      <c r="N918" s="173">
        <v>21.05834961</v>
      </c>
      <c r="O918" s="173">
        <v>92.336326600000007</v>
      </c>
      <c r="P918" s="173" t="s">
        <v>797</v>
      </c>
      <c r="Q918" s="173" t="s">
        <v>778</v>
      </c>
      <c r="R918" s="482"/>
      <c r="S918" s="481"/>
      <c r="T918" s="175">
        <v>42745</v>
      </c>
      <c r="U918" s="176"/>
      <c r="V918" s="173" t="s">
        <v>685</v>
      </c>
      <c r="W918" s="435"/>
      <c r="X918" s="17"/>
      <c r="Z918" s="17"/>
    </row>
    <row r="919" spans="1:26" ht="14.25" customHeight="1">
      <c r="A919" s="435" t="s">
        <v>2686</v>
      </c>
      <c r="B919" s="597" t="s">
        <v>307</v>
      </c>
      <c r="C919" s="598" t="s">
        <v>673</v>
      </c>
      <c r="D919" s="567" t="s">
        <v>1664</v>
      </c>
      <c r="E919" s="413"/>
      <c r="F919" s="413"/>
      <c r="G919" s="413"/>
      <c r="H919" s="413"/>
      <c r="I919" s="413"/>
      <c r="J919" s="413" t="s">
        <v>796</v>
      </c>
      <c r="K919" s="413" t="s">
        <v>796</v>
      </c>
      <c r="L919" s="413" t="s">
        <v>796</v>
      </c>
      <c r="M919" s="413" t="s">
        <v>296</v>
      </c>
      <c r="N919" s="413">
        <v>21.004550930000001</v>
      </c>
      <c r="O919" s="435">
        <v>92.294601439999994</v>
      </c>
      <c r="P919" s="561" t="s">
        <v>797</v>
      </c>
      <c r="Q919" s="413" t="s">
        <v>778</v>
      </c>
      <c r="R919" s="576"/>
      <c r="S919" s="439"/>
      <c r="T919" s="416"/>
      <c r="U919" s="415"/>
      <c r="V919" s="413" t="s">
        <v>673</v>
      </c>
      <c r="W919" s="435"/>
      <c r="X919" s="17"/>
      <c r="Z919" s="17"/>
    </row>
    <row r="920" spans="1:26" ht="14.25" customHeight="1">
      <c r="A920" s="435" t="s">
        <v>2686</v>
      </c>
      <c r="B920" s="586" t="s">
        <v>307</v>
      </c>
      <c r="C920" s="585" t="s">
        <v>2074</v>
      </c>
      <c r="D920" s="477"/>
      <c r="E920" s="561">
        <v>197983</v>
      </c>
      <c r="F920" s="413"/>
      <c r="G920" s="413"/>
      <c r="H920" s="413"/>
      <c r="I920" s="413"/>
      <c r="J920" s="413" t="s">
        <v>796</v>
      </c>
      <c r="K920" s="413" t="s">
        <v>796</v>
      </c>
      <c r="L920" s="413" t="s">
        <v>796</v>
      </c>
      <c r="M920" s="413" t="s">
        <v>681</v>
      </c>
      <c r="N920" s="561">
        <v>20.834699629999999</v>
      </c>
      <c r="O920" s="561">
        <v>92.372390749999994</v>
      </c>
      <c r="P920" s="413" t="s">
        <v>797</v>
      </c>
      <c r="Q920" s="413"/>
      <c r="R920" s="568"/>
      <c r="S920" s="439"/>
      <c r="T920" s="416">
        <v>43300</v>
      </c>
      <c r="U920" s="415"/>
      <c r="V920" s="413"/>
      <c r="W920" s="435"/>
      <c r="X920" s="17"/>
      <c r="Z920" s="17"/>
    </row>
    <row r="921" spans="1:26" ht="14.25" customHeight="1">
      <c r="A921" s="435" t="s">
        <v>2686</v>
      </c>
      <c r="B921" s="586" t="s">
        <v>307</v>
      </c>
      <c r="C921" s="585" t="s">
        <v>564</v>
      </c>
      <c r="D921" s="477" t="s">
        <v>1664</v>
      </c>
      <c r="E921" s="561">
        <v>198047</v>
      </c>
      <c r="F921" s="435"/>
      <c r="G921" s="413"/>
      <c r="H921" s="413"/>
      <c r="I921" s="413"/>
      <c r="J921" s="413" t="s">
        <v>796</v>
      </c>
      <c r="K921" s="435" t="s">
        <v>796</v>
      </c>
      <c r="L921" s="435" t="s">
        <v>796</v>
      </c>
      <c r="M921" s="413" t="s">
        <v>793</v>
      </c>
      <c r="N921" s="413">
        <v>20.717479709999999</v>
      </c>
      <c r="O921" s="413">
        <v>92.437492370000001</v>
      </c>
      <c r="P921" s="561" t="s">
        <v>797</v>
      </c>
      <c r="Q921" s="413" t="s">
        <v>778</v>
      </c>
      <c r="R921" s="568"/>
      <c r="S921" s="439"/>
      <c r="T921" s="416"/>
      <c r="U921" s="415"/>
      <c r="V921" s="413" t="s">
        <v>564</v>
      </c>
      <c r="W921" s="435"/>
      <c r="X921" s="17"/>
      <c r="Z921" s="17"/>
    </row>
    <row r="922" spans="1:26" ht="14.25" customHeight="1">
      <c r="A922" s="435" t="s">
        <v>2686</v>
      </c>
      <c r="B922" s="451" t="s">
        <v>307</v>
      </c>
      <c r="C922" s="450" t="s">
        <v>2559</v>
      </c>
      <c r="D922" s="477"/>
      <c r="E922" s="413"/>
      <c r="F922" s="435" t="s">
        <v>2673</v>
      </c>
      <c r="G922" s="413"/>
      <c r="H922" s="413"/>
      <c r="I922" s="413"/>
      <c r="J922" s="413" t="s">
        <v>796</v>
      </c>
      <c r="K922" s="413" t="s">
        <v>796</v>
      </c>
      <c r="L922" s="413" t="s">
        <v>796</v>
      </c>
      <c r="M922" s="413" t="s">
        <v>296</v>
      </c>
      <c r="N922" s="413"/>
      <c r="O922" s="413"/>
      <c r="P922" s="561" t="s">
        <v>797</v>
      </c>
      <c r="Q922" s="413"/>
      <c r="R922" s="568"/>
      <c r="S922" s="569"/>
      <c r="T922" s="416"/>
      <c r="U922" s="415"/>
      <c r="V922" s="413"/>
      <c r="W922" s="435"/>
      <c r="X922" s="17"/>
      <c r="Z922" s="17"/>
    </row>
    <row r="923" spans="1:26" ht="14.25" customHeight="1">
      <c r="A923" s="569" t="s">
        <v>2686</v>
      </c>
      <c r="B923" s="597" t="s">
        <v>307</v>
      </c>
      <c r="C923" s="598" t="s">
        <v>2862</v>
      </c>
      <c r="D923" s="567"/>
      <c r="E923" s="413"/>
      <c r="F923" s="413"/>
      <c r="G923" s="413"/>
      <c r="H923" s="413"/>
      <c r="I923" s="413"/>
      <c r="J923" s="413" t="s">
        <v>796</v>
      </c>
      <c r="K923" s="413" t="s">
        <v>796</v>
      </c>
      <c r="L923" s="413" t="s">
        <v>796</v>
      </c>
      <c r="M923" s="413"/>
      <c r="N923" s="413"/>
      <c r="O923" s="413"/>
      <c r="P923" s="413" t="s">
        <v>797</v>
      </c>
      <c r="Q923" s="413"/>
      <c r="R923" s="576"/>
      <c r="S923" s="439"/>
      <c r="T923" s="416"/>
      <c r="U923" s="576"/>
      <c r="V923" s="413"/>
      <c r="W923" s="568"/>
      <c r="X923" s="17"/>
      <c r="Z923" s="17"/>
    </row>
    <row r="924" spans="1:26" ht="14.25" customHeight="1">
      <c r="A924" s="435" t="s">
        <v>2686</v>
      </c>
      <c r="B924" s="597" t="s">
        <v>307</v>
      </c>
      <c r="C924" s="598" t="s">
        <v>2061</v>
      </c>
      <c r="D924" s="567"/>
      <c r="E924" s="413">
        <v>220737</v>
      </c>
      <c r="F924" s="413" t="s">
        <v>546</v>
      </c>
      <c r="G924" s="413"/>
      <c r="H924" s="413"/>
      <c r="I924" s="413"/>
      <c r="J924" s="413" t="s">
        <v>796</v>
      </c>
      <c r="K924" s="413" t="s">
        <v>796</v>
      </c>
      <c r="L924" s="413" t="s">
        <v>796</v>
      </c>
      <c r="M924" s="413" t="s">
        <v>296</v>
      </c>
      <c r="N924" s="435">
        <v>20.806211470000001</v>
      </c>
      <c r="O924" s="435">
        <v>92.404357910000002</v>
      </c>
      <c r="P924" s="413" t="s">
        <v>797</v>
      </c>
      <c r="Q924" s="413"/>
      <c r="R924" s="576"/>
      <c r="S924" s="439"/>
      <c r="T924" s="416">
        <v>43300</v>
      </c>
      <c r="U924" s="415"/>
      <c r="V924" s="413"/>
      <c r="W924" s="435"/>
      <c r="X924" s="17"/>
      <c r="Z924" s="17"/>
    </row>
    <row r="925" spans="1:26" ht="14.25" customHeight="1">
      <c r="A925" s="435" t="s">
        <v>2686</v>
      </c>
      <c r="B925" s="586" t="s">
        <v>307</v>
      </c>
      <c r="C925" s="585" t="s">
        <v>2045</v>
      </c>
      <c r="D925" s="477"/>
      <c r="E925" s="413">
        <v>197940</v>
      </c>
      <c r="F925" s="413"/>
      <c r="G925" s="413"/>
      <c r="H925" s="413"/>
      <c r="I925" s="413"/>
      <c r="J925" s="413" t="s">
        <v>796</v>
      </c>
      <c r="K925" s="413" t="s">
        <v>796</v>
      </c>
      <c r="L925" s="413" t="s">
        <v>796</v>
      </c>
      <c r="M925" s="413" t="s">
        <v>793</v>
      </c>
      <c r="N925" s="413">
        <v>20.836729049999999</v>
      </c>
      <c r="O925" s="413">
        <v>92.350952149999998</v>
      </c>
      <c r="P925" s="413" t="s">
        <v>797</v>
      </c>
      <c r="Q925" s="413"/>
      <c r="R925" s="568"/>
      <c r="S925" s="439"/>
      <c r="T925" s="416">
        <v>43300</v>
      </c>
      <c r="U925" s="415"/>
      <c r="V925" s="413"/>
      <c r="W925" s="435"/>
      <c r="X925" s="17"/>
      <c r="Z925" s="17"/>
    </row>
    <row r="926" spans="1:26" ht="14.25" customHeight="1">
      <c r="A926" s="561" t="s">
        <v>2686</v>
      </c>
      <c r="B926" s="597" t="s">
        <v>307</v>
      </c>
      <c r="C926" s="598" t="s">
        <v>2044</v>
      </c>
      <c r="D926" s="567"/>
      <c r="E926" s="413">
        <v>197940</v>
      </c>
      <c r="F926" s="435"/>
      <c r="G926" s="413"/>
      <c r="H926" s="413"/>
      <c r="I926" s="413"/>
      <c r="J926" s="413" t="s">
        <v>796</v>
      </c>
      <c r="K926" s="413" t="s">
        <v>796</v>
      </c>
      <c r="L926" s="413" t="s">
        <v>796</v>
      </c>
      <c r="M926" s="413" t="s">
        <v>793</v>
      </c>
      <c r="N926" s="561">
        <v>20.836729049999999</v>
      </c>
      <c r="O926" s="561">
        <v>92.350952149999998</v>
      </c>
      <c r="P926" s="413" t="s">
        <v>797</v>
      </c>
      <c r="Q926" s="413"/>
      <c r="R926" s="576"/>
      <c r="S926" s="439"/>
      <c r="T926" s="416">
        <v>43300</v>
      </c>
      <c r="U926" s="570"/>
      <c r="V926" s="561"/>
      <c r="W926" s="561"/>
      <c r="X926" s="17"/>
      <c r="Z926" s="17"/>
    </row>
    <row r="927" spans="1:26" ht="14.25" customHeight="1">
      <c r="A927" s="561" t="s">
        <v>2686</v>
      </c>
      <c r="B927" s="597" t="s">
        <v>307</v>
      </c>
      <c r="C927" s="598" t="s">
        <v>2042</v>
      </c>
      <c r="D927" s="567"/>
      <c r="E927" s="566">
        <v>197940</v>
      </c>
      <c r="F927" s="561"/>
      <c r="G927" s="561"/>
      <c r="H927" s="561"/>
      <c r="I927" s="561"/>
      <c r="J927" s="561" t="s">
        <v>796</v>
      </c>
      <c r="K927" s="561" t="s">
        <v>796</v>
      </c>
      <c r="L927" s="561" t="s">
        <v>796</v>
      </c>
      <c r="M927" s="561" t="s">
        <v>793</v>
      </c>
      <c r="N927" s="561">
        <v>20.836729049999999</v>
      </c>
      <c r="O927" s="561">
        <v>92.350952149999998</v>
      </c>
      <c r="P927" s="561" t="s">
        <v>797</v>
      </c>
      <c r="Q927" s="561"/>
      <c r="R927" s="576"/>
      <c r="S927" s="569"/>
      <c r="T927" s="588">
        <v>43300</v>
      </c>
      <c r="U927" s="570"/>
      <c r="V927" s="561"/>
      <c r="W927" s="561"/>
      <c r="X927" s="17"/>
      <c r="Z927" s="17"/>
    </row>
    <row r="928" spans="1:26" ht="14.25" customHeight="1">
      <c r="A928" s="435" t="s">
        <v>2686</v>
      </c>
      <c r="B928" s="451" t="s">
        <v>307</v>
      </c>
      <c r="C928" s="450" t="s">
        <v>2110</v>
      </c>
      <c r="D928" s="477"/>
      <c r="E928" s="435">
        <v>197940</v>
      </c>
      <c r="F928" s="413"/>
      <c r="G928" s="413"/>
      <c r="H928" s="435"/>
      <c r="I928" s="435"/>
      <c r="J928" s="435" t="s">
        <v>796</v>
      </c>
      <c r="K928" s="435" t="s">
        <v>796</v>
      </c>
      <c r="L928" s="435" t="s">
        <v>796</v>
      </c>
      <c r="M928" s="435" t="s">
        <v>681</v>
      </c>
      <c r="N928" s="561">
        <v>20.836729049999999</v>
      </c>
      <c r="O928" s="561">
        <v>92.350952149999998</v>
      </c>
      <c r="P928" s="413" t="s">
        <v>797</v>
      </c>
      <c r="Q928" s="435"/>
      <c r="R928" s="438"/>
      <c r="S928" s="439"/>
      <c r="T928" s="452">
        <v>43300</v>
      </c>
      <c r="U928" s="440"/>
      <c r="V928" s="413"/>
      <c r="W928" s="435"/>
      <c r="X928" s="17"/>
      <c r="Z928" s="17"/>
    </row>
    <row r="929" spans="1:26" ht="14.25" customHeight="1">
      <c r="A929" s="561" t="s">
        <v>2686</v>
      </c>
      <c r="B929" s="586" t="s">
        <v>307</v>
      </c>
      <c r="C929" s="585" t="s">
        <v>2091</v>
      </c>
      <c r="D929" s="477"/>
      <c r="E929" s="561">
        <v>197933</v>
      </c>
      <c r="F929" s="561"/>
      <c r="G929" s="561"/>
      <c r="H929" s="561"/>
      <c r="I929" s="561"/>
      <c r="J929" s="413" t="s">
        <v>796</v>
      </c>
      <c r="K929" s="413" t="s">
        <v>796</v>
      </c>
      <c r="L929" s="413" t="s">
        <v>796</v>
      </c>
      <c r="M929" s="561" t="s">
        <v>793</v>
      </c>
      <c r="N929" s="561">
        <v>20.85235977</v>
      </c>
      <c r="O929" s="561">
        <v>92.352790830000004</v>
      </c>
      <c r="P929" s="561" t="s">
        <v>797</v>
      </c>
      <c r="Q929" s="561"/>
      <c r="R929" s="568"/>
      <c r="S929" s="569"/>
      <c r="T929" s="588">
        <v>43300</v>
      </c>
      <c r="U929" s="570"/>
      <c r="V929" s="561"/>
      <c r="W929" s="561"/>
      <c r="X929" s="17"/>
      <c r="Z929" s="17"/>
    </row>
    <row r="930" spans="1:26" ht="14.25" customHeight="1">
      <c r="A930" s="435" t="s">
        <v>2686</v>
      </c>
      <c r="B930" s="451" t="s">
        <v>307</v>
      </c>
      <c r="C930" s="450" t="s">
        <v>686</v>
      </c>
      <c r="D930" s="477" t="s">
        <v>1664</v>
      </c>
      <c r="E930" s="413" t="s">
        <v>1418</v>
      </c>
      <c r="F930" s="435"/>
      <c r="G930" s="413"/>
      <c r="H930" s="413" t="s">
        <v>41</v>
      </c>
      <c r="I930" s="413"/>
      <c r="J930" s="413" t="s">
        <v>796</v>
      </c>
      <c r="K930" s="413" t="s">
        <v>796</v>
      </c>
      <c r="L930" s="435" t="s">
        <v>1664</v>
      </c>
      <c r="M930" s="413" t="s">
        <v>793</v>
      </c>
      <c r="N930" s="413">
        <v>21.066663999999999</v>
      </c>
      <c r="O930" s="413">
        <v>92.338031000000001</v>
      </c>
      <c r="P930" s="561" t="s">
        <v>797</v>
      </c>
      <c r="Q930" s="413" t="s">
        <v>778</v>
      </c>
      <c r="R930" s="438"/>
      <c r="S930" s="439"/>
      <c r="T930" s="416">
        <v>43248</v>
      </c>
      <c r="U930" s="415" t="s">
        <v>1908</v>
      </c>
      <c r="V930" s="413"/>
      <c r="W930" s="435"/>
      <c r="X930" s="17"/>
      <c r="Z930" s="17"/>
    </row>
    <row r="931" spans="1:26" ht="14.25" customHeight="1">
      <c r="A931" s="435" t="s">
        <v>2686</v>
      </c>
      <c r="B931" s="597" t="s">
        <v>307</v>
      </c>
      <c r="C931" s="598" t="s">
        <v>2017</v>
      </c>
      <c r="D931" s="567"/>
      <c r="E931" s="435">
        <v>197830</v>
      </c>
      <c r="F931" s="435" t="s">
        <v>2013</v>
      </c>
      <c r="G931" s="435"/>
      <c r="H931" s="435"/>
      <c r="I931" s="435"/>
      <c r="J931" s="413" t="s">
        <v>796</v>
      </c>
      <c r="K931" s="413" t="s">
        <v>796</v>
      </c>
      <c r="L931" s="435" t="s">
        <v>796</v>
      </c>
      <c r="M931" s="413" t="s">
        <v>296</v>
      </c>
      <c r="N931" s="413">
        <v>21.218200679999999</v>
      </c>
      <c r="O931" s="413">
        <v>92.323173519999997</v>
      </c>
      <c r="P931" s="435" t="s">
        <v>797</v>
      </c>
      <c r="Q931" s="413"/>
      <c r="R931" s="576"/>
      <c r="S931" s="439"/>
      <c r="T931" s="416">
        <v>43294</v>
      </c>
      <c r="U931" s="440" t="s">
        <v>2011</v>
      </c>
      <c r="V931" s="435"/>
      <c r="W931" s="435"/>
      <c r="X931" s="17"/>
      <c r="Z931" s="17"/>
    </row>
    <row r="932" spans="1:26" ht="14.25" customHeight="1">
      <c r="A932" s="561" t="s">
        <v>2686</v>
      </c>
      <c r="B932" s="597" t="s">
        <v>307</v>
      </c>
      <c r="C932" s="598" t="s">
        <v>2103</v>
      </c>
      <c r="D932" s="567"/>
      <c r="E932" s="561">
        <v>197835</v>
      </c>
      <c r="F932" s="561"/>
      <c r="G932" s="561"/>
      <c r="H932" s="561"/>
      <c r="I932" s="561"/>
      <c r="J932" s="561" t="s">
        <v>796</v>
      </c>
      <c r="K932" s="561" t="s">
        <v>796</v>
      </c>
      <c r="L932" s="561" t="s">
        <v>796</v>
      </c>
      <c r="M932" s="561" t="s">
        <v>296</v>
      </c>
      <c r="N932" s="561">
        <v>21.218610760000001</v>
      </c>
      <c r="O932" s="561">
        <v>92.300231929999995</v>
      </c>
      <c r="P932" s="561" t="s">
        <v>797</v>
      </c>
      <c r="Q932" s="561"/>
      <c r="R932" s="576"/>
      <c r="S932" s="569"/>
      <c r="T932" s="588">
        <v>43300</v>
      </c>
      <c r="U932" s="570"/>
      <c r="V932" s="561"/>
      <c r="W932" s="561"/>
      <c r="X932" s="17"/>
      <c r="Z932" s="17"/>
    </row>
    <row r="933" spans="1:26" ht="14.25" customHeight="1">
      <c r="A933" s="569" t="s">
        <v>2686</v>
      </c>
      <c r="B933" s="597" t="s">
        <v>307</v>
      </c>
      <c r="C933" s="598" t="s">
        <v>2863</v>
      </c>
      <c r="D933" s="567"/>
      <c r="E933" s="413">
        <v>198002</v>
      </c>
      <c r="F933" s="413" t="s">
        <v>2867</v>
      </c>
      <c r="G933" s="413"/>
      <c r="H933" s="413"/>
      <c r="I933" s="413"/>
      <c r="J933" s="413" t="s">
        <v>796</v>
      </c>
      <c r="K933" s="413" t="s">
        <v>796</v>
      </c>
      <c r="L933" s="413" t="s">
        <v>796</v>
      </c>
      <c r="M933" s="413" t="s">
        <v>793</v>
      </c>
      <c r="N933" s="561">
        <v>20.7818698883057</v>
      </c>
      <c r="O933" s="561">
        <v>92.393142700195298</v>
      </c>
      <c r="P933" s="435" t="s">
        <v>797</v>
      </c>
      <c r="Q933" s="413" t="s">
        <v>778</v>
      </c>
      <c r="R933" s="576"/>
      <c r="S933" s="439"/>
      <c r="T933" s="416"/>
      <c r="U933" s="576"/>
      <c r="V933" s="566" t="s">
        <v>592</v>
      </c>
      <c r="W933" s="568"/>
      <c r="X933" s="17"/>
      <c r="Z933" s="17"/>
    </row>
    <row r="934" spans="1:26" ht="14.25" customHeight="1">
      <c r="A934" s="561" t="s">
        <v>2686</v>
      </c>
      <c r="B934" s="586" t="s">
        <v>307</v>
      </c>
      <c r="C934" s="585" t="s">
        <v>2067</v>
      </c>
      <c r="D934" s="477"/>
      <c r="E934" s="561" t="s">
        <v>2112</v>
      </c>
      <c r="F934" s="561"/>
      <c r="G934" s="561"/>
      <c r="H934" s="561"/>
      <c r="I934" s="561"/>
      <c r="J934" s="561" t="s">
        <v>796</v>
      </c>
      <c r="K934" s="561" t="s">
        <v>796</v>
      </c>
      <c r="L934" s="561" t="s">
        <v>796</v>
      </c>
      <c r="M934" s="561" t="s">
        <v>296</v>
      </c>
      <c r="N934" s="561"/>
      <c r="O934" s="561"/>
      <c r="P934" s="561" t="s">
        <v>797</v>
      </c>
      <c r="Q934" s="561"/>
      <c r="R934" s="568"/>
      <c r="S934" s="569"/>
      <c r="T934" s="588">
        <v>43300</v>
      </c>
      <c r="U934" s="570"/>
      <c r="V934" s="561"/>
      <c r="W934" s="561"/>
      <c r="X934" s="17"/>
      <c r="Z934" s="17"/>
    </row>
    <row r="935" spans="1:26" ht="14.25" customHeight="1">
      <c r="A935" s="435" t="s">
        <v>2686</v>
      </c>
      <c r="B935" s="586" t="s">
        <v>307</v>
      </c>
      <c r="C935" s="450" t="s">
        <v>2066</v>
      </c>
      <c r="D935" s="477"/>
      <c r="E935" s="561" t="s">
        <v>2113</v>
      </c>
      <c r="F935" s="561"/>
      <c r="G935" s="561"/>
      <c r="H935" s="561"/>
      <c r="I935" s="561"/>
      <c r="J935" s="561" t="s">
        <v>796</v>
      </c>
      <c r="K935" s="561" t="s">
        <v>796</v>
      </c>
      <c r="L935" s="561" t="s">
        <v>796</v>
      </c>
      <c r="M935" s="561" t="s">
        <v>296</v>
      </c>
      <c r="N935" s="561"/>
      <c r="O935" s="561"/>
      <c r="P935" s="561" t="s">
        <v>797</v>
      </c>
      <c r="Q935" s="561"/>
      <c r="R935" s="568"/>
      <c r="S935" s="569"/>
      <c r="T935" s="588">
        <v>43300</v>
      </c>
      <c r="U935" s="570"/>
      <c r="V935" s="561"/>
      <c r="W935" s="435"/>
      <c r="X935" s="17"/>
      <c r="Z935" s="17"/>
    </row>
    <row r="936" spans="1:26" ht="14.25" customHeight="1">
      <c r="A936" s="561" t="s">
        <v>2686</v>
      </c>
      <c r="B936" s="586" t="s">
        <v>307</v>
      </c>
      <c r="C936" s="585" t="s">
        <v>2065</v>
      </c>
      <c r="D936" s="477"/>
      <c r="E936" s="561" t="s">
        <v>2114</v>
      </c>
      <c r="F936" s="561"/>
      <c r="G936" s="561"/>
      <c r="H936" s="561"/>
      <c r="I936" s="561"/>
      <c r="J936" s="561" t="s">
        <v>796</v>
      </c>
      <c r="K936" s="561" t="s">
        <v>796</v>
      </c>
      <c r="L936" s="561" t="s">
        <v>796</v>
      </c>
      <c r="M936" s="561" t="s">
        <v>296</v>
      </c>
      <c r="N936" s="561"/>
      <c r="O936" s="561"/>
      <c r="P936" s="561" t="s">
        <v>797</v>
      </c>
      <c r="Q936" s="561"/>
      <c r="R936" s="568"/>
      <c r="S936" s="569"/>
      <c r="T936" s="588">
        <v>43300</v>
      </c>
      <c r="U936" s="570"/>
      <c r="V936" s="561"/>
      <c r="W936" s="561"/>
      <c r="X936" s="17"/>
      <c r="Z936" s="17"/>
    </row>
    <row r="937" spans="1:26" ht="14.25" customHeight="1">
      <c r="A937" s="435" t="s">
        <v>2686</v>
      </c>
      <c r="B937" s="586" t="s">
        <v>307</v>
      </c>
      <c r="C937" s="585" t="s">
        <v>2064</v>
      </c>
      <c r="D937" s="477"/>
      <c r="E937" s="413" t="s">
        <v>2115</v>
      </c>
      <c r="F937" s="561"/>
      <c r="G937" s="413"/>
      <c r="H937" s="413"/>
      <c r="I937" s="413"/>
      <c r="J937" s="413" t="s">
        <v>796</v>
      </c>
      <c r="K937" s="413" t="s">
        <v>796</v>
      </c>
      <c r="L937" s="413" t="s">
        <v>796</v>
      </c>
      <c r="M937" s="413" t="s">
        <v>296</v>
      </c>
      <c r="N937" s="413"/>
      <c r="O937" s="413"/>
      <c r="P937" s="561" t="s">
        <v>797</v>
      </c>
      <c r="Q937" s="413"/>
      <c r="R937" s="568"/>
      <c r="S937" s="414"/>
      <c r="T937" s="416">
        <v>43300</v>
      </c>
      <c r="U937" s="415"/>
      <c r="V937" s="413"/>
      <c r="W937" s="435"/>
      <c r="X937" s="17"/>
      <c r="Z937" s="17"/>
    </row>
    <row r="938" spans="1:26" ht="14.25" customHeight="1">
      <c r="A938" s="435" t="s">
        <v>2686</v>
      </c>
      <c r="B938" s="586" t="s">
        <v>307</v>
      </c>
      <c r="C938" s="585" t="s">
        <v>1916</v>
      </c>
      <c r="D938" s="477"/>
      <c r="E938" s="413">
        <v>198016</v>
      </c>
      <c r="F938" s="413"/>
      <c r="G938" s="413"/>
      <c r="H938" s="413"/>
      <c r="I938" s="413"/>
      <c r="J938" s="413" t="s">
        <v>796</v>
      </c>
      <c r="K938" s="413" t="s">
        <v>796</v>
      </c>
      <c r="L938" s="413" t="s">
        <v>796</v>
      </c>
      <c r="M938" s="413" t="s">
        <v>296</v>
      </c>
      <c r="N938" s="413">
        <v>20.731571200000001</v>
      </c>
      <c r="O938" s="413">
        <v>92.428176879999995</v>
      </c>
      <c r="P938" s="413" t="s">
        <v>797</v>
      </c>
      <c r="Q938" s="413" t="s">
        <v>1915</v>
      </c>
      <c r="R938" s="568"/>
      <c r="S938" s="439"/>
      <c r="T938" s="416">
        <v>43245</v>
      </c>
      <c r="U938" s="415"/>
      <c r="V938" s="413"/>
      <c r="W938" s="435"/>
      <c r="X938" s="17"/>
      <c r="Z938" s="17"/>
    </row>
    <row r="939" spans="1:26" ht="14.25" customHeight="1">
      <c r="A939" s="561" t="s">
        <v>2686</v>
      </c>
      <c r="B939" s="597" t="s">
        <v>307</v>
      </c>
      <c r="C939" s="598" t="s">
        <v>2726</v>
      </c>
      <c r="D939" s="567"/>
      <c r="E939" s="561">
        <v>198085</v>
      </c>
      <c r="F939" s="491" t="s">
        <v>2712</v>
      </c>
      <c r="G939" s="561"/>
      <c r="H939" s="561"/>
      <c r="I939" s="561"/>
      <c r="J939" s="413" t="s">
        <v>796</v>
      </c>
      <c r="K939" s="413" t="s">
        <v>796</v>
      </c>
      <c r="L939" s="413" t="s">
        <v>796</v>
      </c>
      <c r="M939" s="413"/>
      <c r="N939" s="413">
        <v>20.4804992675781</v>
      </c>
      <c r="O939" s="413">
        <v>92.611358642578097</v>
      </c>
      <c r="P939" s="413" t="s">
        <v>797</v>
      </c>
      <c r="Q939" s="561" t="s">
        <v>3026</v>
      </c>
      <c r="R939" s="576"/>
      <c r="S939" s="569"/>
      <c r="T939" s="588">
        <v>43769</v>
      </c>
      <c r="U939" s="576"/>
      <c r="V939" s="413"/>
      <c r="W939" s="568"/>
      <c r="X939" s="17"/>
      <c r="Z939" s="17"/>
    </row>
    <row r="940" spans="1:26" ht="14.25" customHeight="1">
      <c r="A940" s="435" t="s">
        <v>2686</v>
      </c>
      <c r="B940" s="586" t="s">
        <v>307</v>
      </c>
      <c r="C940" s="585" t="s">
        <v>1756</v>
      </c>
      <c r="D940" s="477"/>
      <c r="E940" s="561">
        <v>197917</v>
      </c>
      <c r="F940" s="413"/>
      <c r="G940" s="413"/>
      <c r="H940" s="413"/>
      <c r="I940" s="413"/>
      <c r="J940" s="413" t="s">
        <v>796</v>
      </c>
      <c r="K940" s="413" t="s">
        <v>796</v>
      </c>
      <c r="L940" s="413" t="s">
        <v>796</v>
      </c>
      <c r="M940" s="413" t="s">
        <v>296</v>
      </c>
      <c r="N940" s="561">
        <v>20.943050379999999</v>
      </c>
      <c r="O940" s="561">
        <v>92.315856929999995</v>
      </c>
      <c r="P940" s="413" t="s">
        <v>797</v>
      </c>
      <c r="Q940" s="413"/>
      <c r="R940" s="568"/>
      <c r="S940" s="414"/>
      <c r="T940" s="416">
        <v>43300</v>
      </c>
      <c r="U940" s="415"/>
      <c r="V940" s="413"/>
      <c r="W940" s="435"/>
      <c r="X940" s="17"/>
      <c r="Z940" s="17"/>
    </row>
    <row r="941" spans="1:26" ht="14.25" customHeight="1">
      <c r="A941" s="435" t="s">
        <v>2686</v>
      </c>
      <c r="B941" s="597" t="s">
        <v>307</v>
      </c>
      <c r="C941" s="598" t="s">
        <v>2731</v>
      </c>
      <c r="D941" s="567"/>
      <c r="E941" s="413">
        <v>220747</v>
      </c>
      <c r="F941" s="413"/>
      <c r="G941" s="413"/>
      <c r="H941" s="413"/>
      <c r="I941" s="413"/>
      <c r="J941" s="413" t="s">
        <v>796</v>
      </c>
      <c r="K941" s="413" t="s">
        <v>796</v>
      </c>
      <c r="L941" s="413" t="s">
        <v>796</v>
      </c>
      <c r="M941" s="413" t="s">
        <v>2087</v>
      </c>
      <c r="N941" s="561">
        <v>21.153581620000001</v>
      </c>
      <c r="O941" s="561">
        <v>92.250885010000005</v>
      </c>
      <c r="P941" s="413" t="s">
        <v>797</v>
      </c>
      <c r="Q941" s="413"/>
      <c r="R941" s="576"/>
      <c r="S941" s="414"/>
      <c r="T941" s="416">
        <v>43300</v>
      </c>
      <c r="U941" s="415"/>
      <c r="V941" s="413"/>
      <c r="W941" s="435"/>
      <c r="X941" s="17"/>
      <c r="Z941" s="17"/>
    </row>
    <row r="942" spans="1:26" ht="14.25" customHeight="1">
      <c r="A942" s="435" t="s">
        <v>2686</v>
      </c>
      <c r="B942" s="451" t="s">
        <v>307</v>
      </c>
      <c r="C942" s="450" t="s">
        <v>2730</v>
      </c>
      <c r="D942" s="477"/>
      <c r="E942" s="566">
        <v>220747</v>
      </c>
      <c r="F942" s="413" t="s">
        <v>2014</v>
      </c>
      <c r="G942" s="413"/>
      <c r="H942" s="413"/>
      <c r="I942" s="413"/>
      <c r="J942" s="413" t="s">
        <v>796</v>
      </c>
      <c r="K942" s="435" t="s">
        <v>796</v>
      </c>
      <c r="L942" s="413" t="s">
        <v>796</v>
      </c>
      <c r="M942" s="413" t="s">
        <v>296</v>
      </c>
      <c r="N942" s="561">
        <v>21.153581620000001</v>
      </c>
      <c r="O942" s="561">
        <v>92.250885010000005</v>
      </c>
      <c r="P942" s="413" t="s">
        <v>797</v>
      </c>
      <c r="Q942" s="413"/>
      <c r="R942" s="568"/>
      <c r="S942" s="569"/>
      <c r="T942" s="416">
        <v>43294</v>
      </c>
      <c r="U942" s="415" t="s">
        <v>2011</v>
      </c>
      <c r="V942" s="413"/>
      <c r="W942" s="435"/>
      <c r="X942" s="17"/>
      <c r="Z942" s="17"/>
    </row>
    <row r="943" spans="1:26" ht="14.25" customHeight="1">
      <c r="A943" s="435" t="s">
        <v>2686</v>
      </c>
      <c r="B943" s="597" t="s">
        <v>307</v>
      </c>
      <c r="C943" s="450" t="s">
        <v>2054</v>
      </c>
      <c r="D943" s="478"/>
      <c r="E943" s="566">
        <v>197957</v>
      </c>
      <c r="F943" s="566"/>
      <c r="G943" s="566"/>
      <c r="H943" s="566"/>
      <c r="I943" s="566"/>
      <c r="J943" s="566" t="s">
        <v>796</v>
      </c>
      <c r="K943" s="566" t="s">
        <v>796</v>
      </c>
      <c r="L943" s="566" t="s">
        <v>796</v>
      </c>
      <c r="M943" s="566" t="s">
        <v>793</v>
      </c>
      <c r="N943" s="566">
        <v>20.900329589999998</v>
      </c>
      <c r="O943" s="566">
        <v>92.362213130000001</v>
      </c>
      <c r="P943" s="413" t="s">
        <v>797</v>
      </c>
      <c r="Q943" s="566"/>
      <c r="R943" s="577"/>
      <c r="S943" s="573"/>
      <c r="T943" s="589">
        <v>43300</v>
      </c>
      <c r="U943" s="574"/>
      <c r="V943" s="566"/>
      <c r="W943" s="435"/>
      <c r="X943" s="17"/>
      <c r="Z943" s="17"/>
    </row>
    <row r="944" spans="1:26" ht="14.25" customHeight="1">
      <c r="A944" s="435" t="s">
        <v>2686</v>
      </c>
      <c r="B944" s="451" t="s">
        <v>307</v>
      </c>
      <c r="C944" s="450" t="s">
        <v>689</v>
      </c>
      <c r="D944" s="477" t="s">
        <v>1664</v>
      </c>
      <c r="E944" s="413">
        <v>220722</v>
      </c>
      <c r="F944" s="561"/>
      <c r="G944" s="413"/>
      <c r="H944" s="413"/>
      <c r="I944" s="413"/>
      <c r="J944" s="413" t="s">
        <v>796</v>
      </c>
      <c r="K944" s="413" t="s">
        <v>796</v>
      </c>
      <c r="L944" s="413" t="s">
        <v>796</v>
      </c>
      <c r="M944" s="413" t="s">
        <v>793</v>
      </c>
      <c r="N944" s="561">
        <v>21.200752260000002</v>
      </c>
      <c r="O944" s="561">
        <v>92.309303279999995</v>
      </c>
      <c r="P944" s="561" t="s">
        <v>797</v>
      </c>
      <c r="Q944" s="413" t="s">
        <v>778</v>
      </c>
      <c r="R944" s="438"/>
      <c r="S944" s="439"/>
      <c r="T944" s="416"/>
      <c r="U944" s="415"/>
      <c r="V944" s="413" t="s">
        <v>957</v>
      </c>
      <c r="W944" s="435"/>
      <c r="X944" s="17"/>
      <c r="Z944" s="17"/>
    </row>
    <row r="945" spans="1:26" ht="14.25" customHeight="1">
      <c r="A945" s="435" t="s">
        <v>2686</v>
      </c>
      <c r="B945" s="597" t="s">
        <v>307</v>
      </c>
      <c r="C945" s="598" t="s">
        <v>624</v>
      </c>
      <c r="D945" s="567" t="s">
        <v>1664</v>
      </c>
      <c r="E945" s="413" t="s">
        <v>1408</v>
      </c>
      <c r="F945" s="561"/>
      <c r="G945" s="413"/>
      <c r="H945" s="413" t="s">
        <v>41</v>
      </c>
      <c r="I945" s="413"/>
      <c r="J945" s="413" t="s">
        <v>796</v>
      </c>
      <c r="K945" s="413" t="s">
        <v>796</v>
      </c>
      <c r="L945" s="413" t="s">
        <v>1664</v>
      </c>
      <c r="M945" s="413" t="s">
        <v>793</v>
      </c>
      <c r="N945" s="413">
        <v>20.824517</v>
      </c>
      <c r="O945" s="413">
        <v>92.401293999999993</v>
      </c>
      <c r="P945" s="413" t="s">
        <v>797</v>
      </c>
      <c r="Q945" s="413"/>
      <c r="R945" s="576"/>
      <c r="S945" s="414"/>
      <c r="T945" s="416">
        <v>43248</v>
      </c>
      <c r="U945" s="415" t="s">
        <v>1908</v>
      </c>
      <c r="V945" s="413" t="s">
        <v>939</v>
      </c>
      <c r="W945" s="561"/>
      <c r="X945" s="17"/>
      <c r="Z945" s="17"/>
    </row>
    <row r="946" spans="1:26" ht="14.25" customHeight="1">
      <c r="A946" s="435" t="s">
        <v>2686</v>
      </c>
      <c r="B946" s="597" t="s">
        <v>307</v>
      </c>
      <c r="C946" s="598" t="s">
        <v>2056</v>
      </c>
      <c r="D946" s="567"/>
      <c r="E946" s="413">
        <v>197951</v>
      </c>
      <c r="F946" s="561"/>
      <c r="G946" s="413"/>
      <c r="H946" s="413"/>
      <c r="I946" s="413"/>
      <c r="J946" s="413" t="s">
        <v>796</v>
      </c>
      <c r="K946" s="413" t="s">
        <v>796</v>
      </c>
      <c r="L946" s="413" t="s">
        <v>796</v>
      </c>
      <c r="M946" s="413" t="s">
        <v>793</v>
      </c>
      <c r="N946" s="413">
        <v>20.905330660000001</v>
      </c>
      <c r="O946" s="413">
        <v>92.344802860000001</v>
      </c>
      <c r="P946" s="413" t="s">
        <v>797</v>
      </c>
      <c r="Q946" s="413"/>
      <c r="R946" s="576"/>
      <c r="S946" s="414"/>
      <c r="T946" s="416">
        <v>43300</v>
      </c>
      <c r="U946" s="415"/>
      <c r="V946" s="413"/>
      <c r="W946" s="561"/>
      <c r="X946" s="17"/>
      <c r="Z946" s="17"/>
    </row>
    <row r="947" spans="1:26" ht="14.25" customHeight="1">
      <c r="A947" s="561" t="s">
        <v>2686</v>
      </c>
      <c r="B947" s="597" t="s">
        <v>307</v>
      </c>
      <c r="C947" s="598" t="s">
        <v>2057</v>
      </c>
      <c r="D947" s="567"/>
      <c r="E947" s="413">
        <v>197952</v>
      </c>
      <c r="F947" s="561"/>
      <c r="G947" s="561"/>
      <c r="H947" s="561"/>
      <c r="I947" s="561"/>
      <c r="J947" s="413" t="s">
        <v>796</v>
      </c>
      <c r="K947" s="413" t="s">
        <v>796</v>
      </c>
      <c r="L947" s="413" t="s">
        <v>796</v>
      </c>
      <c r="M947" s="413" t="s">
        <v>793</v>
      </c>
      <c r="N947" s="413">
        <v>20.90098953</v>
      </c>
      <c r="O947" s="413">
        <v>92.355827329999997</v>
      </c>
      <c r="P947" s="413" t="s">
        <v>797</v>
      </c>
      <c r="Q947" s="561"/>
      <c r="R947" s="576"/>
      <c r="S947" s="569"/>
      <c r="T947" s="588">
        <v>43300</v>
      </c>
      <c r="U947" s="570"/>
      <c r="V947" s="413"/>
      <c r="W947" s="561"/>
      <c r="X947" s="17"/>
      <c r="Z947" s="17"/>
    </row>
    <row r="948" spans="1:26" ht="14.25" customHeight="1">
      <c r="A948" s="435" t="s">
        <v>2686</v>
      </c>
      <c r="B948" s="451" t="s">
        <v>307</v>
      </c>
      <c r="C948" s="450" t="s">
        <v>688</v>
      </c>
      <c r="D948" s="477" t="s">
        <v>1664</v>
      </c>
      <c r="E948" s="435">
        <v>197839</v>
      </c>
      <c r="F948" s="413"/>
      <c r="G948" s="413"/>
      <c r="H948" s="413"/>
      <c r="I948" s="413"/>
      <c r="J948" s="413" t="s">
        <v>796</v>
      </c>
      <c r="K948" s="435" t="s">
        <v>796</v>
      </c>
      <c r="L948" s="435" t="s">
        <v>796</v>
      </c>
      <c r="M948" s="413" t="s">
        <v>793</v>
      </c>
      <c r="N948" s="561">
        <v>21.18890953</v>
      </c>
      <c r="O948" s="561">
        <v>92.306762699999993</v>
      </c>
      <c r="P948" s="561" t="s">
        <v>797</v>
      </c>
      <c r="Q948" s="413" t="s">
        <v>778</v>
      </c>
      <c r="R948" s="438"/>
      <c r="S948" s="414"/>
      <c r="T948" s="416"/>
      <c r="U948" s="415"/>
      <c r="V948" s="413" t="s">
        <v>956</v>
      </c>
      <c r="W948" s="561"/>
      <c r="X948" s="17"/>
      <c r="Z948" s="17"/>
    </row>
    <row r="949" spans="1:26" ht="14.25" customHeight="1">
      <c r="A949" s="435" t="s">
        <v>2686</v>
      </c>
      <c r="B949" s="451" t="s">
        <v>307</v>
      </c>
      <c r="C949" s="450" t="s">
        <v>2072</v>
      </c>
      <c r="D949" s="477"/>
      <c r="E949" s="435"/>
      <c r="F949" s="435"/>
      <c r="G949" s="435"/>
      <c r="H949" s="413"/>
      <c r="I949" s="413"/>
      <c r="J949" s="413" t="s">
        <v>796</v>
      </c>
      <c r="K949" s="435" t="s">
        <v>796</v>
      </c>
      <c r="L949" s="435" t="s">
        <v>796</v>
      </c>
      <c r="M949" s="413" t="s">
        <v>2085</v>
      </c>
      <c r="N949" s="561"/>
      <c r="O949" s="561"/>
      <c r="P949" s="561" t="s">
        <v>797</v>
      </c>
      <c r="Q949" s="413"/>
      <c r="R949" s="568"/>
      <c r="S949" s="569"/>
      <c r="T949" s="416">
        <v>43300</v>
      </c>
      <c r="U949" s="440"/>
      <c r="V949" s="435"/>
      <c r="W949" s="561"/>
      <c r="X949" s="17"/>
      <c r="Z949" s="17"/>
    </row>
    <row r="950" spans="1:26" ht="14.25" customHeight="1">
      <c r="A950" s="435" t="s">
        <v>2686</v>
      </c>
      <c r="B950" s="451" t="s">
        <v>307</v>
      </c>
      <c r="C950" s="450" t="s">
        <v>2744</v>
      </c>
      <c r="D950" s="477"/>
      <c r="E950" s="561">
        <v>198101</v>
      </c>
      <c r="F950" s="413"/>
      <c r="G950" s="413"/>
      <c r="H950" s="413"/>
      <c r="I950" s="413"/>
      <c r="J950" s="413" t="s">
        <v>796</v>
      </c>
      <c r="K950" s="413" t="s">
        <v>796</v>
      </c>
      <c r="L950" s="413" t="s">
        <v>796</v>
      </c>
      <c r="M950" s="413" t="s">
        <v>2087</v>
      </c>
      <c r="N950" s="413">
        <v>21.177719119999999</v>
      </c>
      <c r="O950" s="413">
        <v>92.239547729999998</v>
      </c>
      <c r="P950" s="561" t="s">
        <v>797</v>
      </c>
      <c r="Q950" s="413"/>
      <c r="R950" s="572"/>
      <c r="S950" s="573"/>
      <c r="T950" s="416">
        <v>43300</v>
      </c>
      <c r="U950" s="415"/>
      <c r="V950" s="435"/>
      <c r="W950" s="561"/>
      <c r="X950" s="17"/>
      <c r="Z950" s="17"/>
    </row>
    <row r="951" spans="1:26" ht="14.25" customHeight="1">
      <c r="A951" s="561" t="s">
        <v>2686</v>
      </c>
      <c r="B951" s="586" t="s">
        <v>307</v>
      </c>
      <c r="C951" s="585" t="s">
        <v>2012</v>
      </c>
      <c r="D951" s="477"/>
      <c r="E951" s="413">
        <v>198101</v>
      </c>
      <c r="F951" s="413" t="s">
        <v>2014</v>
      </c>
      <c r="G951" s="413"/>
      <c r="H951" s="413"/>
      <c r="I951" s="413"/>
      <c r="J951" s="413" t="s">
        <v>796</v>
      </c>
      <c r="K951" s="413" t="s">
        <v>796</v>
      </c>
      <c r="L951" s="413" t="s">
        <v>796</v>
      </c>
      <c r="M951" s="413" t="s">
        <v>296</v>
      </c>
      <c r="N951" s="435">
        <v>21.177719119999999</v>
      </c>
      <c r="O951" s="435">
        <v>92.239547729999998</v>
      </c>
      <c r="P951" s="413" t="s">
        <v>797</v>
      </c>
      <c r="Q951" s="413"/>
      <c r="R951" s="568"/>
      <c r="S951" s="414"/>
      <c r="T951" s="416">
        <v>43294</v>
      </c>
      <c r="U951" s="570" t="s">
        <v>2011</v>
      </c>
      <c r="V951" s="585"/>
      <c r="W951" s="561"/>
      <c r="X951" s="17"/>
      <c r="Z951" s="17"/>
    </row>
    <row r="952" spans="1:26" ht="14.25" customHeight="1">
      <c r="A952" s="435" t="s">
        <v>2686</v>
      </c>
      <c r="B952" s="451" t="s">
        <v>307</v>
      </c>
      <c r="C952" s="450" t="s">
        <v>347</v>
      </c>
      <c r="D952" s="477" t="s">
        <v>1664</v>
      </c>
      <c r="E952" s="435"/>
      <c r="F952" s="435"/>
      <c r="G952" s="435"/>
      <c r="H952" s="435"/>
      <c r="I952" s="435"/>
      <c r="J952" s="413" t="s">
        <v>796</v>
      </c>
      <c r="K952" s="435" t="s">
        <v>796</v>
      </c>
      <c r="L952" s="435" t="s">
        <v>796</v>
      </c>
      <c r="M952" s="413" t="s">
        <v>296</v>
      </c>
      <c r="N952" s="435"/>
      <c r="O952" s="435"/>
      <c r="P952" s="413" t="s">
        <v>797</v>
      </c>
      <c r="Q952" s="413" t="s">
        <v>778</v>
      </c>
      <c r="R952" s="438"/>
      <c r="S952" s="439"/>
      <c r="T952" s="416"/>
      <c r="U952" s="440"/>
      <c r="V952" s="561" t="s">
        <v>347</v>
      </c>
      <c r="W952" s="561"/>
      <c r="X952" s="17"/>
      <c r="Z952" s="17"/>
    </row>
    <row r="953" spans="1:26" ht="14.25" customHeight="1">
      <c r="A953" s="435" t="s">
        <v>2686</v>
      </c>
      <c r="B953" s="451" t="s">
        <v>307</v>
      </c>
      <c r="C953" s="450" t="s">
        <v>348</v>
      </c>
      <c r="D953" s="477" t="s">
        <v>1664</v>
      </c>
      <c r="E953" s="413"/>
      <c r="F953" s="413"/>
      <c r="G953" s="413"/>
      <c r="H953" s="435"/>
      <c r="I953" s="413"/>
      <c r="J953" s="413" t="s">
        <v>796</v>
      </c>
      <c r="K953" s="413" t="s">
        <v>796</v>
      </c>
      <c r="L953" s="413" t="s">
        <v>796</v>
      </c>
      <c r="M953" s="413" t="s">
        <v>793</v>
      </c>
      <c r="N953" s="435"/>
      <c r="O953" s="435"/>
      <c r="P953" s="413" t="s">
        <v>797</v>
      </c>
      <c r="Q953" s="413" t="s">
        <v>778</v>
      </c>
      <c r="R953" s="438"/>
      <c r="S953" s="439"/>
      <c r="T953" s="416"/>
      <c r="U953" s="415"/>
      <c r="V953" s="413" t="s">
        <v>348</v>
      </c>
      <c r="W953" s="561"/>
      <c r="X953" s="17"/>
      <c r="Z953" s="17"/>
    </row>
    <row r="954" spans="1:26" ht="14.25" customHeight="1">
      <c r="A954" s="561" t="s">
        <v>2686</v>
      </c>
      <c r="B954" s="586" t="s">
        <v>307</v>
      </c>
      <c r="C954" s="585" t="s">
        <v>349</v>
      </c>
      <c r="D954" s="477" t="s">
        <v>1664</v>
      </c>
      <c r="E954" s="413"/>
      <c r="F954" s="561"/>
      <c r="G954" s="413"/>
      <c r="H954" s="413"/>
      <c r="I954" s="413"/>
      <c r="J954" s="413" t="s">
        <v>796</v>
      </c>
      <c r="K954" s="413" t="s">
        <v>796</v>
      </c>
      <c r="L954" s="413" t="s">
        <v>796</v>
      </c>
      <c r="M954" s="413" t="s">
        <v>793</v>
      </c>
      <c r="N954" s="561"/>
      <c r="O954" s="561"/>
      <c r="P954" s="561" t="s">
        <v>797</v>
      </c>
      <c r="Q954" s="413" t="s">
        <v>778</v>
      </c>
      <c r="R954" s="568"/>
      <c r="S954" s="414"/>
      <c r="T954" s="416"/>
      <c r="U954" s="570"/>
      <c r="V954" s="413" t="s">
        <v>349</v>
      </c>
      <c r="W954" s="561"/>
      <c r="X954" s="17"/>
      <c r="Z954" s="17"/>
    </row>
    <row r="955" spans="1:26" ht="14.25" customHeight="1">
      <c r="A955" s="561" t="s">
        <v>2686</v>
      </c>
      <c r="B955" s="586" t="s">
        <v>307</v>
      </c>
      <c r="C955" s="585" t="s">
        <v>2106</v>
      </c>
      <c r="D955" s="477"/>
      <c r="E955" s="561">
        <v>197825</v>
      </c>
      <c r="F955" s="561"/>
      <c r="G955" s="561"/>
      <c r="H955" s="561"/>
      <c r="I955" s="561"/>
      <c r="J955" s="561" t="s">
        <v>796</v>
      </c>
      <c r="K955" s="561" t="s">
        <v>796</v>
      </c>
      <c r="L955" s="561" t="s">
        <v>796</v>
      </c>
      <c r="M955" s="561" t="s">
        <v>2090</v>
      </c>
      <c r="N955" s="561">
        <v>21.239080430000001</v>
      </c>
      <c r="O955" s="561">
        <v>92.288932799999998</v>
      </c>
      <c r="P955" s="561" t="s">
        <v>797</v>
      </c>
      <c r="Q955" s="561"/>
      <c r="R955" s="568"/>
      <c r="S955" s="569"/>
      <c r="T955" s="588">
        <v>43300</v>
      </c>
      <c r="U955" s="570"/>
      <c r="V955" s="561"/>
      <c r="W955" s="561"/>
      <c r="X955" s="17"/>
      <c r="Z955" s="17"/>
    </row>
    <row r="956" spans="1:26" ht="14.25" customHeight="1">
      <c r="A956" s="561" t="s">
        <v>2686</v>
      </c>
      <c r="B956" s="586" t="s">
        <v>307</v>
      </c>
      <c r="C956" s="585" t="s">
        <v>350</v>
      </c>
      <c r="D956" s="477" t="s">
        <v>1664</v>
      </c>
      <c r="E956" s="561">
        <v>197826</v>
      </c>
      <c r="F956" s="561"/>
      <c r="G956" s="561"/>
      <c r="H956" s="561"/>
      <c r="I956" s="561"/>
      <c r="J956" s="561" t="s">
        <v>796</v>
      </c>
      <c r="K956" s="561" t="s">
        <v>796</v>
      </c>
      <c r="L956" s="561" t="s">
        <v>796</v>
      </c>
      <c r="M956" s="561" t="s">
        <v>2006</v>
      </c>
      <c r="N956" s="580"/>
      <c r="O956" s="580"/>
      <c r="P956" s="561" t="s">
        <v>797</v>
      </c>
      <c r="Q956" s="561" t="s">
        <v>778</v>
      </c>
      <c r="R956" s="568"/>
      <c r="S956" s="569"/>
      <c r="T956" s="588"/>
      <c r="U956" s="570"/>
      <c r="V956" s="561" t="s">
        <v>1145</v>
      </c>
      <c r="W956" s="561"/>
      <c r="X956" s="17"/>
      <c r="Z956" s="17"/>
    </row>
    <row r="957" spans="1:26" ht="14.25" customHeight="1">
      <c r="A957" s="561" t="s">
        <v>2686</v>
      </c>
      <c r="B957" s="586" t="s">
        <v>307</v>
      </c>
      <c r="C957" s="585" t="s">
        <v>2082</v>
      </c>
      <c r="D957" s="477"/>
      <c r="E957" s="561">
        <v>197930</v>
      </c>
      <c r="F957" s="561"/>
      <c r="G957" s="561"/>
      <c r="H957" s="561"/>
      <c r="I957" s="561"/>
      <c r="J957" s="435" t="s">
        <v>796</v>
      </c>
      <c r="K957" s="413" t="s">
        <v>796</v>
      </c>
      <c r="L957" s="413" t="s">
        <v>796</v>
      </c>
      <c r="M957" s="561" t="s">
        <v>793</v>
      </c>
      <c r="N957" s="561">
        <v>20.9400692</v>
      </c>
      <c r="O957" s="561">
        <v>92.337913510000007</v>
      </c>
      <c r="P957" s="413" t="s">
        <v>797</v>
      </c>
      <c r="Q957" s="561"/>
      <c r="R957" s="568"/>
      <c r="S957" s="569"/>
      <c r="T957" s="588">
        <v>43300</v>
      </c>
      <c r="U957" s="570"/>
      <c r="V957" s="561"/>
      <c r="W957" s="561"/>
      <c r="X957" s="17"/>
      <c r="Z957" s="17"/>
    </row>
    <row r="958" spans="1:26" ht="14.25" customHeight="1">
      <c r="A958" s="561" t="s">
        <v>2686</v>
      </c>
      <c r="B958" s="586" t="s">
        <v>307</v>
      </c>
      <c r="C958" s="585" t="s">
        <v>2100</v>
      </c>
      <c r="D958" s="477"/>
      <c r="E958" s="561">
        <v>220741</v>
      </c>
      <c r="F958" s="561"/>
      <c r="G958" s="561"/>
      <c r="H958" s="561"/>
      <c r="I958" s="561"/>
      <c r="J958" s="435" t="s">
        <v>796</v>
      </c>
      <c r="K958" s="413" t="s">
        <v>796</v>
      </c>
      <c r="L958" s="413" t="s">
        <v>796</v>
      </c>
      <c r="M958" s="561" t="s">
        <v>296</v>
      </c>
      <c r="N958" s="561">
        <v>20.680984500000001</v>
      </c>
      <c r="O958" s="561">
        <v>92.473495479999997</v>
      </c>
      <c r="P958" s="413" t="s">
        <v>797</v>
      </c>
      <c r="Q958" s="561"/>
      <c r="R958" s="568"/>
      <c r="S958" s="569"/>
      <c r="T958" s="588">
        <v>43300</v>
      </c>
      <c r="U958" s="570"/>
      <c r="V958" s="566"/>
      <c r="W958" s="561"/>
      <c r="X958" s="17"/>
      <c r="Z958" s="17"/>
    </row>
    <row r="959" spans="1:26" ht="14.25" customHeight="1">
      <c r="A959" s="561" t="s">
        <v>2686</v>
      </c>
      <c r="B959" s="586" t="s">
        <v>307</v>
      </c>
      <c r="C959" s="585" t="s">
        <v>353</v>
      </c>
      <c r="D959" s="477" t="s">
        <v>1664</v>
      </c>
      <c r="E959" s="413"/>
      <c r="F959" s="413"/>
      <c r="G959" s="413"/>
      <c r="H959" s="413"/>
      <c r="I959" s="435"/>
      <c r="J959" s="413" t="s">
        <v>796</v>
      </c>
      <c r="K959" s="413" t="s">
        <v>796</v>
      </c>
      <c r="L959" s="413" t="s">
        <v>796</v>
      </c>
      <c r="M959" s="413" t="s">
        <v>296</v>
      </c>
      <c r="N959" s="435"/>
      <c r="O959" s="435"/>
      <c r="P959" s="413" t="s">
        <v>797</v>
      </c>
      <c r="Q959" s="413" t="s">
        <v>778</v>
      </c>
      <c r="R959" s="568"/>
      <c r="S959" s="439"/>
      <c r="T959" s="416"/>
      <c r="U959" s="570"/>
      <c r="V959" s="566" t="s">
        <v>353</v>
      </c>
      <c r="W959" s="561"/>
      <c r="X959" s="17"/>
      <c r="Z959" s="17"/>
    </row>
    <row r="960" spans="1:26" ht="14.25" customHeight="1">
      <c r="A960" s="435" t="s">
        <v>2686</v>
      </c>
      <c r="B960" s="451" t="s">
        <v>307</v>
      </c>
      <c r="C960" s="450" t="s">
        <v>2560</v>
      </c>
      <c r="D960" s="477"/>
      <c r="E960" s="561">
        <v>220736</v>
      </c>
      <c r="F960" s="413" t="s">
        <v>2674</v>
      </c>
      <c r="G960" s="413"/>
      <c r="H960" s="435"/>
      <c r="I960" s="435"/>
      <c r="J960" s="413" t="s">
        <v>796</v>
      </c>
      <c r="K960" s="435" t="s">
        <v>796</v>
      </c>
      <c r="L960" s="435" t="s">
        <v>796</v>
      </c>
      <c r="M960" s="413" t="s">
        <v>296</v>
      </c>
      <c r="N960" s="435"/>
      <c r="O960" s="435"/>
      <c r="P960" s="413" t="s">
        <v>797</v>
      </c>
      <c r="Q960" s="413"/>
      <c r="R960" s="438"/>
      <c r="S960" s="439"/>
      <c r="T960" s="416"/>
      <c r="U960" s="415"/>
      <c r="V960" s="413"/>
      <c r="W960" s="561"/>
      <c r="X960" s="17"/>
      <c r="Z960" s="17"/>
    </row>
    <row r="961" spans="1:26" ht="14.25" customHeight="1">
      <c r="A961" s="435" t="s">
        <v>2686</v>
      </c>
      <c r="B961" s="586" t="s">
        <v>307</v>
      </c>
      <c r="C961" s="585" t="s">
        <v>634</v>
      </c>
      <c r="D961" s="477" t="s">
        <v>1664</v>
      </c>
      <c r="E961" s="561" t="s">
        <v>1412</v>
      </c>
      <c r="F961" s="561"/>
      <c r="G961" s="561"/>
      <c r="H961" s="561" t="s">
        <v>41</v>
      </c>
      <c r="I961" s="561"/>
      <c r="J961" s="413" t="s">
        <v>796</v>
      </c>
      <c r="K961" s="413" t="s">
        <v>796</v>
      </c>
      <c r="L961" s="413" t="s">
        <v>1664</v>
      </c>
      <c r="M961" s="561" t="s">
        <v>793</v>
      </c>
      <c r="N961" s="561">
        <v>20.833831</v>
      </c>
      <c r="O961" s="561">
        <v>92.416683000000006</v>
      </c>
      <c r="P961" s="413" t="s">
        <v>797</v>
      </c>
      <c r="Q961" s="561" t="s">
        <v>778</v>
      </c>
      <c r="R961" s="568"/>
      <c r="S961" s="569"/>
      <c r="T961" s="588">
        <v>43248</v>
      </c>
      <c r="U961" s="570" t="s">
        <v>1908</v>
      </c>
      <c r="V961" s="561"/>
      <c r="W961" s="561"/>
      <c r="X961" s="17"/>
      <c r="Z961" s="17"/>
    </row>
    <row r="962" spans="1:26" ht="14.25" customHeight="1">
      <c r="A962" s="435" t="s">
        <v>2686</v>
      </c>
      <c r="B962" s="586" t="s">
        <v>307</v>
      </c>
      <c r="C962" s="585" t="s">
        <v>1148</v>
      </c>
      <c r="D962" s="477" t="s">
        <v>1664</v>
      </c>
      <c r="E962" s="561"/>
      <c r="F962" s="413"/>
      <c r="G962" s="413"/>
      <c r="H962" s="413"/>
      <c r="I962" s="413"/>
      <c r="J962" s="413" t="s">
        <v>796</v>
      </c>
      <c r="K962" s="413" t="s">
        <v>796</v>
      </c>
      <c r="L962" s="413" t="s">
        <v>796</v>
      </c>
      <c r="M962" s="413" t="s">
        <v>793</v>
      </c>
      <c r="N962" s="580"/>
      <c r="O962" s="580"/>
      <c r="P962" s="413" t="s">
        <v>797</v>
      </c>
      <c r="Q962" s="413"/>
      <c r="R962" s="568"/>
      <c r="S962" s="439"/>
      <c r="T962" s="416"/>
      <c r="U962" s="415"/>
      <c r="V962" s="413" t="s">
        <v>1148</v>
      </c>
      <c r="W962" s="561"/>
      <c r="X962" s="17"/>
      <c r="Z962" s="17"/>
    </row>
    <row r="963" spans="1:26" ht="14.25" customHeight="1">
      <c r="A963" s="489" t="s">
        <v>2686</v>
      </c>
      <c r="B963" s="490" t="s">
        <v>307</v>
      </c>
      <c r="C963" s="513" t="s">
        <v>2724</v>
      </c>
      <c r="D963" s="567"/>
      <c r="E963" s="491">
        <v>197860</v>
      </c>
      <c r="F963" s="491" t="s">
        <v>2724</v>
      </c>
      <c r="G963" s="491"/>
      <c r="H963" s="491"/>
      <c r="I963" s="491"/>
      <c r="J963" s="413" t="s">
        <v>796</v>
      </c>
      <c r="K963" s="413" t="s">
        <v>796</v>
      </c>
      <c r="L963" s="413" t="s">
        <v>796</v>
      </c>
      <c r="M963" s="491"/>
      <c r="N963" s="491">
        <v>21.1420993804932</v>
      </c>
      <c r="O963" s="491">
        <v>92.338172912597699</v>
      </c>
      <c r="P963" s="413" t="s">
        <v>797</v>
      </c>
      <c r="Q963" s="413" t="s">
        <v>3026</v>
      </c>
      <c r="R963" s="492"/>
      <c r="S963" s="489"/>
      <c r="T963" s="416">
        <v>43769</v>
      </c>
      <c r="U963" s="494"/>
      <c r="V963" s="495"/>
      <c r="W963" s="568"/>
      <c r="X963" s="17"/>
      <c r="Z963" s="17"/>
    </row>
    <row r="964" spans="1:26" ht="14.25" customHeight="1">
      <c r="A964" s="435" t="s">
        <v>2686</v>
      </c>
      <c r="B964" s="451" t="s">
        <v>307</v>
      </c>
      <c r="C964" s="450" t="s">
        <v>2097</v>
      </c>
      <c r="D964" s="477"/>
      <c r="E964" s="413">
        <v>197861</v>
      </c>
      <c r="F964" s="413"/>
      <c r="G964" s="413"/>
      <c r="H964" s="435"/>
      <c r="I964" s="435"/>
      <c r="J964" s="413" t="s">
        <v>796</v>
      </c>
      <c r="K964" s="413" t="s">
        <v>796</v>
      </c>
      <c r="L964" s="413" t="s">
        <v>796</v>
      </c>
      <c r="M964" s="413" t="s">
        <v>2085</v>
      </c>
      <c r="N964" s="561">
        <v>21.131010060000001</v>
      </c>
      <c r="O964" s="561">
        <v>92.354011540000002</v>
      </c>
      <c r="P964" s="413" t="s">
        <v>797</v>
      </c>
      <c r="Q964" s="413"/>
      <c r="R964" s="568"/>
      <c r="S964" s="569"/>
      <c r="T964" s="416">
        <v>43300</v>
      </c>
      <c r="U964" s="415"/>
      <c r="V964" s="413"/>
      <c r="W964" s="561"/>
      <c r="X964" s="17"/>
      <c r="Z964" s="17"/>
    </row>
    <row r="965" spans="1:26" ht="14.25" customHeight="1">
      <c r="A965" s="489" t="s">
        <v>2686</v>
      </c>
      <c r="B965" s="490" t="s">
        <v>307</v>
      </c>
      <c r="C965" s="513" t="s">
        <v>2722</v>
      </c>
      <c r="D965" s="567"/>
      <c r="E965" s="491">
        <v>197841</v>
      </c>
      <c r="F965" s="491" t="s">
        <v>2722</v>
      </c>
      <c r="G965" s="491"/>
      <c r="H965" s="491"/>
      <c r="I965" s="491"/>
      <c r="J965" s="413" t="s">
        <v>796</v>
      </c>
      <c r="K965" s="413" t="s">
        <v>796</v>
      </c>
      <c r="L965" s="413" t="s">
        <v>796</v>
      </c>
      <c r="M965" s="491"/>
      <c r="N965" s="491">
        <v>21.2080974578857</v>
      </c>
      <c r="O965" s="491">
        <v>92.308609008789105</v>
      </c>
      <c r="P965" s="413" t="s">
        <v>797</v>
      </c>
      <c r="Q965" s="491" t="s">
        <v>2663</v>
      </c>
      <c r="R965" s="492"/>
      <c r="S965" s="489"/>
      <c r="T965" s="493">
        <v>43580</v>
      </c>
      <c r="U965" s="494" t="s">
        <v>2713</v>
      </c>
      <c r="V965" s="495"/>
      <c r="W965" s="568"/>
      <c r="X965" s="17"/>
      <c r="Z965" s="17"/>
    </row>
    <row r="966" spans="1:26" ht="14.25" customHeight="1">
      <c r="A966" s="435" t="s">
        <v>2686</v>
      </c>
      <c r="B966" s="451" t="s">
        <v>307</v>
      </c>
      <c r="C966" s="450" t="s">
        <v>2102</v>
      </c>
      <c r="D966" s="477"/>
      <c r="E966" s="413">
        <v>197842</v>
      </c>
      <c r="F966" s="561"/>
      <c r="G966" s="413"/>
      <c r="H966" s="413"/>
      <c r="I966" s="413"/>
      <c r="J966" s="413" t="s">
        <v>796</v>
      </c>
      <c r="K966" s="413" t="s">
        <v>796</v>
      </c>
      <c r="L966" s="413" t="s">
        <v>796</v>
      </c>
      <c r="M966" s="413" t="s">
        <v>2087</v>
      </c>
      <c r="N966" s="561">
        <v>21.210039139999999</v>
      </c>
      <c r="O966" s="561">
        <v>92.297286990000003</v>
      </c>
      <c r="P966" s="561" t="s">
        <v>797</v>
      </c>
      <c r="Q966" s="413"/>
      <c r="R966" s="438"/>
      <c r="S966" s="569"/>
      <c r="T966" s="416">
        <v>43300</v>
      </c>
      <c r="U966" s="415"/>
      <c r="V966" s="413"/>
      <c r="W966" s="561"/>
      <c r="X966" s="17"/>
      <c r="Z966" s="17"/>
    </row>
    <row r="967" spans="1:26" ht="14.25" customHeight="1">
      <c r="A967" s="435" t="s">
        <v>2686</v>
      </c>
      <c r="B967" s="451" t="s">
        <v>307</v>
      </c>
      <c r="C967" s="450" t="s">
        <v>684</v>
      </c>
      <c r="D967" s="477" t="s">
        <v>1664</v>
      </c>
      <c r="E967" s="413">
        <v>197867</v>
      </c>
      <c r="F967" s="561"/>
      <c r="G967" s="413"/>
      <c r="H967" s="435"/>
      <c r="I967" s="435"/>
      <c r="J967" s="413" t="s">
        <v>796</v>
      </c>
      <c r="K967" s="413" t="s">
        <v>796</v>
      </c>
      <c r="L967" s="413" t="s">
        <v>796</v>
      </c>
      <c r="M967" s="413" t="s">
        <v>793</v>
      </c>
      <c r="N967" s="435">
        <v>21.057630540000002</v>
      </c>
      <c r="O967" s="435">
        <v>92.340232850000007</v>
      </c>
      <c r="P967" s="413" t="s">
        <v>797</v>
      </c>
      <c r="Q967" s="413" t="s">
        <v>778</v>
      </c>
      <c r="R967" s="568"/>
      <c r="S967" s="569"/>
      <c r="T967" s="416"/>
      <c r="U967" s="415"/>
      <c r="V967" s="435" t="s">
        <v>684</v>
      </c>
      <c r="W967" s="561"/>
      <c r="X967" s="17"/>
      <c r="Z967" s="17"/>
    </row>
    <row r="968" spans="1:26" ht="14.25" customHeight="1">
      <c r="A968" s="561" t="s">
        <v>2686</v>
      </c>
      <c r="B968" s="586" t="s">
        <v>307</v>
      </c>
      <c r="C968" s="585" t="s">
        <v>675</v>
      </c>
      <c r="D968" s="477" t="s">
        <v>1664</v>
      </c>
      <c r="E968" s="566">
        <v>197893</v>
      </c>
      <c r="F968" s="561"/>
      <c r="G968" s="561"/>
      <c r="H968" s="561"/>
      <c r="I968" s="561"/>
      <c r="J968" s="413" t="s">
        <v>796</v>
      </c>
      <c r="K968" s="413" t="s">
        <v>796</v>
      </c>
      <c r="L968" s="413" t="s">
        <v>796</v>
      </c>
      <c r="M968" s="413" t="s">
        <v>296</v>
      </c>
      <c r="N968" s="435">
        <v>21.009420389999999</v>
      </c>
      <c r="O968" s="435">
        <v>92.318077090000003</v>
      </c>
      <c r="P968" s="413" t="s">
        <v>797</v>
      </c>
      <c r="Q968" s="561" t="s">
        <v>800</v>
      </c>
      <c r="R968" s="568"/>
      <c r="S968" s="569"/>
      <c r="T968" s="588">
        <v>42926</v>
      </c>
      <c r="U968" s="570" t="s">
        <v>801</v>
      </c>
      <c r="V968" s="413"/>
      <c r="W968" s="561"/>
      <c r="X968" s="17"/>
      <c r="Z968" s="17"/>
    </row>
    <row r="969" spans="1:26" ht="14.25" customHeight="1">
      <c r="A969" s="561" t="s">
        <v>2686</v>
      </c>
      <c r="B969" s="586" t="s">
        <v>307</v>
      </c>
      <c r="C969" s="585" t="s">
        <v>625</v>
      </c>
      <c r="D969" s="477" t="s">
        <v>1664</v>
      </c>
      <c r="E969" s="566">
        <v>197990</v>
      </c>
      <c r="F969" s="561"/>
      <c r="G969" s="561"/>
      <c r="H969" s="561"/>
      <c r="I969" s="561"/>
      <c r="J969" s="413" t="s">
        <v>796</v>
      </c>
      <c r="K969" s="413" t="s">
        <v>796</v>
      </c>
      <c r="L969" s="413" t="s">
        <v>796</v>
      </c>
      <c r="M969" s="561" t="s">
        <v>793</v>
      </c>
      <c r="N969" s="580">
        <v>20.824769969999998</v>
      </c>
      <c r="O969" s="580">
        <v>92.398788449999998</v>
      </c>
      <c r="P969" s="413" t="s">
        <v>797</v>
      </c>
      <c r="Q969" s="561" t="s">
        <v>778</v>
      </c>
      <c r="R969" s="568"/>
      <c r="S969" s="569"/>
      <c r="T969" s="588"/>
      <c r="U969" s="570"/>
      <c r="V969" s="561" t="s">
        <v>940</v>
      </c>
      <c r="W969" s="561"/>
      <c r="X969" s="17"/>
      <c r="Z969" s="17"/>
    </row>
    <row r="970" spans="1:26" ht="14.25" customHeight="1">
      <c r="A970" s="435" t="s">
        <v>2686</v>
      </c>
      <c r="B970" s="586" t="s">
        <v>307</v>
      </c>
      <c r="C970" s="585" t="s">
        <v>626</v>
      </c>
      <c r="D970" s="477" t="s">
        <v>1664</v>
      </c>
      <c r="E970" s="413">
        <v>197990</v>
      </c>
      <c r="F970" s="413"/>
      <c r="G970" s="413"/>
      <c r="H970" s="413"/>
      <c r="I970" s="561"/>
      <c r="J970" s="413" t="s">
        <v>796</v>
      </c>
      <c r="K970" s="413" t="s">
        <v>796</v>
      </c>
      <c r="L970" s="561" t="s">
        <v>796</v>
      </c>
      <c r="M970" s="413" t="s">
        <v>793</v>
      </c>
      <c r="N970" s="580">
        <v>20.824769969999998</v>
      </c>
      <c r="O970" s="580">
        <v>92.398788449999998</v>
      </c>
      <c r="P970" s="413" t="s">
        <v>797</v>
      </c>
      <c r="Q970" s="413" t="s">
        <v>778</v>
      </c>
      <c r="R970" s="568"/>
      <c r="S970" s="569"/>
      <c r="T970" s="416"/>
      <c r="U970" s="415"/>
      <c r="V970" s="413" t="s">
        <v>940</v>
      </c>
      <c r="W970" s="561"/>
      <c r="X970" s="17"/>
      <c r="Z970" s="17"/>
    </row>
    <row r="971" spans="1:26" ht="14.25" customHeight="1">
      <c r="A971" s="435" t="s">
        <v>2686</v>
      </c>
      <c r="B971" s="586" t="s">
        <v>307</v>
      </c>
      <c r="C971" s="585" t="s">
        <v>354</v>
      </c>
      <c r="D971" s="477" t="s">
        <v>1664</v>
      </c>
      <c r="E971" s="561"/>
      <c r="F971" s="561"/>
      <c r="G971" s="561"/>
      <c r="H971" s="561"/>
      <c r="I971" s="561"/>
      <c r="J971" s="561" t="s">
        <v>796</v>
      </c>
      <c r="K971" s="561" t="s">
        <v>796</v>
      </c>
      <c r="L971" s="561" t="s">
        <v>796</v>
      </c>
      <c r="M971" s="561" t="s">
        <v>793</v>
      </c>
      <c r="N971" s="580"/>
      <c r="O971" s="580"/>
      <c r="P971" s="561" t="s">
        <v>797</v>
      </c>
      <c r="Q971" s="561" t="s">
        <v>778</v>
      </c>
      <c r="R971" s="568"/>
      <c r="S971" s="569"/>
      <c r="T971" s="588"/>
      <c r="U971" s="570"/>
      <c r="V971" s="561" t="s">
        <v>354</v>
      </c>
      <c r="W971" s="561"/>
      <c r="X971" s="17"/>
      <c r="Z971" s="17"/>
    </row>
    <row r="972" spans="1:26" ht="14.25" customHeight="1">
      <c r="A972" s="561" t="s">
        <v>2686</v>
      </c>
      <c r="B972" s="586" t="s">
        <v>307</v>
      </c>
      <c r="C972" s="585" t="s">
        <v>355</v>
      </c>
      <c r="D972" s="477" t="s">
        <v>1664</v>
      </c>
      <c r="E972" s="413"/>
      <c r="F972" s="413"/>
      <c r="G972" s="413"/>
      <c r="H972" s="435"/>
      <c r="I972" s="435"/>
      <c r="J972" s="413" t="s">
        <v>796</v>
      </c>
      <c r="K972" s="413" t="s">
        <v>796</v>
      </c>
      <c r="L972" s="413" t="s">
        <v>796</v>
      </c>
      <c r="M972" s="413" t="s">
        <v>296</v>
      </c>
      <c r="N972" s="580"/>
      <c r="O972" s="580"/>
      <c r="P972" s="413" t="s">
        <v>797</v>
      </c>
      <c r="Q972" s="413" t="s">
        <v>778</v>
      </c>
      <c r="R972" s="568"/>
      <c r="S972" s="569"/>
      <c r="T972" s="416"/>
      <c r="U972" s="570"/>
      <c r="V972" s="561" t="s">
        <v>355</v>
      </c>
      <c r="W972" s="561"/>
      <c r="X972" s="17"/>
      <c r="Z972" s="17"/>
    </row>
    <row r="973" spans="1:26" ht="14.25" customHeight="1">
      <c r="A973" s="435" t="s">
        <v>2686</v>
      </c>
      <c r="B973" s="451" t="s">
        <v>307</v>
      </c>
      <c r="C973" s="450" t="s">
        <v>628</v>
      </c>
      <c r="D973" s="477" t="s">
        <v>1664</v>
      </c>
      <c r="E973" s="413" t="s">
        <v>1410</v>
      </c>
      <c r="F973" s="566"/>
      <c r="G973" s="413"/>
      <c r="H973" s="435" t="s">
        <v>41</v>
      </c>
      <c r="I973" s="435"/>
      <c r="J973" s="413" t="s">
        <v>796</v>
      </c>
      <c r="K973" s="413" t="s">
        <v>796</v>
      </c>
      <c r="L973" s="413" t="s">
        <v>1664</v>
      </c>
      <c r="M973" s="413" t="s">
        <v>793</v>
      </c>
      <c r="N973" s="580">
        <v>20.825306000000001</v>
      </c>
      <c r="O973" s="580">
        <v>92.367852999999997</v>
      </c>
      <c r="P973" s="413" t="s">
        <v>797</v>
      </c>
      <c r="Q973" s="413" t="s">
        <v>778</v>
      </c>
      <c r="R973" s="568"/>
      <c r="S973" s="569"/>
      <c r="T973" s="416">
        <v>43248</v>
      </c>
      <c r="U973" s="415" t="s">
        <v>1908</v>
      </c>
      <c r="V973" s="561"/>
      <c r="W973" s="561"/>
      <c r="X973" s="17"/>
      <c r="Z973" s="17"/>
    </row>
    <row r="974" spans="1:26" ht="14.25" customHeight="1">
      <c r="A974" s="435" t="s">
        <v>2686</v>
      </c>
      <c r="B974" s="451" t="s">
        <v>307</v>
      </c>
      <c r="C974" s="450" t="s">
        <v>613</v>
      </c>
      <c r="D974" s="477" t="s">
        <v>1664</v>
      </c>
      <c r="E974" s="413">
        <v>197996</v>
      </c>
      <c r="F974" s="594" t="s">
        <v>2060</v>
      </c>
      <c r="G974" s="413"/>
      <c r="H974" s="413"/>
      <c r="I974" s="435"/>
      <c r="J974" s="413" t="s">
        <v>796</v>
      </c>
      <c r="K974" s="413" t="s">
        <v>796</v>
      </c>
      <c r="L974" s="413" t="s">
        <v>796</v>
      </c>
      <c r="M974" s="413" t="s">
        <v>793</v>
      </c>
      <c r="N974" s="435">
        <v>20.805980680000001</v>
      </c>
      <c r="O974" s="435">
        <v>92.383308409999998</v>
      </c>
      <c r="P974" s="413" t="s">
        <v>797</v>
      </c>
      <c r="Q974" s="413" t="s">
        <v>778</v>
      </c>
      <c r="R974" s="568"/>
      <c r="S974" s="569"/>
      <c r="T974" s="416"/>
      <c r="U974" s="415"/>
      <c r="V974" s="413" t="s">
        <v>935</v>
      </c>
      <c r="W974" s="561"/>
      <c r="X974" s="17"/>
      <c r="Z974" s="17"/>
    </row>
    <row r="975" spans="1:26" ht="14.25" customHeight="1">
      <c r="A975" s="435" t="s">
        <v>2686</v>
      </c>
      <c r="B975" s="586" t="s">
        <v>307</v>
      </c>
      <c r="C975" s="585" t="s">
        <v>614</v>
      </c>
      <c r="D975" s="477" t="s">
        <v>1664</v>
      </c>
      <c r="E975" s="413">
        <v>197996</v>
      </c>
      <c r="F975" s="561"/>
      <c r="G975" s="413"/>
      <c r="H975" s="435"/>
      <c r="I975" s="435"/>
      <c r="J975" s="413" t="s">
        <v>796</v>
      </c>
      <c r="K975" s="413" t="s">
        <v>796</v>
      </c>
      <c r="L975" s="413" t="s">
        <v>796</v>
      </c>
      <c r="M975" s="413" t="s">
        <v>793</v>
      </c>
      <c r="N975" s="435">
        <v>20.805980680000001</v>
      </c>
      <c r="O975" s="435">
        <v>92.383308409999998</v>
      </c>
      <c r="P975" s="561" t="s">
        <v>797</v>
      </c>
      <c r="Q975" s="413" t="s">
        <v>778</v>
      </c>
      <c r="R975" s="568"/>
      <c r="S975" s="569"/>
      <c r="T975" s="416"/>
      <c r="U975" s="415"/>
      <c r="V975" s="413" t="s">
        <v>936</v>
      </c>
      <c r="W975" s="561"/>
      <c r="X975" s="17"/>
      <c r="Z975" s="17"/>
    </row>
    <row r="976" spans="1:26" ht="14.25" customHeight="1">
      <c r="A976" s="489" t="s">
        <v>2686</v>
      </c>
      <c r="B976" s="490" t="s">
        <v>307</v>
      </c>
      <c r="C976" s="513" t="s">
        <v>565</v>
      </c>
      <c r="D976" s="477" t="s">
        <v>1664</v>
      </c>
      <c r="E976" s="413">
        <v>198045</v>
      </c>
      <c r="F976" s="491"/>
      <c r="G976" s="491"/>
      <c r="H976" s="491"/>
      <c r="I976" s="491"/>
      <c r="J976" s="413" t="s">
        <v>796</v>
      </c>
      <c r="K976" s="413" t="s">
        <v>796</v>
      </c>
      <c r="L976" s="413" t="s">
        <v>796</v>
      </c>
      <c r="M976" s="413" t="s">
        <v>793</v>
      </c>
      <c r="N976" s="435">
        <v>20.71759033</v>
      </c>
      <c r="O976" s="435">
        <v>92.426422119999998</v>
      </c>
      <c r="P976" s="413" t="s">
        <v>797</v>
      </c>
      <c r="Q976" s="491" t="s">
        <v>2663</v>
      </c>
      <c r="R976" s="492"/>
      <c r="S976" s="489"/>
      <c r="T976" s="493">
        <v>43580</v>
      </c>
      <c r="U976" s="494" t="s">
        <v>2713</v>
      </c>
      <c r="V976" s="413" t="s">
        <v>565</v>
      </c>
      <c r="W976" s="438"/>
      <c r="X976" s="17"/>
      <c r="Z976" s="17"/>
    </row>
    <row r="977" spans="1:26" ht="14.25" customHeight="1">
      <c r="A977" s="435" t="s">
        <v>2686</v>
      </c>
      <c r="B977" s="451" t="s">
        <v>307</v>
      </c>
      <c r="C977" s="450" t="s">
        <v>2062</v>
      </c>
      <c r="D977" s="477"/>
      <c r="E977" s="413">
        <v>220744</v>
      </c>
      <c r="F977" s="413"/>
      <c r="G977" s="413"/>
      <c r="H977" s="435"/>
      <c r="I977" s="435"/>
      <c r="J977" s="413" t="s">
        <v>796</v>
      </c>
      <c r="K977" s="413" t="s">
        <v>796</v>
      </c>
      <c r="L977" s="435" t="s">
        <v>796</v>
      </c>
      <c r="M977" s="413" t="s">
        <v>296</v>
      </c>
      <c r="N977" s="435">
        <v>20.71612167</v>
      </c>
      <c r="O977" s="435">
        <v>92.442459110000001</v>
      </c>
      <c r="P977" s="413" t="s">
        <v>797</v>
      </c>
      <c r="Q977" s="413"/>
      <c r="R977" s="568"/>
      <c r="S977" s="569"/>
      <c r="T977" s="416">
        <v>43300</v>
      </c>
      <c r="U977" s="415"/>
      <c r="V977" s="413"/>
      <c r="W977" s="561"/>
      <c r="X977" s="17"/>
      <c r="Z977" s="17"/>
    </row>
    <row r="978" spans="1:26" ht="14.25" customHeight="1">
      <c r="A978" s="435" t="s">
        <v>2686</v>
      </c>
      <c r="B978" s="451" t="s">
        <v>307</v>
      </c>
      <c r="C978" s="450" t="s">
        <v>2063</v>
      </c>
      <c r="D978" s="477"/>
      <c r="E978" s="413"/>
      <c r="F978" s="561"/>
      <c r="G978" s="413"/>
      <c r="H978" s="435"/>
      <c r="I978" s="435"/>
      <c r="J978" s="413" t="s">
        <v>796</v>
      </c>
      <c r="K978" s="413" t="s">
        <v>796</v>
      </c>
      <c r="L978" s="435" t="s">
        <v>796</v>
      </c>
      <c r="M978" s="413" t="s">
        <v>2085</v>
      </c>
      <c r="N978" s="435"/>
      <c r="O978" s="435"/>
      <c r="P978" s="435" t="s">
        <v>797</v>
      </c>
      <c r="Q978" s="413"/>
      <c r="R978" s="568"/>
      <c r="S978" s="569"/>
      <c r="T978" s="416">
        <v>43300</v>
      </c>
      <c r="U978" s="415"/>
      <c r="V978" s="413"/>
      <c r="W978" s="561"/>
      <c r="X978" s="17"/>
      <c r="Z978" s="17"/>
    </row>
    <row r="979" spans="1:26" ht="14.25" customHeight="1">
      <c r="A979" s="435" t="s">
        <v>2686</v>
      </c>
      <c r="B979" s="451" t="s">
        <v>307</v>
      </c>
      <c r="C979" s="585" t="s">
        <v>906</v>
      </c>
      <c r="D979" s="477"/>
      <c r="E979" s="561">
        <v>197938</v>
      </c>
      <c r="F979" s="561"/>
      <c r="G979" s="413"/>
      <c r="H979" s="435"/>
      <c r="I979" s="561"/>
      <c r="J979" s="413" t="s">
        <v>796</v>
      </c>
      <c r="K979" s="413" t="s">
        <v>796</v>
      </c>
      <c r="L979" s="561" t="s">
        <v>796</v>
      </c>
      <c r="M979" s="413" t="s">
        <v>793</v>
      </c>
      <c r="N979" s="435">
        <v>20.84098053</v>
      </c>
      <c r="O979" s="435">
        <v>92.35720062</v>
      </c>
      <c r="P979" s="413" t="s">
        <v>797</v>
      </c>
      <c r="Q979" s="413"/>
      <c r="R979" s="568"/>
      <c r="S979" s="569"/>
      <c r="T979" s="416">
        <v>43300</v>
      </c>
      <c r="U979" s="415"/>
      <c r="V979" s="413"/>
      <c r="W979" s="561"/>
      <c r="X979" s="17"/>
      <c r="Z979" s="17"/>
    </row>
    <row r="980" spans="1:26" ht="14.25" customHeight="1">
      <c r="A980" s="561" t="s">
        <v>2686</v>
      </c>
      <c r="B980" s="586" t="s">
        <v>307</v>
      </c>
      <c r="C980" s="585" t="s">
        <v>3069</v>
      </c>
      <c r="D980" s="477"/>
      <c r="E980" s="561">
        <v>198033</v>
      </c>
      <c r="F980" s="566"/>
      <c r="G980" s="561"/>
      <c r="H980" s="561"/>
      <c r="I980" s="561"/>
      <c r="J980" s="561" t="s">
        <v>796</v>
      </c>
      <c r="K980" s="561" t="s">
        <v>796</v>
      </c>
      <c r="L980" s="561" t="s">
        <v>796</v>
      </c>
      <c r="M980" s="561"/>
      <c r="N980" s="561">
        <v>20.6845893859863</v>
      </c>
      <c r="O980" s="561">
        <v>92.443580627441406</v>
      </c>
      <c r="P980" s="561" t="s">
        <v>797</v>
      </c>
      <c r="Q980" s="561"/>
      <c r="R980" s="568"/>
      <c r="S980" s="569"/>
      <c r="T980" s="588">
        <v>43768</v>
      </c>
      <c r="U980" s="570"/>
      <c r="V980" s="561"/>
      <c r="W980" s="561"/>
      <c r="X980" s="17"/>
      <c r="Z980" s="17"/>
    </row>
    <row r="981" spans="1:26" ht="14.25" customHeight="1">
      <c r="A981" s="561" t="s">
        <v>2686</v>
      </c>
      <c r="B981" s="586" t="s">
        <v>307</v>
      </c>
      <c r="C981" s="585" t="s">
        <v>672</v>
      </c>
      <c r="D981" s="477" t="s">
        <v>1664</v>
      </c>
      <c r="E981" s="413">
        <v>197903</v>
      </c>
      <c r="F981" s="413"/>
      <c r="G981" s="413"/>
      <c r="H981" s="413"/>
      <c r="I981" s="413"/>
      <c r="J981" s="435" t="s">
        <v>796</v>
      </c>
      <c r="K981" s="435" t="s">
        <v>796</v>
      </c>
      <c r="L981" s="435" t="s">
        <v>796</v>
      </c>
      <c r="M981" s="413" t="s">
        <v>793</v>
      </c>
      <c r="N981" s="435">
        <v>21.000970840000001</v>
      </c>
      <c r="O981" s="435">
        <v>92.334213259999999</v>
      </c>
      <c r="P981" s="413" t="s">
        <v>797</v>
      </c>
      <c r="Q981" s="413" t="s">
        <v>800</v>
      </c>
      <c r="R981" s="568"/>
      <c r="S981" s="569"/>
      <c r="T981" s="416">
        <v>42926</v>
      </c>
      <c r="U981" s="570" t="s">
        <v>801</v>
      </c>
      <c r="V981" s="566"/>
      <c r="W981" s="561"/>
      <c r="X981" s="17"/>
      <c r="Z981" s="17"/>
    </row>
    <row r="982" spans="1:26" ht="14.25" customHeight="1">
      <c r="A982" s="435" t="s">
        <v>2686</v>
      </c>
      <c r="B982" s="451" t="s">
        <v>307</v>
      </c>
      <c r="C982" s="450" t="s">
        <v>530</v>
      </c>
      <c r="D982" s="477" t="s">
        <v>1664</v>
      </c>
      <c r="E982" s="413">
        <v>198026</v>
      </c>
      <c r="F982" s="435"/>
      <c r="G982" s="413"/>
      <c r="H982" s="413"/>
      <c r="I982" s="413"/>
      <c r="J982" s="413" t="s">
        <v>796</v>
      </c>
      <c r="K982" s="413" t="s">
        <v>796</v>
      </c>
      <c r="L982" s="413" t="s">
        <v>796</v>
      </c>
      <c r="M982" s="413" t="s">
        <v>793</v>
      </c>
      <c r="N982" s="435">
        <v>20.671619419999999</v>
      </c>
      <c r="O982" s="435">
        <v>92.473846440000003</v>
      </c>
      <c r="P982" s="413" t="s">
        <v>797</v>
      </c>
      <c r="Q982" s="413" t="s">
        <v>778</v>
      </c>
      <c r="R982" s="568"/>
      <c r="S982" s="569"/>
      <c r="T982" s="416"/>
      <c r="U982" s="415"/>
      <c r="V982" s="413" t="s">
        <v>923</v>
      </c>
      <c r="W982" s="561"/>
      <c r="X982" s="17"/>
      <c r="Z982" s="17"/>
    </row>
    <row r="983" spans="1:26" ht="14.25" customHeight="1">
      <c r="A983" s="435" t="s">
        <v>2686</v>
      </c>
      <c r="B983" s="451" t="s">
        <v>339</v>
      </c>
      <c r="C983" s="450" t="s">
        <v>497</v>
      </c>
      <c r="D983" s="477" t="s">
        <v>1664</v>
      </c>
      <c r="E983" s="413">
        <v>197602</v>
      </c>
      <c r="F983" s="561"/>
      <c r="G983" s="413"/>
      <c r="H983" s="413"/>
      <c r="I983" s="413"/>
      <c r="J983" s="413" t="s">
        <v>796</v>
      </c>
      <c r="K983" s="413" t="s">
        <v>796</v>
      </c>
      <c r="L983" s="413" t="s">
        <v>796</v>
      </c>
      <c r="M983" s="413" t="s">
        <v>793</v>
      </c>
      <c r="N983" s="435">
        <v>20.547620770000002</v>
      </c>
      <c r="O983" s="435">
        <v>92.671058650000006</v>
      </c>
      <c r="P983" s="413" t="s">
        <v>797</v>
      </c>
      <c r="Q983" s="413" t="s">
        <v>778</v>
      </c>
      <c r="R983" s="438"/>
      <c r="S983" s="569"/>
      <c r="T983" s="416"/>
      <c r="U983" s="415"/>
      <c r="V983" s="413" t="s">
        <v>497</v>
      </c>
      <c r="W983" s="438"/>
      <c r="X983" s="17"/>
      <c r="Z983" s="17"/>
    </row>
    <row r="984" spans="1:26" ht="14.25" customHeight="1">
      <c r="A984" s="561" t="s">
        <v>2686</v>
      </c>
      <c r="B984" s="597" t="s">
        <v>339</v>
      </c>
      <c r="C984" s="598" t="s">
        <v>503</v>
      </c>
      <c r="D984" s="567" t="s">
        <v>1664</v>
      </c>
      <c r="E984" s="413" t="s">
        <v>1395</v>
      </c>
      <c r="F984" s="594"/>
      <c r="G984" s="413"/>
      <c r="H984" s="435" t="s">
        <v>41</v>
      </c>
      <c r="I984" s="435"/>
      <c r="J984" s="413" t="s">
        <v>796</v>
      </c>
      <c r="K984" s="413" t="s">
        <v>796</v>
      </c>
      <c r="L984" s="413" t="s">
        <v>1664</v>
      </c>
      <c r="M984" s="413" t="s">
        <v>793</v>
      </c>
      <c r="N984" s="435">
        <v>20.569219</v>
      </c>
      <c r="O984" s="435">
        <v>92.640022000000002</v>
      </c>
      <c r="P984" s="413" t="s">
        <v>797</v>
      </c>
      <c r="Q984" s="413" t="s">
        <v>778</v>
      </c>
      <c r="R984" s="576"/>
      <c r="S984" s="569"/>
      <c r="T984" s="416"/>
      <c r="U984" s="570"/>
      <c r="V984" s="413" t="s">
        <v>503</v>
      </c>
      <c r="W984" s="438"/>
      <c r="X984" s="17"/>
      <c r="Z984" s="17"/>
    </row>
    <row r="985" spans="1:26" ht="14.25" customHeight="1">
      <c r="A985" s="561" t="s">
        <v>2686</v>
      </c>
      <c r="B985" s="586" t="s">
        <v>339</v>
      </c>
      <c r="C985" s="585" t="s">
        <v>500</v>
      </c>
      <c r="D985" s="477" t="s">
        <v>1664</v>
      </c>
      <c r="E985" s="435">
        <v>197593</v>
      </c>
      <c r="F985" s="435"/>
      <c r="G985" s="435"/>
      <c r="H985" s="435"/>
      <c r="I985" s="435"/>
      <c r="J985" s="413" t="s">
        <v>796</v>
      </c>
      <c r="K985" s="413" t="s">
        <v>796</v>
      </c>
      <c r="L985" s="413" t="s">
        <v>796</v>
      </c>
      <c r="M985" s="413" t="s">
        <v>793</v>
      </c>
      <c r="N985" s="435">
        <v>20.555610659999999</v>
      </c>
      <c r="O985" s="435">
        <v>92.643516539999993</v>
      </c>
      <c r="P985" s="413" t="s">
        <v>797</v>
      </c>
      <c r="Q985" s="413" t="s">
        <v>800</v>
      </c>
      <c r="R985" s="568"/>
      <c r="S985" s="569"/>
      <c r="T985" s="416">
        <v>42926</v>
      </c>
      <c r="U985" s="570" t="s">
        <v>801</v>
      </c>
      <c r="V985" s="413"/>
      <c r="W985" s="438"/>
      <c r="X985" s="17"/>
      <c r="Z985" s="17"/>
    </row>
    <row r="986" spans="1:26" ht="14.25" customHeight="1">
      <c r="A986" s="435" t="s">
        <v>2686</v>
      </c>
      <c r="B986" s="451" t="s">
        <v>339</v>
      </c>
      <c r="C986" s="450" t="s">
        <v>501</v>
      </c>
      <c r="D986" s="477" t="s">
        <v>1664</v>
      </c>
      <c r="E986" s="413">
        <v>197593</v>
      </c>
      <c r="F986" s="413"/>
      <c r="G986" s="413"/>
      <c r="H986" s="413"/>
      <c r="I986" s="413"/>
      <c r="J986" s="413" t="s">
        <v>796</v>
      </c>
      <c r="K986" s="413" t="s">
        <v>796</v>
      </c>
      <c r="L986" s="413" t="s">
        <v>796</v>
      </c>
      <c r="M986" s="413" t="s">
        <v>296</v>
      </c>
      <c r="N986" s="435">
        <v>20.555610659999999</v>
      </c>
      <c r="O986" s="435">
        <v>92.643516539999993</v>
      </c>
      <c r="P986" s="413" t="s">
        <v>797</v>
      </c>
      <c r="Q986" s="413" t="s">
        <v>778</v>
      </c>
      <c r="R986" s="568"/>
      <c r="S986" s="569"/>
      <c r="T986" s="416" t="s">
        <v>803</v>
      </c>
      <c r="U986" s="415"/>
      <c r="V986" s="413"/>
      <c r="W986" s="438"/>
      <c r="X986" s="17"/>
      <c r="Z986" s="17"/>
    </row>
    <row r="987" spans="1:26" ht="14.25" customHeight="1">
      <c r="A987" s="435" t="s">
        <v>2686</v>
      </c>
      <c r="B987" s="451" t="s">
        <v>339</v>
      </c>
      <c r="C987" s="450" t="s">
        <v>522</v>
      </c>
      <c r="D987" s="477" t="s">
        <v>1664</v>
      </c>
      <c r="E987" s="413">
        <v>197691</v>
      </c>
      <c r="F987" s="413"/>
      <c r="G987" s="413"/>
      <c r="H987" s="413"/>
      <c r="I987" s="413"/>
      <c r="J987" s="413" t="s">
        <v>796</v>
      </c>
      <c r="K987" s="413" t="s">
        <v>796</v>
      </c>
      <c r="L987" s="413" t="s">
        <v>796</v>
      </c>
      <c r="M987" s="413" t="s">
        <v>296</v>
      </c>
      <c r="N987" s="413">
        <v>20.65517998</v>
      </c>
      <c r="O987" s="413">
        <v>92.720321659999996</v>
      </c>
      <c r="P987" s="413" t="s">
        <v>797</v>
      </c>
      <c r="Q987" s="413" t="s">
        <v>778</v>
      </c>
      <c r="R987" s="572"/>
      <c r="S987" s="573"/>
      <c r="T987" s="416" t="s">
        <v>803</v>
      </c>
      <c r="U987" s="415"/>
      <c r="V987" s="413"/>
      <c r="W987" s="438"/>
      <c r="X987" s="17"/>
      <c r="Z987" s="17"/>
    </row>
    <row r="988" spans="1:26" ht="14.25" customHeight="1">
      <c r="A988" s="435" t="s">
        <v>2686</v>
      </c>
      <c r="B988" s="451" t="s">
        <v>339</v>
      </c>
      <c r="C988" s="450" t="s">
        <v>468</v>
      </c>
      <c r="D988" s="477" t="s">
        <v>2313</v>
      </c>
      <c r="E988" s="566" t="s">
        <v>1387</v>
      </c>
      <c r="F988" s="561" t="s">
        <v>468</v>
      </c>
      <c r="G988" s="413" t="s">
        <v>468</v>
      </c>
      <c r="H988" s="413"/>
      <c r="I988" s="435"/>
      <c r="J988" s="435" t="s">
        <v>796</v>
      </c>
      <c r="K988" s="435" t="s">
        <v>796</v>
      </c>
      <c r="L988" s="435" t="s">
        <v>881</v>
      </c>
      <c r="M988" s="413" t="s">
        <v>793</v>
      </c>
      <c r="N988" s="435">
        <v>20.399269</v>
      </c>
      <c r="O988" s="435">
        <v>92.781294000000003</v>
      </c>
      <c r="P988" s="413" t="s">
        <v>797</v>
      </c>
      <c r="Q988" s="413" t="s">
        <v>778</v>
      </c>
      <c r="R988" s="438">
        <v>32</v>
      </c>
      <c r="S988" s="569">
        <v>157</v>
      </c>
      <c r="T988" s="416"/>
      <c r="U988" s="415"/>
      <c r="V988" s="413" t="s">
        <v>468</v>
      </c>
      <c r="W988" s="438"/>
      <c r="X988" s="17"/>
      <c r="Z988" s="17"/>
    </row>
    <row r="989" spans="1:26" ht="14.25" customHeight="1">
      <c r="A989" s="572" t="s">
        <v>2686</v>
      </c>
      <c r="B989" s="597" t="s">
        <v>339</v>
      </c>
      <c r="C989" s="598" t="s">
        <v>2855</v>
      </c>
      <c r="D989" s="567"/>
      <c r="E989" s="561" t="s">
        <v>2856</v>
      </c>
      <c r="F989" s="413"/>
      <c r="G989" s="413"/>
      <c r="H989" s="561"/>
      <c r="I989" s="561"/>
      <c r="J989" s="561" t="s">
        <v>2692</v>
      </c>
      <c r="K989" s="561" t="s">
        <v>2658</v>
      </c>
      <c r="L989" s="561" t="s">
        <v>2658</v>
      </c>
      <c r="M989" s="561"/>
      <c r="N989" s="561"/>
      <c r="O989" s="561"/>
      <c r="P989" s="413"/>
      <c r="Q989" s="561"/>
      <c r="R989" s="576"/>
      <c r="S989" s="569"/>
      <c r="T989" s="588">
        <v>43591</v>
      </c>
      <c r="U989" s="576"/>
      <c r="V989" s="573" t="s">
        <v>2820</v>
      </c>
      <c r="W989" s="438"/>
      <c r="X989" s="17"/>
      <c r="Z989" s="17"/>
    </row>
    <row r="990" spans="1:26" ht="14.25" customHeight="1">
      <c r="A990" s="435" t="s">
        <v>2686</v>
      </c>
      <c r="B990" s="586" t="s">
        <v>339</v>
      </c>
      <c r="C990" s="585" t="s">
        <v>537</v>
      </c>
      <c r="D990" s="477" t="s">
        <v>1664</v>
      </c>
      <c r="E990" s="561">
        <v>197674</v>
      </c>
      <c r="F990" s="561"/>
      <c r="G990" s="561"/>
      <c r="H990" s="561"/>
      <c r="I990" s="561"/>
      <c r="J990" s="413" t="s">
        <v>796</v>
      </c>
      <c r="K990" s="413" t="s">
        <v>796</v>
      </c>
      <c r="L990" s="413" t="s">
        <v>796</v>
      </c>
      <c r="M990" s="561" t="s">
        <v>793</v>
      </c>
      <c r="N990" s="561">
        <v>20.67845917</v>
      </c>
      <c r="O990" s="561">
        <v>92.663757320000002</v>
      </c>
      <c r="P990" s="413" t="s">
        <v>797</v>
      </c>
      <c r="Q990" s="561" t="s">
        <v>778</v>
      </c>
      <c r="R990" s="568"/>
      <c r="S990" s="569"/>
      <c r="T990" s="588" t="s">
        <v>803</v>
      </c>
      <c r="U990" s="570"/>
      <c r="V990" s="561"/>
      <c r="W990" s="438"/>
      <c r="X990" s="17"/>
      <c r="Z990" s="17"/>
    </row>
    <row r="991" spans="1:26" ht="14.25" customHeight="1">
      <c r="A991" s="435" t="s">
        <v>2686</v>
      </c>
      <c r="B991" s="586" t="s">
        <v>339</v>
      </c>
      <c r="C991" s="585" t="s">
        <v>905</v>
      </c>
      <c r="D991" s="477" t="s">
        <v>1664</v>
      </c>
      <c r="E991" s="561">
        <v>197603</v>
      </c>
      <c r="F991" s="561"/>
      <c r="G991" s="561"/>
      <c r="H991" s="561"/>
      <c r="I991" s="561"/>
      <c r="J991" s="413" t="s">
        <v>796</v>
      </c>
      <c r="K991" s="413" t="s">
        <v>796</v>
      </c>
      <c r="L991" s="413" t="s">
        <v>796</v>
      </c>
      <c r="M991" s="561" t="s">
        <v>793</v>
      </c>
      <c r="N991" s="561">
        <v>20.55364037</v>
      </c>
      <c r="O991" s="561">
        <v>92.674217220000003</v>
      </c>
      <c r="P991" s="413" t="s">
        <v>797</v>
      </c>
      <c r="Q991" s="561"/>
      <c r="R991" s="568"/>
      <c r="S991" s="569"/>
      <c r="T991" s="588"/>
      <c r="U991" s="570"/>
      <c r="V991" s="561" t="s">
        <v>905</v>
      </c>
      <c r="W991" s="438"/>
      <c r="X991" s="17"/>
      <c r="Z991" s="17"/>
    </row>
    <row r="992" spans="1:26" ht="14.25" customHeight="1">
      <c r="A992" s="561" t="s">
        <v>2686</v>
      </c>
      <c r="B992" s="586" t="s">
        <v>339</v>
      </c>
      <c r="C992" s="585" t="s">
        <v>372</v>
      </c>
      <c r="D992" s="477" t="s">
        <v>1664</v>
      </c>
      <c r="E992" s="413">
        <v>220977</v>
      </c>
      <c r="F992" s="561" t="s">
        <v>2736</v>
      </c>
      <c r="G992" s="413"/>
      <c r="H992" s="413"/>
      <c r="I992" s="413"/>
      <c r="J992" s="413" t="s">
        <v>796</v>
      </c>
      <c r="K992" s="413" t="s">
        <v>796</v>
      </c>
      <c r="L992" s="413" t="s">
        <v>796</v>
      </c>
      <c r="M992" s="413" t="s">
        <v>296</v>
      </c>
      <c r="N992" s="435"/>
      <c r="O992" s="561"/>
      <c r="P992" s="413" t="s">
        <v>797</v>
      </c>
      <c r="Q992" s="413" t="s">
        <v>800</v>
      </c>
      <c r="R992" s="568"/>
      <c r="S992" s="569"/>
      <c r="T992" s="416">
        <v>42926</v>
      </c>
      <c r="U992" s="570" t="s">
        <v>801</v>
      </c>
      <c r="V992" s="413"/>
      <c r="W992" s="438"/>
      <c r="X992" s="17"/>
      <c r="Z992" s="17"/>
    </row>
    <row r="993" spans="1:26" ht="14.25" customHeight="1">
      <c r="A993" s="572" t="s">
        <v>2686</v>
      </c>
      <c r="B993" s="597" t="s">
        <v>339</v>
      </c>
      <c r="C993" s="598" t="s">
        <v>2854</v>
      </c>
      <c r="D993" s="567"/>
      <c r="E993" s="413">
        <v>220693</v>
      </c>
      <c r="F993" s="413"/>
      <c r="G993" s="413"/>
      <c r="H993" s="413"/>
      <c r="I993" s="413"/>
      <c r="J993" s="413" t="s">
        <v>2692</v>
      </c>
      <c r="K993" s="413" t="s">
        <v>2658</v>
      </c>
      <c r="L993" s="561" t="s">
        <v>2658</v>
      </c>
      <c r="M993" s="413"/>
      <c r="N993" s="435">
        <v>20.586620330810501</v>
      </c>
      <c r="O993" s="435">
        <v>92.689620971679702</v>
      </c>
      <c r="P993" s="413"/>
      <c r="Q993" s="413"/>
      <c r="R993" s="576"/>
      <c r="S993" s="439"/>
      <c r="T993" s="416">
        <v>43591</v>
      </c>
      <c r="U993" s="576"/>
      <c r="V993" s="413" t="s">
        <v>2819</v>
      </c>
      <c r="W993" s="438"/>
      <c r="X993" s="17"/>
      <c r="Z993" s="17"/>
    </row>
    <row r="994" spans="1:26" ht="14.25" customHeight="1">
      <c r="A994" s="561" t="s">
        <v>2686</v>
      </c>
      <c r="B994" s="586" t="s">
        <v>339</v>
      </c>
      <c r="C994" s="585" t="s">
        <v>480</v>
      </c>
      <c r="D994" s="477" t="s">
        <v>1664</v>
      </c>
      <c r="E994" s="413">
        <v>197631</v>
      </c>
      <c r="F994" s="413" t="s">
        <v>475</v>
      </c>
      <c r="G994" s="413"/>
      <c r="H994" s="413"/>
      <c r="I994" s="413"/>
      <c r="J994" s="413" t="s">
        <v>796</v>
      </c>
      <c r="K994" s="413" t="s">
        <v>796</v>
      </c>
      <c r="L994" s="435" t="s">
        <v>796</v>
      </c>
      <c r="M994" s="413" t="s">
        <v>296</v>
      </c>
      <c r="N994" s="435">
        <v>20.473930360000001</v>
      </c>
      <c r="O994" s="435">
        <v>92.668853760000005</v>
      </c>
      <c r="P994" s="413" t="s">
        <v>797</v>
      </c>
      <c r="Q994" s="413" t="s">
        <v>800</v>
      </c>
      <c r="R994" s="568"/>
      <c r="S994" s="569"/>
      <c r="T994" s="416">
        <v>42926</v>
      </c>
      <c r="U994" s="570" t="s">
        <v>801</v>
      </c>
      <c r="V994" s="413"/>
      <c r="W994" s="438"/>
      <c r="X994" s="17"/>
      <c r="Z994" s="17"/>
    </row>
    <row r="995" spans="1:26" ht="14.25" customHeight="1">
      <c r="A995" s="435" t="s">
        <v>2686</v>
      </c>
      <c r="B995" s="451" t="s">
        <v>339</v>
      </c>
      <c r="C995" s="450" t="s">
        <v>496</v>
      </c>
      <c r="D995" s="477" t="s">
        <v>1664</v>
      </c>
      <c r="E995" s="413">
        <v>197601</v>
      </c>
      <c r="F995" s="561"/>
      <c r="G995" s="413"/>
      <c r="H995" s="413"/>
      <c r="I995" s="435"/>
      <c r="J995" s="413" t="s">
        <v>796</v>
      </c>
      <c r="K995" s="413" t="s">
        <v>796</v>
      </c>
      <c r="L995" s="435" t="s">
        <v>796</v>
      </c>
      <c r="M995" s="413" t="s">
        <v>793</v>
      </c>
      <c r="N995" s="435">
        <v>20.54644012</v>
      </c>
      <c r="O995" s="435">
        <v>92.648399350000005</v>
      </c>
      <c r="P995" s="413" t="s">
        <v>797</v>
      </c>
      <c r="Q995" s="413" t="s">
        <v>778</v>
      </c>
      <c r="R995" s="568"/>
      <c r="S995" s="569"/>
      <c r="T995" s="416"/>
      <c r="U995" s="415"/>
      <c r="V995" s="413" t="s">
        <v>496</v>
      </c>
      <c r="W995" s="568"/>
      <c r="X995" s="17"/>
      <c r="Z995" s="17"/>
    </row>
    <row r="996" spans="1:26" ht="14.25" customHeight="1">
      <c r="A996" s="561" t="s">
        <v>2686</v>
      </c>
      <c r="B996" s="586" t="s">
        <v>339</v>
      </c>
      <c r="C996" s="585" t="s">
        <v>469</v>
      </c>
      <c r="D996" s="477" t="s">
        <v>1664</v>
      </c>
      <c r="E996" s="413" t="s">
        <v>1389</v>
      </c>
      <c r="F996" s="561"/>
      <c r="G996" s="413"/>
      <c r="H996" s="435" t="s">
        <v>41</v>
      </c>
      <c r="I996" s="435"/>
      <c r="J996" s="413" t="s">
        <v>796</v>
      </c>
      <c r="K996" s="413" t="s">
        <v>796</v>
      </c>
      <c r="L996" s="413" t="s">
        <v>1664</v>
      </c>
      <c r="M996" s="413" t="s">
        <v>793</v>
      </c>
      <c r="N996" s="435">
        <v>20.408453000000002</v>
      </c>
      <c r="O996" s="435">
        <v>92.660360999999995</v>
      </c>
      <c r="P996" s="413" t="s">
        <v>797</v>
      </c>
      <c r="Q996" s="413" t="s">
        <v>778</v>
      </c>
      <c r="R996" s="568"/>
      <c r="S996" s="569"/>
      <c r="T996" s="416"/>
      <c r="U996" s="570" t="s">
        <v>1908</v>
      </c>
      <c r="V996" s="585" t="s">
        <v>469</v>
      </c>
      <c r="W996" s="438"/>
      <c r="X996" s="17"/>
      <c r="Z996" s="17"/>
    </row>
    <row r="997" spans="1:26" ht="14.25" customHeight="1">
      <c r="A997" s="435" t="s">
        <v>2686</v>
      </c>
      <c r="B997" s="451" t="s">
        <v>339</v>
      </c>
      <c r="C997" s="450" t="s">
        <v>890</v>
      </c>
      <c r="D997" s="477" t="s">
        <v>1664</v>
      </c>
      <c r="E997" s="413">
        <v>197650</v>
      </c>
      <c r="F997" s="561"/>
      <c r="G997" s="413"/>
      <c r="H997" s="413"/>
      <c r="I997" s="413"/>
      <c r="J997" s="413" t="s">
        <v>877</v>
      </c>
      <c r="K997" s="413" t="s">
        <v>796</v>
      </c>
      <c r="L997" s="413" t="s">
        <v>796</v>
      </c>
      <c r="M997" s="413" t="s">
        <v>296</v>
      </c>
      <c r="N997" s="413">
        <v>20.397039410000001</v>
      </c>
      <c r="O997" s="413">
        <v>92.664451600000007</v>
      </c>
      <c r="P997" s="413" t="s">
        <v>797</v>
      </c>
      <c r="Q997" s="413"/>
      <c r="R997" s="568"/>
      <c r="S997" s="569"/>
      <c r="T997" s="416">
        <v>42849</v>
      </c>
      <c r="U997" s="415" t="s">
        <v>891</v>
      </c>
      <c r="V997" s="561"/>
      <c r="W997" s="438"/>
      <c r="X997" s="17"/>
      <c r="Z997" s="17"/>
    </row>
    <row r="998" spans="1:26" ht="14.25" customHeight="1">
      <c r="A998" s="561" t="s">
        <v>2686</v>
      </c>
      <c r="B998" s="586" t="s">
        <v>339</v>
      </c>
      <c r="C998" s="585" t="s">
        <v>505</v>
      </c>
      <c r="D998" s="477" t="s">
        <v>1664</v>
      </c>
      <c r="E998" s="561">
        <v>197591</v>
      </c>
      <c r="F998" s="413"/>
      <c r="G998" s="413"/>
      <c r="H998" s="561"/>
      <c r="I998" s="561"/>
      <c r="J998" s="561" t="s">
        <v>796</v>
      </c>
      <c r="K998" s="561" t="s">
        <v>796</v>
      </c>
      <c r="L998" s="561" t="s">
        <v>796</v>
      </c>
      <c r="M998" s="561" t="s">
        <v>793</v>
      </c>
      <c r="N998" s="561">
        <v>20.581470490000001</v>
      </c>
      <c r="O998" s="561">
        <v>92.643272400000001</v>
      </c>
      <c r="P998" s="413" t="s">
        <v>797</v>
      </c>
      <c r="Q998" s="561" t="s">
        <v>778</v>
      </c>
      <c r="R998" s="568"/>
      <c r="S998" s="569"/>
      <c r="T998" s="588"/>
      <c r="U998" s="570" t="s">
        <v>801</v>
      </c>
      <c r="V998" s="435" t="s">
        <v>505</v>
      </c>
      <c r="W998" s="438"/>
      <c r="X998" s="17"/>
      <c r="Z998" s="17"/>
    </row>
    <row r="999" spans="1:26" ht="14.25" customHeight="1">
      <c r="A999" s="435" t="s">
        <v>2686</v>
      </c>
      <c r="B999" s="178" t="s">
        <v>339</v>
      </c>
      <c r="C999" s="179" t="s">
        <v>1095</v>
      </c>
      <c r="D999" s="567" t="s">
        <v>1664</v>
      </c>
      <c r="E999" s="173"/>
      <c r="F999" s="173"/>
      <c r="G999" s="173"/>
      <c r="H999" s="173"/>
      <c r="I999" s="173"/>
      <c r="J999" s="413" t="s">
        <v>796</v>
      </c>
      <c r="K999" s="435" t="s">
        <v>796</v>
      </c>
      <c r="L999" s="435" t="s">
        <v>796</v>
      </c>
      <c r="M999" s="173" t="s">
        <v>809</v>
      </c>
      <c r="N999" s="173"/>
      <c r="O999" s="173"/>
      <c r="P999" s="413" t="s">
        <v>797</v>
      </c>
      <c r="Q999" s="173" t="s">
        <v>800</v>
      </c>
      <c r="R999" s="174"/>
      <c r="S999" s="172"/>
      <c r="T999" s="175">
        <v>42926</v>
      </c>
      <c r="U999" s="176" t="s">
        <v>801</v>
      </c>
      <c r="V999" s="173"/>
      <c r="W999" s="438"/>
      <c r="X999" s="17"/>
      <c r="Z999" s="17"/>
    </row>
    <row r="1000" spans="1:26" ht="14.25" customHeight="1">
      <c r="A1000" s="435" t="s">
        <v>2686</v>
      </c>
      <c r="B1000" s="597" t="s">
        <v>339</v>
      </c>
      <c r="C1000" s="598" t="s">
        <v>504</v>
      </c>
      <c r="D1000" s="567" t="s">
        <v>1664</v>
      </c>
      <c r="E1000" s="413">
        <v>197590</v>
      </c>
      <c r="F1000" s="561"/>
      <c r="G1000" s="413"/>
      <c r="H1000" s="413"/>
      <c r="I1000" s="561"/>
      <c r="J1000" s="413" t="s">
        <v>796</v>
      </c>
      <c r="K1000" s="413" t="s">
        <v>796</v>
      </c>
      <c r="L1000" s="561" t="s">
        <v>796</v>
      </c>
      <c r="M1000" s="413" t="s">
        <v>296</v>
      </c>
      <c r="N1000" s="413">
        <v>20.56975937</v>
      </c>
      <c r="O1000" s="595">
        <v>92.641799930000005</v>
      </c>
      <c r="P1000" s="413" t="s">
        <v>797</v>
      </c>
      <c r="Q1000" s="413" t="s">
        <v>778</v>
      </c>
      <c r="R1000" s="576"/>
      <c r="S1000" s="569"/>
      <c r="T1000" s="416"/>
      <c r="U1000" s="415" t="s">
        <v>801</v>
      </c>
      <c r="V1000" s="413" t="s">
        <v>504</v>
      </c>
      <c r="W1000" s="568"/>
      <c r="X1000" s="17"/>
      <c r="Z1000" s="17"/>
    </row>
    <row r="1001" spans="1:26" ht="14.25" customHeight="1">
      <c r="A1001" s="435" t="s">
        <v>2686</v>
      </c>
      <c r="B1001" s="597" t="s">
        <v>339</v>
      </c>
      <c r="C1001" s="598" t="s">
        <v>911</v>
      </c>
      <c r="D1001" s="567" t="s">
        <v>1664</v>
      </c>
      <c r="E1001" s="561">
        <v>197585</v>
      </c>
      <c r="F1001" s="561"/>
      <c r="G1001" s="561"/>
      <c r="H1001" s="561"/>
      <c r="I1001" s="561"/>
      <c r="J1001" s="561" t="s">
        <v>796</v>
      </c>
      <c r="K1001" s="561" t="s">
        <v>796</v>
      </c>
      <c r="L1001" s="561" t="s">
        <v>796</v>
      </c>
      <c r="M1001" s="561" t="s">
        <v>296</v>
      </c>
      <c r="N1001" s="561">
        <v>20.585840229999999</v>
      </c>
      <c r="O1001" s="561">
        <v>92.670722960000006</v>
      </c>
      <c r="P1001" s="561" t="s">
        <v>797</v>
      </c>
      <c r="Q1001" s="561"/>
      <c r="R1001" s="576"/>
      <c r="S1001" s="569"/>
      <c r="T1001" s="588"/>
      <c r="U1001" s="570"/>
      <c r="V1001" s="561" t="s">
        <v>911</v>
      </c>
      <c r="W1001" s="568"/>
      <c r="X1001" s="17"/>
      <c r="Z1001" s="17"/>
    </row>
    <row r="1002" spans="1:26" ht="14.25" customHeight="1">
      <c r="A1002" s="572" t="s">
        <v>2686</v>
      </c>
      <c r="B1002" s="597" t="s">
        <v>339</v>
      </c>
      <c r="C1002" s="598" t="s">
        <v>2853</v>
      </c>
      <c r="D1002" s="567"/>
      <c r="E1002" s="561">
        <v>197581</v>
      </c>
      <c r="F1002" s="561"/>
      <c r="G1002" s="561"/>
      <c r="H1002" s="561"/>
      <c r="I1002" s="561"/>
      <c r="J1002" s="561" t="s">
        <v>2692</v>
      </c>
      <c r="K1002" s="561" t="s">
        <v>2658</v>
      </c>
      <c r="L1002" s="561" t="s">
        <v>2658</v>
      </c>
      <c r="M1002" s="561"/>
      <c r="N1002" s="561">
        <v>20.631229400634801</v>
      </c>
      <c r="O1002" s="561">
        <v>92.641532897949205</v>
      </c>
      <c r="P1002" s="561"/>
      <c r="Q1002" s="561"/>
      <c r="R1002" s="576"/>
      <c r="S1002" s="569"/>
      <c r="T1002" s="588">
        <v>43591</v>
      </c>
      <c r="U1002" s="576"/>
      <c r="V1002" s="561" t="s">
        <v>2818</v>
      </c>
      <c r="W1002" s="568"/>
      <c r="X1002" s="17"/>
      <c r="Z1002" s="17"/>
    </row>
    <row r="1003" spans="1:26" ht="14.25" customHeight="1">
      <c r="A1003" s="435" t="s">
        <v>2686</v>
      </c>
      <c r="B1003" s="451" t="s">
        <v>339</v>
      </c>
      <c r="C1003" s="450" t="s">
        <v>580</v>
      </c>
      <c r="D1003" s="567" t="s">
        <v>1664</v>
      </c>
      <c r="E1003" s="413">
        <v>197616</v>
      </c>
      <c r="F1003" s="413" t="s">
        <v>484</v>
      </c>
      <c r="G1003" s="413"/>
      <c r="H1003" s="413"/>
      <c r="I1003" s="413"/>
      <c r="J1003" s="413" t="s">
        <v>796</v>
      </c>
      <c r="K1003" s="413" t="s">
        <v>796</v>
      </c>
      <c r="L1003" s="413" t="s">
        <v>796</v>
      </c>
      <c r="M1003" s="413" t="s">
        <v>296</v>
      </c>
      <c r="N1003" s="413">
        <v>20.495670319999999</v>
      </c>
      <c r="O1003" s="413">
        <v>92.651496890000004</v>
      </c>
      <c r="P1003" s="413" t="s">
        <v>797</v>
      </c>
      <c r="Q1003" s="413" t="s">
        <v>800</v>
      </c>
      <c r="R1003" s="566"/>
      <c r="S1003" s="566"/>
      <c r="T1003" s="416">
        <v>42926</v>
      </c>
      <c r="U1003" s="415" t="s">
        <v>801</v>
      </c>
      <c r="V1003" s="413"/>
      <c r="W1003" s="568"/>
      <c r="X1003" s="17"/>
      <c r="Z1003" s="17"/>
    </row>
    <row r="1004" spans="1:26" ht="14.25" customHeight="1">
      <c r="A1004" s="435" t="s">
        <v>2686</v>
      </c>
      <c r="B1004" s="451" t="s">
        <v>339</v>
      </c>
      <c r="C1004" s="450" t="s">
        <v>539</v>
      </c>
      <c r="D1004" s="477" t="s">
        <v>1664</v>
      </c>
      <c r="E1004" s="413">
        <v>197670</v>
      </c>
      <c r="F1004" s="566"/>
      <c r="G1004" s="413"/>
      <c r="H1004" s="435"/>
      <c r="I1004" s="435"/>
      <c r="J1004" s="413" t="s">
        <v>796</v>
      </c>
      <c r="K1004" s="413" t="s">
        <v>796</v>
      </c>
      <c r="L1004" s="413" t="s">
        <v>796</v>
      </c>
      <c r="M1004" s="413" t="s">
        <v>793</v>
      </c>
      <c r="N1004" s="435">
        <v>20.6833992</v>
      </c>
      <c r="O1004" s="435">
        <v>92.656608579999997</v>
      </c>
      <c r="P1004" s="413" t="s">
        <v>797</v>
      </c>
      <c r="Q1004" s="413" t="s">
        <v>778</v>
      </c>
      <c r="R1004" s="572"/>
      <c r="S1004" s="573"/>
      <c r="T1004" s="416" t="s">
        <v>803</v>
      </c>
      <c r="U1004" s="415"/>
      <c r="V1004" s="566"/>
      <c r="W1004" s="438"/>
      <c r="X1004" s="17"/>
      <c r="Z1004" s="17"/>
    </row>
    <row r="1005" spans="1:26" ht="14.25" customHeight="1">
      <c r="A1005" s="561" t="s">
        <v>2686</v>
      </c>
      <c r="B1005" s="586" t="s">
        <v>339</v>
      </c>
      <c r="C1005" s="585" t="s">
        <v>471</v>
      </c>
      <c r="D1005" s="477" t="s">
        <v>1664</v>
      </c>
      <c r="E1005" s="413" t="s">
        <v>1391</v>
      </c>
      <c r="F1005" s="561"/>
      <c r="G1005" s="413"/>
      <c r="H1005" s="435" t="s">
        <v>41</v>
      </c>
      <c r="I1005" s="435"/>
      <c r="J1005" s="413" t="s">
        <v>796</v>
      </c>
      <c r="K1005" s="413" t="s">
        <v>796</v>
      </c>
      <c r="L1005" s="413" t="s">
        <v>1664</v>
      </c>
      <c r="M1005" s="413" t="s">
        <v>793</v>
      </c>
      <c r="N1005" s="435">
        <v>20.447261000000001</v>
      </c>
      <c r="O1005" s="435">
        <v>92.639589000000001</v>
      </c>
      <c r="P1005" s="413" t="s">
        <v>797</v>
      </c>
      <c r="Q1005" s="413" t="s">
        <v>778</v>
      </c>
      <c r="R1005" s="568"/>
      <c r="S1005" s="568"/>
      <c r="T1005" s="416"/>
      <c r="U1005" s="570" t="s">
        <v>1908</v>
      </c>
      <c r="V1005" s="566" t="s">
        <v>471</v>
      </c>
      <c r="W1005" s="438"/>
      <c r="X1005" s="17"/>
      <c r="Z1005" s="17"/>
    </row>
    <row r="1006" spans="1:26" ht="14.25" customHeight="1">
      <c r="A1006" s="561" t="s">
        <v>2686</v>
      </c>
      <c r="B1006" s="586" t="s">
        <v>339</v>
      </c>
      <c r="C1006" s="585" t="s">
        <v>895</v>
      </c>
      <c r="D1006" s="477" t="s">
        <v>1664</v>
      </c>
      <c r="E1006" s="413">
        <v>197654</v>
      </c>
      <c r="F1006" s="413"/>
      <c r="G1006" s="413"/>
      <c r="H1006" s="435"/>
      <c r="I1006" s="435"/>
      <c r="J1006" s="413" t="s">
        <v>877</v>
      </c>
      <c r="K1006" s="413" t="s">
        <v>796</v>
      </c>
      <c r="L1006" s="413" t="s">
        <v>796</v>
      </c>
      <c r="M1006" s="413" t="s">
        <v>296</v>
      </c>
      <c r="N1006" s="435">
        <v>20.447399140000002</v>
      </c>
      <c r="O1006" s="435">
        <v>92.630462649999998</v>
      </c>
      <c r="P1006" s="413" t="s">
        <v>797</v>
      </c>
      <c r="Q1006" s="413"/>
      <c r="R1006" s="572"/>
      <c r="S1006" s="573"/>
      <c r="T1006" s="416">
        <v>42849</v>
      </c>
      <c r="U1006" s="570" t="s">
        <v>891</v>
      </c>
      <c r="V1006" s="413" t="s">
        <v>471</v>
      </c>
      <c r="W1006" s="438"/>
      <c r="X1006" s="17"/>
      <c r="Z1006" s="17"/>
    </row>
    <row r="1007" spans="1:26" ht="14.25" customHeight="1">
      <c r="A1007" s="561" t="s">
        <v>2686</v>
      </c>
      <c r="B1007" s="586" t="s">
        <v>339</v>
      </c>
      <c r="C1007" s="585" t="s">
        <v>520</v>
      </c>
      <c r="D1007" s="477" t="s">
        <v>1664</v>
      </c>
      <c r="E1007" s="413">
        <v>197695</v>
      </c>
      <c r="F1007" s="413" t="s">
        <v>2737</v>
      </c>
      <c r="G1007" s="413"/>
      <c r="H1007" s="413"/>
      <c r="I1007" s="413"/>
      <c r="J1007" s="435" t="s">
        <v>796</v>
      </c>
      <c r="K1007" s="435" t="s">
        <v>796</v>
      </c>
      <c r="L1007" s="435" t="s">
        <v>796</v>
      </c>
      <c r="M1007" s="413" t="s">
        <v>296</v>
      </c>
      <c r="N1007" s="413">
        <v>20.651939389999999</v>
      </c>
      <c r="O1007" s="413">
        <v>92.684577939999997</v>
      </c>
      <c r="P1007" s="413" t="s">
        <v>797</v>
      </c>
      <c r="Q1007" s="413" t="s">
        <v>800</v>
      </c>
      <c r="R1007" s="572"/>
      <c r="S1007" s="573"/>
      <c r="T1007" s="416">
        <v>42926</v>
      </c>
      <c r="U1007" s="570" t="s">
        <v>801</v>
      </c>
      <c r="V1007" s="413"/>
      <c r="W1007" s="438"/>
      <c r="X1007" s="17"/>
      <c r="Z1007" s="17"/>
    </row>
    <row r="1008" spans="1:26" ht="14.25" customHeight="1">
      <c r="A1008" s="435" t="s">
        <v>2686</v>
      </c>
      <c r="B1008" s="451" t="s">
        <v>339</v>
      </c>
      <c r="C1008" s="450" t="s">
        <v>475</v>
      </c>
      <c r="D1008" s="477" t="s">
        <v>1664</v>
      </c>
      <c r="E1008" s="413">
        <v>197629</v>
      </c>
      <c r="F1008" s="566" t="s">
        <v>475</v>
      </c>
      <c r="G1008" s="413"/>
      <c r="H1008" s="435"/>
      <c r="I1008" s="435"/>
      <c r="J1008" s="435" t="s">
        <v>796</v>
      </c>
      <c r="K1008" s="435" t="s">
        <v>796</v>
      </c>
      <c r="L1008" s="435" t="s">
        <v>796</v>
      </c>
      <c r="M1008" s="413" t="s">
        <v>296</v>
      </c>
      <c r="N1008" s="435">
        <v>20.463909149999999</v>
      </c>
      <c r="O1008" s="435">
        <v>92.675468440000003</v>
      </c>
      <c r="P1008" s="413" t="s">
        <v>797</v>
      </c>
      <c r="Q1008" s="413" t="s">
        <v>800</v>
      </c>
      <c r="R1008" s="568"/>
      <c r="S1008" s="568"/>
      <c r="T1008" s="416">
        <v>42926</v>
      </c>
      <c r="U1008" s="415" t="s">
        <v>801</v>
      </c>
      <c r="V1008" s="435"/>
      <c r="W1008" s="438"/>
      <c r="X1008" s="17"/>
      <c r="Z1008" s="17"/>
    </row>
    <row r="1009" spans="1:26" ht="14.25" customHeight="1">
      <c r="A1009" s="561" t="s">
        <v>2686</v>
      </c>
      <c r="B1009" s="586" t="s">
        <v>339</v>
      </c>
      <c r="C1009" s="606" t="s">
        <v>515</v>
      </c>
      <c r="D1009" s="477" t="s">
        <v>1664</v>
      </c>
      <c r="E1009" s="413">
        <v>197706</v>
      </c>
      <c r="F1009" s="561" t="s">
        <v>515</v>
      </c>
      <c r="G1009" s="413"/>
      <c r="H1009" s="413"/>
      <c r="I1009" s="578"/>
      <c r="J1009" s="413" t="s">
        <v>796</v>
      </c>
      <c r="K1009" s="413" t="s">
        <v>796</v>
      </c>
      <c r="L1009" s="578" t="s">
        <v>796</v>
      </c>
      <c r="M1009" s="413" t="s">
        <v>296</v>
      </c>
      <c r="N1009" s="413">
        <v>20.643590929999998</v>
      </c>
      <c r="O1009" s="413">
        <v>92.722618100000005</v>
      </c>
      <c r="P1009" s="413" t="s">
        <v>797</v>
      </c>
      <c r="Q1009" s="413" t="s">
        <v>778</v>
      </c>
      <c r="R1009" s="568"/>
      <c r="S1009" s="568"/>
      <c r="T1009" s="416" t="s">
        <v>803</v>
      </c>
      <c r="U1009" s="570"/>
      <c r="V1009" s="413"/>
      <c r="W1009" s="599"/>
      <c r="X1009" s="17"/>
      <c r="Z1009" s="17"/>
    </row>
    <row r="1010" spans="1:26" ht="14.25" customHeight="1">
      <c r="A1010" s="435" t="s">
        <v>2686</v>
      </c>
      <c r="B1010" s="602" t="s">
        <v>339</v>
      </c>
      <c r="C1010" s="607" t="s">
        <v>913</v>
      </c>
      <c r="D1010" s="477" t="s">
        <v>1664</v>
      </c>
      <c r="E1010" s="600">
        <v>197583</v>
      </c>
      <c r="F1010" s="603"/>
      <c r="G1010" s="603"/>
      <c r="H1010" s="603"/>
      <c r="I1010" s="578"/>
      <c r="J1010" s="603" t="s">
        <v>796</v>
      </c>
      <c r="K1010" s="603" t="s">
        <v>796</v>
      </c>
      <c r="L1010" s="578" t="s">
        <v>796</v>
      </c>
      <c r="M1010" s="603"/>
      <c r="N1010" s="603">
        <v>20.598709110000001</v>
      </c>
      <c r="O1010" s="603">
        <v>92.664337160000002</v>
      </c>
      <c r="P1010" s="603" t="s">
        <v>797</v>
      </c>
      <c r="Q1010" s="603"/>
      <c r="R1010" s="438"/>
      <c r="S1010" s="568"/>
      <c r="T1010" s="604"/>
      <c r="U1010" s="605"/>
      <c r="V1010" s="603" t="s">
        <v>913</v>
      </c>
      <c r="W1010" s="599"/>
      <c r="X1010" s="17"/>
      <c r="Z1010" s="17"/>
    </row>
    <row r="1011" spans="1:26" ht="14.25" customHeight="1">
      <c r="A1011" s="561" t="s">
        <v>2686</v>
      </c>
      <c r="B1011" s="586" t="s">
        <v>339</v>
      </c>
      <c r="C1011" s="585" t="s">
        <v>487</v>
      </c>
      <c r="D1011" s="477" t="s">
        <v>1664</v>
      </c>
      <c r="E1011" s="413">
        <v>197615</v>
      </c>
      <c r="F1011" s="413"/>
      <c r="G1011" s="413"/>
      <c r="H1011" s="413"/>
      <c r="I1011" s="435"/>
      <c r="J1011" s="413" t="s">
        <v>796</v>
      </c>
      <c r="K1011" s="413" t="s">
        <v>796</v>
      </c>
      <c r="L1011" s="435" t="s">
        <v>796</v>
      </c>
      <c r="M1011" s="413" t="s">
        <v>296</v>
      </c>
      <c r="N1011" s="435">
        <v>20.502599719999999</v>
      </c>
      <c r="O1011" s="435">
        <v>92.6474762</v>
      </c>
      <c r="P1011" s="413" t="s">
        <v>797</v>
      </c>
      <c r="Q1011" s="413" t="s">
        <v>800</v>
      </c>
      <c r="R1011" s="572"/>
      <c r="S1011" s="573"/>
      <c r="T1011" s="416">
        <v>42926</v>
      </c>
      <c r="U1011" s="570" t="s">
        <v>801</v>
      </c>
      <c r="V1011" s="413"/>
      <c r="W1011" s="568"/>
      <c r="X1011" s="17"/>
      <c r="Z1011" s="17"/>
    </row>
    <row r="1012" spans="1:26" ht="14.25" customHeight="1">
      <c r="A1012" s="435" t="s">
        <v>2686</v>
      </c>
      <c r="B1012" s="451" t="s">
        <v>339</v>
      </c>
      <c r="C1012" s="450" t="s">
        <v>904</v>
      </c>
      <c r="D1012" s="477" t="s">
        <v>1664</v>
      </c>
      <c r="E1012" s="413">
        <v>197608</v>
      </c>
      <c r="F1012" s="413"/>
      <c r="G1012" s="413"/>
      <c r="H1012" s="435"/>
      <c r="I1012" s="435"/>
      <c r="J1012" s="413" t="s">
        <v>796</v>
      </c>
      <c r="K1012" s="413" t="s">
        <v>796</v>
      </c>
      <c r="L1012" s="413" t="s">
        <v>796</v>
      </c>
      <c r="M1012" s="413" t="s">
        <v>296</v>
      </c>
      <c r="N1012" s="435">
        <v>20.521270749999999</v>
      </c>
      <c r="O1012" s="435">
        <v>92.686096190000001</v>
      </c>
      <c r="P1012" s="413" t="s">
        <v>797</v>
      </c>
      <c r="Q1012" s="413"/>
      <c r="R1012" s="572"/>
      <c r="S1012" s="573"/>
      <c r="T1012" s="416"/>
      <c r="U1012" s="415"/>
      <c r="V1012" s="413" t="s">
        <v>904</v>
      </c>
      <c r="W1012" s="568"/>
      <c r="X1012" s="17"/>
      <c r="Z1012" s="17"/>
    </row>
    <row r="1013" spans="1:26" ht="14.25" customHeight="1">
      <c r="A1013" s="435" t="s">
        <v>2686</v>
      </c>
      <c r="B1013" s="451" t="s">
        <v>339</v>
      </c>
      <c r="C1013" s="450" t="s">
        <v>482</v>
      </c>
      <c r="D1013" s="477" t="s">
        <v>1664</v>
      </c>
      <c r="E1013" s="413">
        <v>197618</v>
      </c>
      <c r="F1013" s="566"/>
      <c r="G1013" s="413"/>
      <c r="H1013" s="413"/>
      <c r="I1013" s="413"/>
      <c r="J1013" s="413" t="s">
        <v>796</v>
      </c>
      <c r="K1013" s="413" t="s">
        <v>796</v>
      </c>
      <c r="L1013" s="413" t="s">
        <v>796</v>
      </c>
      <c r="M1013" s="413" t="s">
        <v>296</v>
      </c>
      <c r="N1013" s="413">
        <v>20.480100629999999</v>
      </c>
      <c r="O1013" s="413">
        <v>92.70481873</v>
      </c>
      <c r="P1013" s="413" t="s">
        <v>797</v>
      </c>
      <c r="Q1013" s="413" t="s">
        <v>800</v>
      </c>
      <c r="R1013" s="438"/>
      <c r="S1013" s="568"/>
      <c r="T1013" s="416">
        <v>42926</v>
      </c>
      <c r="U1013" s="415" t="s">
        <v>801</v>
      </c>
      <c r="V1013" s="413"/>
      <c r="W1013" s="568"/>
      <c r="X1013" s="17"/>
      <c r="Z1013" s="17"/>
    </row>
    <row r="1014" spans="1:26" ht="14.25" customHeight="1">
      <c r="A1014" s="435" t="s">
        <v>2686</v>
      </c>
      <c r="B1014" s="451" t="s">
        <v>339</v>
      </c>
      <c r="C1014" s="450" t="s">
        <v>514</v>
      </c>
      <c r="D1014" s="477" t="s">
        <v>1664</v>
      </c>
      <c r="E1014" s="413">
        <v>197707</v>
      </c>
      <c r="F1014" s="561"/>
      <c r="G1014" s="413"/>
      <c r="H1014" s="413"/>
      <c r="I1014" s="413"/>
      <c r="J1014" s="413" t="s">
        <v>796</v>
      </c>
      <c r="K1014" s="413" t="s">
        <v>796</v>
      </c>
      <c r="L1014" s="413" t="s">
        <v>796</v>
      </c>
      <c r="M1014" s="413" t="s">
        <v>296</v>
      </c>
      <c r="N1014" s="413">
        <v>20.639530180000001</v>
      </c>
      <c r="O1014" s="413">
        <v>92.721908569999997</v>
      </c>
      <c r="P1014" s="413" t="s">
        <v>797</v>
      </c>
      <c r="Q1014" s="413" t="s">
        <v>778</v>
      </c>
      <c r="R1014" s="438"/>
      <c r="S1014" s="568"/>
      <c r="T1014" s="416" t="s">
        <v>803</v>
      </c>
      <c r="U1014" s="415"/>
      <c r="V1014" s="413"/>
      <c r="W1014" s="568"/>
      <c r="X1014" s="17"/>
      <c r="Z1014" s="17"/>
    </row>
    <row r="1015" spans="1:26" ht="14.25" customHeight="1">
      <c r="A1015" s="561" t="s">
        <v>2686</v>
      </c>
      <c r="B1015" s="586" t="s">
        <v>339</v>
      </c>
      <c r="C1015" s="585" t="s">
        <v>506</v>
      </c>
      <c r="D1015" s="477" t="s">
        <v>1664</v>
      </c>
      <c r="E1015" s="413">
        <v>197580</v>
      </c>
      <c r="F1015" s="413"/>
      <c r="G1015" s="413"/>
      <c r="H1015" s="413"/>
      <c r="I1015" s="413"/>
      <c r="J1015" s="413" t="s">
        <v>796</v>
      </c>
      <c r="K1015" s="413" t="s">
        <v>796</v>
      </c>
      <c r="L1015" s="413" t="s">
        <v>796</v>
      </c>
      <c r="M1015" s="413" t="s">
        <v>296</v>
      </c>
      <c r="N1015" s="413">
        <v>20.582699999999999</v>
      </c>
      <c r="O1015" s="413">
        <v>92.664699999999996</v>
      </c>
      <c r="P1015" s="413" t="s">
        <v>797</v>
      </c>
      <c r="Q1015" s="413" t="s">
        <v>778</v>
      </c>
      <c r="R1015" s="568"/>
      <c r="S1015" s="568"/>
      <c r="T1015" s="416"/>
      <c r="U1015" s="570"/>
      <c r="V1015" s="413" t="s">
        <v>506</v>
      </c>
      <c r="W1015" s="568"/>
      <c r="X1015" s="17"/>
      <c r="Z1015" s="17"/>
    </row>
    <row r="1016" spans="1:26" ht="14.25" customHeight="1">
      <c r="A1016" s="435" t="s">
        <v>2686</v>
      </c>
      <c r="B1016" s="451" t="s">
        <v>339</v>
      </c>
      <c r="C1016" s="450" t="s">
        <v>479</v>
      </c>
      <c r="D1016" s="477" t="s">
        <v>1664</v>
      </c>
      <c r="E1016" s="413">
        <v>197630</v>
      </c>
      <c r="F1016" s="413"/>
      <c r="G1016" s="413"/>
      <c r="H1016" s="413"/>
      <c r="I1016" s="413"/>
      <c r="J1016" s="413" t="s">
        <v>796</v>
      </c>
      <c r="K1016" s="413" t="s">
        <v>796</v>
      </c>
      <c r="L1016" s="413" t="s">
        <v>796</v>
      </c>
      <c r="M1016" s="413" t="s">
        <v>296</v>
      </c>
      <c r="N1016" s="413">
        <v>20.470119480000001</v>
      </c>
      <c r="O1016" s="413">
        <v>92.672653199999999</v>
      </c>
      <c r="P1016" s="413" t="s">
        <v>797</v>
      </c>
      <c r="Q1016" s="413" t="s">
        <v>800</v>
      </c>
      <c r="R1016" s="572"/>
      <c r="S1016" s="573"/>
      <c r="T1016" s="416">
        <v>42926</v>
      </c>
      <c r="U1016" s="415" t="s">
        <v>801</v>
      </c>
      <c r="V1016" s="413"/>
      <c r="W1016" s="568"/>
      <c r="X1016" s="17"/>
      <c r="Z1016" s="17"/>
    </row>
    <row r="1017" spans="1:26" ht="14.25" customHeight="1">
      <c r="A1017" s="561" t="s">
        <v>2686</v>
      </c>
      <c r="B1017" s="586" t="s">
        <v>339</v>
      </c>
      <c r="C1017" s="585" t="s">
        <v>1918</v>
      </c>
      <c r="D1017" s="477"/>
      <c r="E1017" s="413">
        <v>197611</v>
      </c>
      <c r="F1017" s="435" t="s">
        <v>1918</v>
      </c>
      <c r="G1017" s="413"/>
      <c r="H1017" s="413"/>
      <c r="I1017" s="435"/>
      <c r="J1017" s="435" t="s">
        <v>796</v>
      </c>
      <c r="K1017" s="435" t="s">
        <v>796</v>
      </c>
      <c r="L1017" s="435" t="s">
        <v>796</v>
      </c>
      <c r="M1017" s="413" t="s">
        <v>296</v>
      </c>
      <c r="N1017" s="435">
        <v>20.504730219999999</v>
      </c>
      <c r="O1017" s="435">
        <v>92.6831131</v>
      </c>
      <c r="P1017" s="413" t="s">
        <v>797</v>
      </c>
      <c r="Q1017" s="413" t="s">
        <v>1915</v>
      </c>
      <c r="R1017" s="568"/>
      <c r="S1017" s="568"/>
      <c r="T1017" s="416">
        <v>43245</v>
      </c>
      <c r="U1017" s="570"/>
      <c r="V1017" s="561"/>
      <c r="W1017" s="568"/>
      <c r="X1017" s="17"/>
      <c r="Z1017" s="17"/>
    </row>
    <row r="1018" spans="1:26" ht="14.25" customHeight="1">
      <c r="A1018" s="435" t="s">
        <v>2686</v>
      </c>
      <c r="B1018" s="451" t="s">
        <v>339</v>
      </c>
      <c r="C1018" s="450" t="s">
        <v>1919</v>
      </c>
      <c r="D1018" s="477"/>
      <c r="E1018" s="413">
        <v>197613</v>
      </c>
      <c r="F1018" s="566"/>
      <c r="G1018" s="413"/>
      <c r="H1018" s="413"/>
      <c r="I1018" s="435"/>
      <c r="J1018" s="413" t="s">
        <v>796</v>
      </c>
      <c r="K1018" s="413" t="s">
        <v>796</v>
      </c>
      <c r="L1018" s="413" t="s">
        <v>796</v>
      </c>
      <c r="M1018" s="413" t="s">
        <v>296</v>
      </c>
      <c r="N1018" s="435">
        <v>20.49729919</v>
      </c>
      <c r="O1018" s="435">
        <v>92.683097840000002</v>
      </c>
      <c r="P1018" s="413" t="s">
        <v>797</v>
      </c>
      <c r="Q1018" s="413" t="s">
        <v>1915</v>
      </c>
      <c r="R1018" s="438"/>
      <c r="S1018" s="568"/>
      <c r="T1018" s="416">
        <v>43245</v>
      </c>
      <c r="U1018" s="415"/>
      <c r="V1018" s="561"/>
      <c r="W1018" s="568"/>
      <c r="X1018" s="17"/>
      <c r="Z1018" s="17"/>
    </row>
    <row r="1019" spans="1:26" ht="14.25" customHeight="1">
      <c r="A1019" s="435" t="s">
        <v>2686</v>
      </c>
      <c r="B1019" s="586" t="s">
        <v>339</v>
      </c>
      <c r="C1019" s="585" t="s">
        <v>490</v>
      </c>
      <c r="D1019" s="477" t="s">
        <v>1664</v>
      </c>
      <c r="E1019" s="561">
        <v>197596</v>
      </c>
      <c r="F1019" s="561"/>
      <c r="G1019" s="413"/>
      <c r="H1019" s="561"/>
      <c r="I1019" s="561"/>
      <c r="J1019" s="561" t="s">
        <v>796</v>
      </c>
      <c r="K1019" s="561" t="s">
        <v>796</v>
      </c>
      <c r="L1019" s="561" t="s">
        <v>796</v>
      </c>
      <c r="M1019" s="561" t="s">
        <v>296</v>
      </c>
      <c r="N1019" s="561">
        <v>20.511900000000001</v>
      </c>
      <c r="O1019" s="561">
        <v>92.645300000000006</v>
      </c>
      <c r="P1019" s="413" t="s">
        <v>797</v>
      </c>
      <c r="Q1019" s="561" t="s">
        <v>778</v>
      </c>
      <c r="R1019" s="438"/>
      <c r="S1019" s="568"/>
      <c r="T1019" s="588"/>
      <c r="U1019" s="570"/>
      <c r="V1019" s="413" t="s">
        <v>490</v>
      </c>
      <c r="W1019" s="568"/>
      <c r="X1019" s="17"/>
      <c r="Z1019" s="17"/>
    </row>
    <row r="1020" spans="1:26" ht="14.25" customHeight="1">
      <c r="A1020" s="435" t="s">
        <v>2686</v>
      </c>
      <c r="B1020" s="586" t="s">
        <v>339</v>
      </c>
      <c r="C1020" s="585" t="s">
        <v>472</v>
      </c>
      <c r="D1020" s="477" t="s">
        <v>1664</v>
      </c>
      <c r="E1020" s="561">
        <v>197621</v>
      </c>
      <c r="F1020" s="435"/>
      <c r="G1020" s="435"/>
      <c r="H1020" s="561"/>
      <c r="I1020" s="561"/>
      <c r="J1020" s="561" t="s">
        <v>796</v>
      </c>
      <c r="K1020" s="561" t="s">
        <v>796</v>
      </c>
      <c r="L1020" s="561" t="s">
        <v>796</v>
      </c>
      <c r="M1020" s="561" t="s">
        <v>296</v>
      </c>
      <c r="N1020" s="561">
        <v>20.453830719999999</v>
      </c>
      <c r="O1020" s="561">
        <v>92.683090210000003</v>
      </c>
      <c r="P1020" s="435" t="s">
        <v>797</v>
      </c>
      <c r="Q1020" s="561" t="s">
        <v>800</v>
      </c>
      <c r="R1020" s="572"/>
      <c r="S1020" s="573"/>
      <c r="T1020" s="588">
        <v>42926</v>
      </c>
      <c r="U1020" s="570" t="s">
        <v>801</v>
      </c>
      <c r="V1020" s="435"/>
      <c r="W1020" s="568"/>
      <c r="X1020" s="17"/>
      <c r="Z1020" s="17"/>
    </row>
    <row r="1021" spans="1:26" ht="14.25" customHeight="1">
      <c r="A1021" s="435" t="s">
        <v>2686</v>
      </c>
      <c r="B1021" s="451" t="s">
        <v>339</v>
      </c>
      <c r="C1021" s="450" t="s">
        <v>513</v>
      </c>
      <c r="D1021" s="477" t="s">
        <v>1664</v>
      </c>
      <c r="E1021" s="413">
        <v>197690</v>
      </c>
      <c r="F1021" s="561"/>
      <c r="G1021" s="413"/>
      <c r="H1021" s="413"/>
      <c r="I1021" s="413"/>
      <c r="J1021" s="413" t="s">
        <v>796</v>
      </c>
      <c r="K1021" s="413" t="s">
        <v>796</v>
      </c>
      <c r="L1021" s="413" t="s">
        <v>796</v>
      </c>
      <c r="M1021" s="413" t="s">
        <v>296</v>
      </c>
      <c r="N1021" s="435">
        <v>20.636510850000001</v>
      </c>
      <c r="O1021" s="435">
        <v>92.713378910000003</v>
      </c>
      <c r="P1021" s="413" t="s">
        <v>797</v>
      </c>
      <c r="Q1021" s="413" t="s">
        <v>778</v>
      </c>
      <c r="R1021" s="568"/>
      <c r="S1021" s="568"/>
      <c r="T1021" s="416" t="s">
        <v>803</v>
      </c>
      <c r="U1021" s="415"/>
      <c r="V1021" s="413"/>
      <c r="W1021" s="568"/>
      <c r="X1021" s="17"/>
      <c r="Z1021" s="17"/>
    </row>
    <row r="1022" spans="1:26" ht="14.25" customHeight="1">
      <c r="A1022" s="435" t="s">
        <v>2686</v>
      </c>
      <c r="B1022" s="586" t="s">
        <v>339</v>
      </c>
      <c r="C1022" s="585" t="s">
        <v>499</v>
      </c>
      <c r="D1022" s="477" t="s">
        <v>1664</v>
      </c>
      <c r="E1022" s="413">
        <v>197597</v>
      </c>
      <c r="F1022" s="566"/>
      <c r="G1022" s="413"/>
      <c r="H1022" s="413"/>
      <c r="I1022" s="413"/>
      <c r="J1022" s="413" t="s">
        <v>796</v>
      </c>
      <c r="K1022" s="413" t="s">
        <v>796</v>
      </c>
      <c r="L1022" s="561" t="s">
        <v>796</v>
      </c>
      <c r="M1022" s="413" t="s">
        <v>793</v>
      </c>
      <c r="N1022" s="435">
        <v>20.550769809999998</v>
      </c>
      <c r="O1022" s="435">
        <v>92.650512699999993</v>
      </c>
      <c r="P1022" s="413" t="s">
        <v>797</v>
      </c>
      <c r="Q1022" s="413" t="s">
        <v>778</v>
      </c>
      <c r="R1022" s="568"/>
      <c r="S1022" s="568"/>
      <c r="T1022" s="416"/>
      <c r="U1022" s="415"/>
      <c r="V1022" s="413" t="s">
        <v>499</v>
      </c>
      <c r="W1022" s="568"/>
      <c r="X1022" s="17"/>
      <c r="Z1022" s="17"/>
    </row>
    <row r="1023" spans="1:26" ht="14.25" customHeight="1">
      <c r="A1023" s="435" t="s">
        <v>2686</v>
      </c>
      <c r="B1023" s="586" t="s">
        <v>339</v>
      </c>
      <c r="C1023" s="585" t="s">
        <v>459</v>
      </c>
      <c r="D1023" s="477" t="s">
        <v>2313</v>
      </c>
      <c r="E1023" s="435" t="s">
        <v>1383</v>
      </c>
      <c r="F1023" s="435"/>
      <c r="G1023" s="435"/>
      <c r="H1023" s="435"/>
      <c r="I1023" s="435"/>
      <c r="J1023" s="435" t="s">
        <v>796</v>
      </c>
      <c r="K1023" s="435" t="s">
        <v>796</v>
      </c>
      <c r="L1023" s="561" t="s">
        <v>881</v>
      </c>
      <c r="M1023" s="435" t="s">
        <v>793</v>
      </c>
      <c r="N1023" s="435">
        <v>20.335864000000001</v>
      </c>
      <c r="O1023" s="435">
        <v>92.785706000000005</v>
      </c>
      <c r="P1023" s="435" t="s">
        <v>797</v>
      </c>
      <c r="Q1023" s="435" t="s">
        <v>778</v>
      </c>
      <c r="R1023" s="568">
        <v>56</v>
      </c>
      <c r="S1023" s="569">
        <v>332</v>
      </c>
      <c r="T1023" s="452"/>
      <c r="U1023" s="440"/>
      <c r="V1023" s="435" t="s">
        <v>882</v>
      </c>
      <c r="W1023" s="568"/>
      <c r="X1023" s="17"/>
      <c r="Z1023" s="17"/>
    </row>
    <row r="1024" spans="1:26" ht="14.25" customHeight="1">
      <c r="A1024" s="435" t="s">
        <v>2686</v>
      </c>
      <c r="B1024" s="451" t="s">
        <v>339</v>
      </c>
      <c r="C1024" s="450" t="s">
        <v>460</v>
      </c>
      <c r="D1024" s="477" t="s">
        <v>1664</v>
      </c>
      <c r="E1024" s="435">
        <v>197779</v>
      </c>
      <c r="F1024" s="435"/>
      <c r="G1024" s="435"/>
      <c r="H1024" s="435"/>
      <c r="I1024" s="435"/>
      <c r="J1024" s="435" t="s">
        <v>796</v>
      </c>
      <c r="K1024" s="435" t="s">
        <v>796</v>
      </c>
      <c r="L1024" s="435" t="s">
        <v>796</v>
      </c>
      <c r="M1024" s="435" t="s">
        <v>296</v>
      </c>
      <c r="N1024" s="435">
        <v>20.339799880000001</v>
      </c>
      <c r="O1024" s="435">
        <v>92.782653809999999</v>
      </c>
      <c r="P1024" s="435" t="s">
        <v>797</v>
      </c>
      <c r="Q1024" s="435" t="s">
        <v>778</v>
      </c>
      <c r="R1024" s="572"/>
      <c r="S1024" s="573"/>
      <c r="T1024" s="452"/>
      <c r="U1024" s="440"/>
      <c r="V1024" s="435"/>
      <c r="W1024" s="568"/>
      <c r="X1024" s="17"/>
      <c r="Z1024" s="17"/>
    </row>
    <row r="1025" spans="1:26" ht="14.25" customHeight="1">
      <c r="A1025" s="435" t="s">
        <v>2686</v>
      </c>
      <c r="B1025" s="451" t="s">
        <v>339</v>
      </c>
      <c r="C1025" s="585" t="s">
        <v>548</v>
      </c>
      <c r="D1025" s="477" t="s">
        <v>1664</v>
      </c>
      <c r="E1025" s="435">
        <v>197671</v>
      </c>
      <c r="F1025" s="435"/>
      <c r="G1025" s="435"/>
      <c r="H1025" s="435"/>
      <c r="I1025" s="435"/>
      <c r="J1025" s="435" t="s">
        <v>796</v>
      </c>
      <c r="K1025" s="435" t="s">
        <v>796</v>
      </c>
      <c r="L1025" s="435" t="s">
        <v>796</v>
      </c>
      <c r="M1025" s="435" t="s">
        <v>296</v>
      </c>
      <c r="N1025" s="435">
        <v>20.694499969999999</v>
      </c>
      <c r="O1025" s="435">
        <v>92.647750849999994</v>
      </c>
      <c r="P1025" s="435" t="s">
        <v>797</v>
      </c>
      <c r="Q1025" s="435" t="s">
        <v>778</v>
      </c>
      <c r="R1025" s="438"/>
      <c r="S1025" s="568"/>
      <c r="T1025" s="452" t="s">
        <v>778</v>
      </c>
      <c r="U1025" s="440"/>
      <c r="V1025" s="561"/>
      <c r="W1025" s="568"/>
      <c r="X1025" s="17"/>
      <c r="Z1025" s="17"/>
    </row>
    <row r="1026" spans="1:26" ht="14.25" customHeight="1">
      <c r="A1026" s="561" t="s">
        <v>2686</v>
      </c>
      <c r="B1026" s="586" t="s">
        <v>339</v>
      </c>
      <c r="C1026" s="585" t="s">
        <v>541</v>
      </c>
      <c r="D1026" s="477" t="s">
        <v>1664</v>
      </c>
      <c r="E1026" s="435">
        <v>197672</v>
      </c>
      <c r="F1026" s="435" t="s">
        <v>541</v>
      </c>
      <c r="G1026" s="435"/>
      <c r="H1026" s="435"/>
      <c r="I1026" s="435"/>
      <c r="J1026" s="435" t="s">
        <v>796</v>
      </c>
      <c r="K1026" s="435" t="s">
        <v>796</v>
      </c>
      <c r="L1026" s="435" t="s">
        <v>796</v>
      </c>
      <c r="M1026" s="435" t="s">
        <v>296</v>
      </c>
      <c r="N1026" s="435">
        <v>20.686460490000002</v>
      </c>
      <c r="O1026" s="435">
        <v>92.682327270000002</v>
      </c>
      <c r="P1026" s="435" t="s">
        <v>797</v>
      </c>
      <c r="Q1026" s="435" t="s">
        <v>778</v>
      </c>
      <c r="R1026" s="568"/>
      <c r="S1026" s="568"/>
      <c r="T1026" s="452" t="s">
        <v>778</v>
      </c>
      <c r="U1026" s="570"/>
      <c r="V1026" s="566"/>
      <c r="W1026" s="568"/>
      <c r="X1026" s="107"/>
      <c r="Z1026" s="17"/>
    </row>
    <row r="1027" spans="1:26" ht="14.25" customHeight="1">
      <c r="A1027" s="561" t="s">
        <v>2686</v>
      </c>
      <c r="B1027" s="586" t="s">
        <v>339</v>
      </c>
      <c r="C1027" s="586" t="s">
        <v>545</v>
      </c>
      <c r="D1027" s="477" t="s">
        <v>1664</v>
      </c>
      <c r="E1027" s="435">
        <v>197669</v>
      </c>
      <c r="F1027" s="566"/>
      <c r="G1027" s="435"/>
      <c r="H1027" s="435"/>
      <c r="I1027" s="435"/>
      <c r="J1027" s="435" t="s">
        <v>2692</v>
      </c>
      <c r="K1027" s="435" t="s">
        <v>2658</v>
      </c>
      <c r="L1027" s="435" t="s">
        <v>2658</v>
      </c>
      <c r="M1027" s="435" t="s">
        <v>296</v>
      </c>
      <c r="N1027" s="435">
        <v>20.688629150000001</v>
      </c>
      <c r="O1027" s="435">
        <v>92.652481080000001</v>
      </c>
      <c r="P1027" s="435" t="s">
        <v>797</v>
      </c>
      <c r="Q1027" s="435" t="s">
        <v>778</v>
      </c>
      <c r="R1027" s="568"/>
      <c r="S1027" s="568"/>
      <c r="T1027" s="452" t="s">
        <v>803</v>
      </c>
      <c r="U1027" s="570"/>
      <c r="V1027" s="561"/>
      <c r="W1027" s="568"/>
      <c r="X1027" s="107"/>
      <c r="Z1027" s="17"/>
    </row>
    <row r="1028" spans="1:26" ht="14.25" customHeight="1">
      <c r="A1028" s="561" t="s">
        <v>2686</v>
      </c>
      <c r="B1028" s="593" t="s">
        <v>339</v>
      </c>
      <c r="C1028" s="593" t="s">
        <v>491</v>
      </c>
      <c r="D1028" s="477" t="s">
        <v>1664</v>
      </c>
      <c r="E1028" s="578">
        <v>197609</v>
      </c>
      <c r="F1028" s="435"/>
      <c r="G1028" s="435"/>
      <c r="H1028" s="578"/>
      <c r="I1028" s="578"/>
      <c r="J1028" s="578" t="s">
        <v>796</v>
      </c>
      <c r="K1028" s="578" t="s">
        <v>796</v>
      </c>
      <c r="L1028" s="578" t="s">
        <v>796</v>
      </c>
      <c r="M1028" s="578" t="s">
        <v>296</v>
      </c>
      <c r="N1028" s="578">
        <v>20.5177002</v>
      </c>
      <c r="O1028" s="578">
        <v>92.660263060000005</v>
      </c>
      <c r="P1028" s="435" t="s">
        <v>797</v>
      </c>
      <c r="Q1028" s="579" t="s">
        <v>778</v>
      </c>
      <c r="R1028" s="568"/>
      <c r="S1028" s="568"/>
      <c r="T1028" s="590"/>
      <c r="U1028" s="578"/>
      <c r="V1028" s="435" t="s">
        <v>491</v>
      </c>
      <c r="W1028" s="568"/>
      <c r="X1028" s="107"/>
      <c r="Z1028" s="17"/>
    </row>
    <row r="1029" spans="1:26" ht="14.25" customHeight="1">
      <c r="A1029" s="561" t="s">
        <v>2686</v>
      </c>
      <c r="B1029" s="586" t="s">
        <v>339</v>
      </c>
      <c r="C1029" s="586" t="s">
        <v>495</v>
      </c>
      <c r="D1029" s="477" t="s">
        <v>1664</v>
      </c>
      <c r="E1029" s="435">
        <v>197599</v>
      </c>
      <c r="F1029" s="435"/>
      <c r="G1029" s="435"/>
      <c r="H1029" s="435"/>
      <c r="I1029" s="435"/>
      <c r="J1029" s="435" t="s">
        <v>796</v>
      </c>
      <c r="K1029" s="561" t="s">
        <v>796</v>
      </c>
      <c r="L1029" s="561" t="s">
        <v>796</v>
      </c>
      <c r="M1029" s="435" t="s">
        <v>296</v>
      </c>
      <c r="N1029" s="435">
        <v>20.543479919999999</v>
      </c>
      <c r="O1029" s="435">
        <v>92.676979059999994</v>
      </c>
      <c r="P1029" s="435" t="s">
        <v>797</v>
      </c>
      <c r="Q1029" s="435" t="s">
        <v>778</v>
      </c>
      <c r="R1029" s="568"/>
      <c r="S1029" s="568"/>
      <c r="T1029" s="452"/>
      <c r="U1029" s="570"/>
      <c r="V1029" s="435" t="s">
        <v>495</v>
      </c>
      <c r="W1029" s="568"/>
      <c r="X1029" s="107"/>
      <c r="Z1029" s="17"/>
    </row>
    <row r="1030" spans="1:26" ht="14.25" customHeight="1">
      <c r="A1030" s="435" t="s">
        <v>2686</v>
      </c>
      <c r="B1030" s="451" t="s">
        <v>339</v>
      </c>
      <c r="C1030" s="586" t="s">
        <v>536</v>
      </c>
      <c r="D1030" s="567" t="s">
        <v>1664</v>
      </c>
      <c r="E1030" s="435">
        <v>197683</v>
      </c>
      <c r="F1030" s="571"/>
      <c r="G1030" s="435"/>
      <c r="H1030" s="435"/>
      <c r="I1030" s="435"/>
      <c r="J1030" s="435" t="s">
        <v>2692</v>
      </c>
      <c r="K1030" s="435" t="s">
        <v>2658</v>
      </c>
      <c r="L1030" s="435" t="s">
        <v>2658</v>
      </c>
      <c r="M1030" s="435" t="s">
        <v>296</v>
      </c>
      <c r="N1030" s="435">
        <v>20.678159709999999</v>
      </c>
      <c r="O1030" s="435">
        <v>92.713821409999994</v>
      </c>
      <c r="P1030" s="435" t="s">
        <v>797</v>
      </c>
      <c r="Q1030" s="435" t="s">
        <v>778</v>
      </c>
      <c r="R1030" s="566"/>
      <c r="S1030" s="566"/>
      <c r="T1030" s="452" t="s">
        <v>778</v>
      </c>
      <c r="U1030" s="440"/>
      <c r="V1030" s="435"/>
      <c r="W1030" s="568"/>
      <c r="X1030" s="107"/>
      <c r="Z1030" s="17"/>
    </row>
    <row r="1031" spans="1:26" ht="14.25" customHeight="1">
      <c r="A1031" s="435" t="s">
        <v>2686</v>
      </c>
      <c r="B1031" s="597" t="s">
        <v>339</v>
      </c>
      <c r="C1031" s="514" t="s">
        <v>908</v>
      </c>
      <c r="D1031" s="567" t="s">
        <v>1664</v>
      </c>
      <c r="E1031" s="435">
        <v>220694</v>
      </c>
      <c r="F1031" s="561"/>
      <c r="G1031" s="435"/>
      <c r="H1031" s="435"/>
      <c r="I1031" s="435"/>
      <c r="J1031" s="435" t="s">
        <v>796</v>
      </c>
      <c r="K1031" s="435" t="s">
        <v>796</v>
      </c>
      <c r="L1031" s="566" t="s">
        <v>796</v>
      </c>
      <c r="M1031" s="435" t="s">
        <v>296</v>
      </c>
      <c r="N1031" s="435">
        <v>20.581470490000001</v>
      </c>
      <c r="O1031" s="435">
        <v>92.643272400000001</v>
      </c>
      <c r="P1031" s="435" t="s">
        <v>797</v>
      </c>
      <c r="Q1031" s="435"/>
      <c r="R1031" s="576"/>
      <c r="S1031" s="569"/>
      <c r="T1031" s="452"/>
      <c r="U1031" s="440"/>
      <c r="V1031" s="435" t="s">
        <v>909</v>
      </c>
      <c r="W1031" s="568"/>
      <c r="X1031" s="107"/>
      <c r="Z1031" s="17"/>
    </row>
    <row r="1032" spans="1:26" ht="14.25" customHeight="1">
      <c r="A1032" s="561" t="s">
        <v>2686</v>
      </c>
      <c r="B1032" s="586" t="s">
        <v>339</v>
      </c>
      <c r="C1032" s="586" t="s">
        <v>340</v>
      </c>
      <c r="D1032" s="477" t="s">
        <v>1664</v>
      </c>
      <c r="E1032" s="435"/>
      <c r="F1032" s="435"/>
      <c r="G1032" s="435"/>
      <c r="H1032" s="435"/>
      <c r="I1032" s="435"/>
      <c r="J1032" s="435" t="s">
        <v>796</v>
      </c>
      <c r="K1032" s="435" t="s">
        <v>796</v>
      </c>
      <c r="L1032" s="435" t="s">
        <v>796</v>
      </c>
      <c r="M1032" s="435" t="s">
        <v>296</v>
      </c>
      <c r="N1032" s="435"/>
      <c r="O1032" s="435"/>
      <c r="P1032" s="435" t="s">
        <v>797</v>
      </c>
      <c r="Q1032" s="435" t="s">
        <v>778</v>
      </c>
      <c r="R1032" s="572"/>
      <c r="S1032" s="573"/>
      <c r="T1032" s="452" t="s">
        <v>803</v>
      </c>
      <c r="U1032" s="570"/>
      <c r="V1032" s="435"/>
      <c r="W1032" s="568"/>
      <c r="X1032" s="107"/>
      <c r="Z1032" s="17"/>
    </row>
    <row r="1033" spans="1:26" ht="14.25" customHeight="1">
      <c r="A1033" s="561" t="s">
        <v>2686</v>
      </c>
      <c r="B1033" s="586" t="s">
        <v>339</v>
      </c>
      <c r="C1033" s="586" t="s">
        <v>2738</v>
      </c>
      <c r="D1033" s="477" t="s">
        <v>1664</v>
      </c>
      <c r="E1033" s="435">
        <v>197586</v>
      </c>
      <c r="F1033" s="435" t="s">
        <v>2024</v>
      </c>
      <c r="G1033" s="435"/>
      <c r="H1033" s="435"/>
      <c r="I1033" s="435"/>
      <c r="J1033" s="435" t="s">
        <v>796</v>
      </c>
      <c r="K1033" s="435" t="s">
        <v>796</v>
      </c>
      <c r="L1033" s="435" t="s">
        <v>796</v>
      </c>
      <c r="M1033" s="435" t="s">
        <v>296</v>
      </c>
      <c r="N1033" s="435">
        <v>20.58996964</v>
      </c>
      <c r="O1033" s="435">
        <v>92.691757199999998</v>
      </c>
      <c r="P1033" s="435" t="s">
        <v>797</v>
      </c>
      <c r="Q1033" s="435" t="s">
        <v>778</v>
      </c>
      <c r="R1033" s="568"/>
      <c r="S1033" s="568"/>
      <c r="T1033" s="452"/>
      <c r="U1033" s="570"/>
      <c r="V1033" s="435" t="s">
        <v>508</v>
      </c>
      <c r="W1033" s="601"/>
      <c r="X1033" s="107"/>
      <c r="Z1033" s="17"/>
    </row>
    <row r="1034" spans="1:26" ht="14.25" customHeight="1">
      <c r="A1034" s="435" t="s">
        <v>2686</v>
      </c>
      <c r="B1034" s="451" t="s">
        <v>339</v>
      </c>
      <c r="C1034" s="586" t="s">
        <v>2852</v>
      </c>
      <c r="D1034" s="477" t="s">
        <v>1664</v>
      </c>
      <c r="E1034" s="561">
        <v>197589</v>
      </c>
      <c r="F1034" s="435" t="s">
        <v>906</v>
      </c>
      <c r="G1034" s="435"/>
      <c r="H1034" s="435"/>
      <c r="I1034" s="435"/>
      <c r="J1034" s="435" t="s">
        <v>2692</v>
      </c>
      <c r="K1034" s="435" t="s">
        <v>2658</v>
      </c>
      <c r="L1034" s="435" t="s">
        <v>2658</v>
      </c>
      <c r="M1034" s="435"/>
      <c r="N1034" s="435">
        <v>20.575780868530298</v>
      </c>
      <c r="O1034" s="435">
        <v>92.670402526855497</v>
      </c>
      <c r="P1034" s="435"/>
      <c r="Q1034" s="435"/>
      <c r="R1034" s="438"/>
      <c r="S1034" s="569"/>
      <c r="T1034" s="452"/>
      <c r="U1034" s="440"/>
      <c r="V1034" s="435" t="s">
        <v>2816</v>
      </c>
      <c r="W1034" s="568"/>
      <c r="X1034" s="107"/>
      <c r="Z1034" s="17"/>
    </row>
    <row r="1035" spans="1:26" ht="14.25" customHeight="1">
      <c r="A1035" s="572" t="s">
        <v>2686</v>
      </c>
      <c r="B1035" s="597" t="s">
        <v>339</v>
      </c>
      <c r="C1035" s="514" t="s">
        <v>2822</v>
      </c>
      <c r="D1035" s="567"/>
      <c r="E1035" s="435"/>
      <c r="F1035" s="561"/>
      <c r="G1035" s="435"/>
      <c r="H1035" s="435"/>
      <c r="I1035" s="435"/>
      <c r="J1035" s="435" t="s">
        <v>2692</v>
      </c>
      <c r="K1035" s="435" t="s">
        <v>2658</v>
      </c>
      <c r="L1035" s="435" t="s">
        <v>2658</v>
      </c>
      <c r="M1035" s="435"/>
      <c r="N1035" s="435"/>
      <c r="O1035" s="435"/>
      <c r="P1035" s="435"/>
      <c r="Q1035" s="435"/>
      <c r="R1035" s="576"/>
      <c r="S1035" s="569"/>
      <c r="T1035" s="452">
        <v>43591</v>
      </c>
      <c r="U1035" s="576"/>
      <c r="V1035" s="573" t="s">
        <v>2822</v>
      </c>
      <c r="W1035" s="568"/>
      <c r="X1035" s="107"/>
      <c r="Z1035" s="17"/>
    </row>
    <row r="1036" spans="1:26" ht="14.25" customHeight="1">
      <c r="A1036" s="561" t="s">
        <v>2686</v>
      </c>
      <c r="B1036" s="586" t="s">
        <v>339</v>
      </c>
      <c r="C1036" s="586" t="s">
        <v>885</v>
      </c>
      <c r="D1036" s="477" t="s">
        <v>1664</v>
      </c>
      <c r="E1036" s="435">
        <v>197765</v>
      </c>
      <c r="F1036" s="561"/>
      <c r="G1036" s="435"/>
      <c r="H1036" s="435"/>
      <c r="I1036" s="435"/>
      <c r="J1036" s="435" t="s">
        <v>796</v>
      </c>
      <c r="K1036" s="435" t="s">
        <v>796</v>
      </c>
      <c r="L1036" s="435" t="s">
        <v>796</v>
      </c>
      <c r="M1036" s="435" t="s">
        <v>296</v>
      </c>
      <c r="N1036" s="435">
        <v>20.3917</v>
      </c>
      <c r="O1036" s="435">
        <v>92.770899999999997</v>
      </c>
      <c r="P1036" s="435" t="s">
        <v>797</v>
      </c>
      <c r="Q1036" s="435"/>
      <c r="R1036" s="568"/>
      <c r="S1036" s="568"/>
      <c r="T1036" s="452"/>
      <c r="U1036" s="570"/>
      <c r="V1036" s="561" t="s">
        <v>885</v>
      </c>
      <c r="W1036" s="568"/>
      <c r="X1036" s="107"/>
      <c r="Z1036" s="17"/>
    </row>
    <row r="1037" spans="1:26" ht="14.25" customHeight="1">
      <c r="A1037" s="572" t="s">
        <v>2686</v>
      </c>
      <c r="B1037" s="597" t="s">
        <v>339</v>
      </c>
      <c r="C1037" s="514" t="s">
        <v>2823</v>
      </c>
      <c r="D1037" s="567"/>
      <c r="E1037" s="435"/>
      <c r="F1037" s="435"/>
      <c r="G1037" s="435"/>
      <c r="H1037" s="435"/>
      <c r="I1037" s="435"/>
      <c r="J1037" s="435" t="s">
        <v>2692</v>
      </c>
      <c r="K1037" s="561" t="s">
        <v>2658</v>
      </c>
      <c r="L1037" s="561" t="s">
        <v>2658</v>
      </c>
      <c r="M1037" s="435"/>
      <c r="N1037" s="561"/>
      <c r="O1037" s="561"/>
      <c r="P1037" s="435"/>
      <c r="Q1037" s="435"/>
      <c r="R1037" s="576"/>
      <c r="S1037" s="439"/>
      <c r="T1037" s="452">
        <v>43591</v>
      </c>
      <c r="U1037" s="576"/>
      <c r="V1037" s="435"/>
      <c r="W1037" s="568"/>
      <c r="X1037" s="107"/>
      <c r="Z1037" s="17"/>
    </row>
    <row r="1038" spans="1:26" ht="14.25" customHeight="1">
      <c r="A1038" s="561" t="s">
        <v>2686</v>
      </c>
      <c r="B1038" s="586" t="s">
        <v>339</v>
      </c>
      <c r="C1038" s="586" t="s">
        <v>563</v>
      </c>
      <c r="D1038" s="477" t="s">
        <v>1664</v>
      </c>
      <c r="E1038" s="435">
        <v>197666</v>
      </c>
      <c r="F1038" s="566"/>
      <c r="G1038" s="435"/>
      <c r="H1038" s="435"/>
      <c r="I1038" s="435"/>
      <c r="J1038" s="435" t="s">
        <v>796</v>
      </c>
      <c r="K1038" s="435" t="s">
        <v>796</v>
      </c>
      <c r="L1038" s="435" t="s">
        <v>796</v>
      </c>
      <c r="M1038" s="435" t="s">
        <v>793</v>
      </c>
      <c r="N1038" s="435">
        <v>20.716560359999999</v>
      </c>
      <c r="O1038" s="435">
        <v>92.645408630000006</v>
      </c>
      <c r="P1038" s="435" t="s">
        <v>797</v>
      </c>
      <c r="Q1038" s="435" t="s">
        <v>778</v>
      </c>
      <c r="R1038" s="572"/>
      <c r="S1038" s="573"/>
      <c r="T1038" s="452" t="s">
        <v>803</v>
      </c>
      <c r="U1038" s="570"/>
      <c r="V1038" s="435"/>
      <c r="W1038" s="568"/>
      <c r="X1038" s="107"/>
      <c r="Z1038" s="17"/>
    </row>
    <row r="1039" spans="1:26" ht="14.25" customHeight="1">
      <c r="A1039" s="561" t="s">
        <v>2686</v>
      </c>
      <c r="B1039" s="586" t="s">
        <v>339</v>
      </c>
      <c r="C1039" s="586" t="s">
        <v>573</v>
      </c>
      <c r="D1039" s="477" t="s">
        <v>1664</v>
      </c>
      <c r="E1039" s="435">
        <v>197665</v>
      </c>
      <c r="F1039" s="566"/>
      <c r="G1039" s="435"/>
      <c r="H1039" s="435"/>
      <c r="I1039" s="435"/>
      <c r="J1039" s="435" t="s">
        <v>796</v>
      </c>
      <c r="K1039" s="435" t="s">
        <v>796</v>
      </c>
      <c r="L1039" s="435" t="s">
        <v>796</v>
      </c>
      <c r="M1039" s="435" t="s">
        <v>296</v>
      </c>
      <c r="N1039" s="435">
        <v>20.72533035</v>
      </c>
      <c r="O1039" s="435">
        <v>92.64795685</v>
      </c>
      <c r="P1039" s="435" t="s">
        <v>797</v>
      </c>
      <c r="Q1039" s="435" t="s">
        <v>778</v>
      </c>
      <c r="R1039" s="572"/>
      <c r="S1039" s="573"/>
      <c r="T1039" s="452" t="s">
        <v>803</v>
      </c>
      <c r="U1039" s="570"/>
      <c r="V1039" s="435"/>
      <c r="W1039" s="568"/>
      <c r="X1039" s="107"/>
      <c r="Z1039" s="17"/>
    </row>
    <row r="1040" spans="1:26" ht="14.25" customHeight="1">
      <c r="A1040" s="561" t="s">
        <v>2686</v>
      </c>
      <c r="B1040" s="586" t="s">
        <v>339</v>
      </c>
      <c r="C1040" s="586" t="s">
        <v>493</v>
      </c>
      <c r="D1040" s="477" t="s">
        <v>1664</v>
      </c>
      <c r="E1040" s="435">
        <v>197595</v>
      </c>
      <c r="F1040" s="435" t="s">
        <v>503</v>
      </c>
      <c r="G1040" s="435"/>
      <c r="H1040" s="435"/>
      <c r="I1040" s="435"/>
      <c r="J1040" s="435" t="s">
        <v>796</v>
      </c>
      <c r="K1040" s="435" t="s">
        <v>796</v>
      </c>
      <c r="L1040" s="435" t="s">
        <v>796</v>
      </c>
      <c r="M1040" s="435" t="s">
        <v>296</v>
      </c>
      <c r="N1040" s="435">
        <v>20.523090360000001</v>
      </c>
      <c r="O1040" s="435">
        <v>92.637947080000004</v>
      </c>
      <c r="P1040" s="435" t="s">
        <v>797</v>
      </c>
      <c r="Q1040" s="435" t="s">
        <v>778</v>
      </c>
      <c r="R1040" s="568"/>
      <c r="S1040" s="439"/>
      <c r="T1040" s="452"/>
      <c r="U1040" s="440"/>
      <c r="V1040" s="435" t="s">
        <v>493</v>
      </c>
      <c r="W1040" s="568"/>
      <c r="X1040" s="107"/>
      <c r="Z1040" s="17"/>
    </row>
    <row r="1041" spans="1:23" ht="14.25" customHeight="1">
      <c r="A1041" s="597" t="s">
        <v>2686</v>
      </c>
      <c r="B1041" s="597" t="s">
        <v>339</v>
      </c>
      <c r="C1041" s="514" t="s">
        <v>2821</v>
      </c>
      <c r="D1041" s="567"/>
      <c r="E1041" s="435">
        <v>197677</v>
      </c>
      <c r="F1041" s="435"/>
      <c r="G1041" s="435"/>
      <c r="H1041" s="435"/>
      <c r="I1041" s="435"/>
      <c r="J1041" s="435" t="s">
        <v>2692</v>
      </c>
      <c r="K1041" s="435" t="s">
        <v>2658</v>
      </c>
      <c r="L1041" s="435" t="s">
        <v>2658</v>
      </c>
      <c r="M1041" s="435"/>
      <c r="N1041" s="435">
        <v>20.660871505737301</v>
      </c>
      <c r="O1041" s="435">
        <v>92.683090209960895</v>
      </c>
      <c r="P1041" s="435"/>
      <c r="Q1041" s="435"/>
      <c r="R1041" s="576"/>
      <c r="S1041" s="439"/>
      <c r="T1041" s="452">
        <v>43591</v>
      </c>
      <c r="U1041" s="576"/>
      <c r="V1041" s="435"/>
      <c r="W1041" s="568"/>
    </row>
    <row r="1042" spans="1:23" ht="14.25" customHeight="1">
      <c r="A1042" s="586" t="s">
        <v>2686</v>
      </c>
      <c r="B1042" s="586" t="s">
        <v>339</v>
      </c>
      <c r="C1042" s="586" t="s">
        <v>498</v>
      </c>
      <c r="D1042" s="477" t="s">
        <v>1664</v>
      </c>
      <c r="E1042" s="561">
        <v>197600</v>
      </c>
      <c r="F1042" s="435"/>
      <c r="G1042" s="435"/>
      <c r="H1042" s="435"/>
      <c r="I1042" s="435"/>
      <c r="J1042" s="435" t="s">
        <v>796</v>
      </c>
      <c r="K1042" s="435" t="s">
        <v>796</v>
      </c>
      <c r="L1042" s="435" t="s">
        <v>796</v>
      </c>
      <c r="M1042" s="435" t="s">
        <v>793</v>
      </c>
      <c r="N1042" s="435">
        <v>20.550130840000001</v>
      </c>
      <c r="O1042" s="435">
        <v>92.656723020000001</v>
      </c>
      <c r="P1042" s="435" t="s">
        <v>797</v>
      </c>
      <c r="Q1042" s="435" t="s">
        <v>778</v>
      </c>
      <c r="R1042" s="568"/>
      <c r="S1042" s="439"/>
      <c r="T1042" s="452"/>
      <c r="U1042" s="440"/>
      <c r="V1042" s="435" t="s">
        <v>498</v>
      </c>
      <c r="W1042" s="568"/>
    </row>
    <row r="1043" spans="1:23" ht="14.25" customHeight="1">
      <c r="A1043" s="586" t="s">
        <v>2686</v>
      </c>
      <c r="B1043" s="586" t="s">
        <v>339</v>
      </c>
      <c r="C1043" s="586" t="s">
        <v>484</v>
      </c>
      <c r="D1043" s="477" t="s">
        <v>1664</v>
      </c>
      <c r="E1043" s="435">
        <v>197614</v>
      </c>
      <c r="F1043" s="435" t="s">
        <v>484</v>
      </c>
      <c r="G1043" s="435"/>
      <c r="H1043" s="435"/>
      <c r="I1043" s="561"/>
      <c r="J1043" s="435" t="s">
        <v>796</v>
      </c>
      <c r="K1043" s="435" t="s">
        <v>796</v>
      </c>
      <c r="L1043" s="435" t="s">
        <v>796</v>
      </c>
      <c r="M1043" s="435" t="s">
        <v>296</v>
      </c>
      <c r="N1043" s="435">
        <v>20.48693085</v>
      </c>
      <c r="O1043" s="435">
        <v>92.662757869999993</v>
      </c>
      <c r="P1043" s="435" t="s">
        <v>797</v>
      </c>
      <c r="Q1043" s="435" t="s">
        <v>800</v>
      </c>
      <c r="R1043" s="438"/>
      <c r="S1043" s="568"/>
      <c r="T1043" s="452">
        <v>42926</v>
      </c>
      <c r="U1043" s="440" t="s">
        <v>801</v>
      </c>
      <c r="V1043" s="435"/>
      <c r="W1043" s="568"/>
    </row>
    <row r="1044" spans="1:23" ht="14.25" customHeight="1">
      <c r="A1044" s="586" t="s">
        <v>2686</v>
      </c>
      <c r="B1044" s="586" t="s">
        <v>339</v>
      </c>
      <c r="C1044" s="586" t="s">
        <v>481</v>
      </c>
      <c r="D1044" s="477" t="s">
        <v>1664</v>
      </c>
      <c r="E1044" s="435">
        <v>197617</v>
      </c>
      <c r="F1044" s="566" t="s">
        <v>481</v>
      </c>
      <c r="G1044" s="435"/>
      <c r="H1044" s="435"/>
      <c r="I1044" s="435"/>
      <c r="J1044" s="435" t="s">
        <v>796</v>
      </c>
      <c r="K1044" s="435" t="s">
        <v>796</v>
      </c>
      <c r="L1044" s="435" t="s">
        <v>796</v>
      </c>
      <c r="M1044" s="435" t="s">
        <v>296</v>
      </c>
      <c r="N1044" s="435">
        <v>20.47896957</v>
      </c>
      <c r="O1044" s="435">
        <v>92.683746339999999</v>
      </c>
      <c r="P1044" s="435" t="s">
        <v>797</v>
      </c>
      <c r="Q1044" s="435" t="s">
        <v>800</v>
      </c>
      <c r="R1044" s="568"/>
      <c r="S1044" s="439"/>
      <c r="T1044" s="452">
        <v>42926</v>
      </c>
      <c r="U1044" s="440" t="s">
        <v>801</v>
      </c>
      <c r="V1044" s="561"/>
      <c r="W1044" s="568"/>
    </row>
    <row r="1045" spans="1:23" ht="14.25" customHeight="1">
      <c r="A1045" s="597" t="s">
        <v>2686</v>
      </c>
      <c r="B1045" s="597" t="s">
        <v>339</v>
      </c>
      <c r="C1045" s="514" t="s">
        <v>2817</v>
      </c>
      <c r="D1045" s="567"/>
      <c r="E1045" s="435"/>
      <c r="F1045" s="435"/>
      <c r="G1045" s="435"/>
      <c r="H1045" s="435"/>
      <c r="I1045" s="435"/>
      <c r="J1045" s="435" t="s">
        <v>2692</v>
      </c>
      <c r="K1045" s="435" t="s">
        <v>2658</v>
      </c>
      <c r="L1045" s="435" t="s">
        <v>2658</v>
      </c>
      <c r="M1045" s="435"/>
      <c r="N1045" s="561"/>
      <c r="O1045" s="561"/>
      <c r="P1045" s="435"/>
      <c r="Q1045" s="435"/>
      <c r="R1045" s="576"/>
      <c r="S1045" s="439"/>
      <c r="T1045" s="452">
        <v>43591</v>
      </c>
      <c r="U1045" s="576"/>
      <c r="V1045" s="435"/>
      <c r="W1045" s="568"/>
    </row>
    <row r="1046" spans="1:23" ht="14.25" customHeight="1">
      <c r="A1046" s="586" t="s">
        <v>2686</v>
      </c>
      <c r="B1046" s="586" t="s">
        <v>339</v>
      </c>
      <c r="C1046" s="586" t="s">
        <v>525</v>
      </c>
      <c r="D1046" s="477" t="s">
        <v>1664</v>
      </c>
      <c r="E1046" s="435">
        <v>197673</v>
      </c>
      <c r="F1046" s="435"/>
      <c r="G1046" s="435"/>
      <c r="H1046" s="435"/>
      <c r="I1046" s="561"/>
      <c r="J1046" s="435" t="s">
        <v>2692</v>
      </c>
      <c r="K1046" s="435" t="s">
        <v>2658</v>
      </c>
      <c r="L1046" s="435" t="s">
        <v>2658</v>
      </c>
      <c r="M1046" s="435" t="s">
        <v>296</v>
      </c>
      <c r="N1046" s="435">
        <v>20.66592979</v>
      </c>
      <c r="O1046" s="435">
        <v>92.672691349999994</v>
      </c>
      <c r="P1046" s="435" t="s">
        <v>797</v>
      </c>
      <c r="Q1046" s="435" t="s">
        <v>778</v>
      </c>
      <c r="R1046" s="438"/>
      <c r="S1046" s="569"/>
      <c r="T1046" s="452" t="s">
        <v>778</v>
      </c>
      <c r="U1046" s="440"/>
      <c r="V1046" s="561"/>
      <c r="W1046" s="568"/>
    </row>
    <row r="1047" spans="1:23" ht="14.25" customHeight="1">
      <c r="A1047" s="597" t="s">
        <v>2686</v>
      </c>
      <c r="B1047" s="597" t="s">
        <v>339</v>
      </c>
      <c r="C1047" s="514" t="s">
        <v>529</v>
      </c>
      <c r="D1047" s="567"/>
      <c r="E1047" s="435">
        <v>197675</v>
      </c>
      <c r="F1047" s="435"/>
      <c r="G1047" s="435"/>
      <c r="H1047" s="435"/>
      <c r="I1047" s="435"/>
      <c r="J1047" s="435" t="s">
        <v>2692</v>
      </c>
      <c r="K1047" s="435" t="s">
        <v>2658</v>
      </c>
      <c r="L1047" s="435" t="s">
        <v>2658</v>
      </c>
      <c r="M1047" s="435" t="s">
        <v>296</v>
      </c>
      <c r="N1047" s="435">
        <v>20.670539860000002</v>
      </c>
      <c r="O1047" s="435">
        <v>92.703033450000007</v>
      </c>
      <c r="P1047" s="435" t="s">
        <v>797</v>
      </c>
      <c r="Q1047" s="435"/>
      <c r="R1047" s="576"/>
      <c r="S1047" s="569"/>
      <c r="T1047" s="452">
        <v>43591</v>
      </c>
      <c r="U1047" s="576"/>
      <c r="V1047" s="561"/>
      <c r="W1047" s="568"/>
    </row>
    <row r="1048" spans="1:23" ht="14.25" customHeight="1">
      <c r="A1048" s="586" t="s">
        <v>2686</v>
      </c>
      <c r="B1048" s="586" t="s">
        <v>339</v>
      </c>
      <c r="C1048" s="586" t="s">
        <v>478</v>
      </c>
      <c r="D1048" s="477" t="s">
        <v>1664</v>
      </c>
      <c r="E1048" s="435">
        <v>197632</v>
      </c>
      <c r="F1048" s="435"/>
      <c r="G1048" s="435"/>
      <c r="H1048" s="435"/>
      <c r="I1048" s="435"/>
      <c r="J1048" s="435" t="s">
        <v>796</v>
      </c>
      <c r="K1048" s="435" t="s">
        <v>796</v>
      </c>
      <c r="L1048" s="435" t="s">
        <v>796</v>
      </c>
      <c r="M1048" s="435" t="s">
        <v>296</v>
      </c>
      <c r="N1048" s="435">
        <v>20.469949719999999</v>
      </c>
      <c r="O1048" s="435">
        <v>92.676437379999996</v>
      </c>
      <c r="P1048" s="435" t="s">
        <v>797</v>
      </c>
      <c r="Q1048" s="435" t="s">
        <v>800</v>
      </c>
      <c r="R1048" s="568"/>
      <c r="S1048" s="439"/>
      <c r="T1048" s="452">
        <v>42926</v>
      </c>
      <c r="U1048" s="440" t="s">
        <v>801</v>
      </c>
      <c r="V1048" s="435"/>
      <c r="W1048" s="568"/>
    </row>
    <row r="1049" spans="1:23" ht="14.25" customHeight="1">
      <c r="A1049" s="586" t="s">
        <v>296</v>
      </c>
      <c r="B1049" s="586" t="s">
        <v>327</v>
      </c>
      <c r="C1049" s="586" t="s">
        <v>386</v>
      </c>
      <c r="D1049" s="477" t="s">
        <v>1664</v>
      </c>
      <c r="E1049" s="435">
        <v>199157</v>
      </c>
      <c r="F1049" s="435"/>
      <c r="G1049" s="435"/>
      <c r="H1049" s="435"/>
      <c r="I1049" s="435"/>
      <c r="J1049" s="435" t="s">
        <v>802</v>
      </c>
      <c r="K1049" s="435" t="s">
        <v>796</v>
      </c>
      <c r="L1049" s="435" t="s">
        <v>802</v>
      </c>
      <c r="M1049" s="435" t="s">
        <v>805</v>
      </c>
      <c r="N1049" s="435">
        <v>19.726810459999999</v>
      </c>
      <c r="O1049" s="435">
        <v>94.028686519999994</v>
      </c>
      <c r="P1049" s="435" t="s">
        <v>921</v>
      </c>
      <c r="Q1049" s="435" t="s">
        <v>778</v>
      </c>
      <c r="R1049" s="568"/>
      <c r="S1049" s="439"/>
      <c r="T1049" s="452" t="s">
        <v>803</v>
      </c>
      <c r="U1049" s="440"/>
      <c r="V1049" s="435" t="s">
        <v>386</v>
      </c>
      <c r="W1049" s="561"/>
    </row>
    <row r="1050" spans="1:23" ht="14.25" customHeight="1">
      <c r="A1050" s="586" t="s">
        <v>296</v>
      </c>
      <c r="B1050" s="586" t="s">
        <v>327</v>
      </c>
      <c r="C1050" s="586" t="s">
        <v>398</v>
      </c>
      <c r="D1050" s="477" t="s">
        <v>1664</v>
      </c>
      <c r="E1050" s="435">
        <v>199233</v>
      </c>
      <c r="F1050" s="435"/>
      <c r="G1050" s="435"/>
      <c r="H1050" s="435"/>
      <c r="I1050" s="435"/>
      <c r="J1050" s="435" t="s">
        <v>802</v>
      </c>
      <c r="K1050" s="435" t="s">
        <v>796</v>
      </c>
      <c r="L1050" s="435" t="s">
        <v>802</v>
      </c>
      <c r="M1050" s="435" t="s">
        <v>296</v>
      </c>
      <c r="N1050" s="435">
        <v>19.994710919999999</v>
      </c>
      <c r="O1050" s="435">
        <v>93.836921689999997</v>
      </c>
      <c r="P1050" s="435" t="s">
        <v>921</v>
      </c>
      <c r="Q1050" s="435" t="s">
        <v>778</v>
      </c>
      <c r="R1050" s="568"/>
      <c r="S1050" s="569"/>
      <c r="T1050" s="452" t="s">
        <v>803</v>
      </c>
      <c r="U1050" s="440"/>
      <c r="V1050" s="435" t="s">
        <v>398</v>
      </c>
      <c r="W1050" s="561"/>
    </row>
    <row r="1051" spans="1:23" ht="14.25" customHeight="1">
      <c r="A1051" s="586" t="s">
        <v>296</v>
      </c>
      <c r="B1051" s="586" t="s">
        <v>327</v>
      </c>
      <c r="C1051" s="586" t="s">
        <v>393</v>
      </c>
      <c r="D1051" s="477" t="s">
        <v>1664</v>
      </c>
      <c r="E1051" s="435">
        <v>199235</v>
      </c>
      <c r="F1051" s="561"/>
      <c r="G1051" s="435"/>
      <c r="H1051" s="435"/>
      <c r="I1051" s="561"/>
      <c r="J1051" s="435" t="s">
        <v>802</v>
      </c>
      <c r="K1051" s="435" t="s">
        <v>796</v>
      </c>
      <c r="L1051" s="435" t="s">
        <v>802</v>
      </c>
      <c r="M1051" s="435" t="s">
        <v>296</v>
      </c>
      <c r="N1051" s="435">
        <v>19.98567963</v>
      </c>
      <c r="O1051" s="435">
        <v>93.843322749999999</v>
      </c>
      <c r="P1051" s="435" t="s">
        <v>921</v>
      </c>
      <c r="Q1051" s="435" t="s">
        <v>778</v>
      </c>
      <c r="R1051" s="438"/>
      <c r="S1051" s="569"/>
      <c r="T1051" s="452" t="s">
        <v>803</v>
      </c>
      <c r="U1051" s="440"/>
      <c r="V1051" s="435" t="s">
        <v>393</v>
      </c>
      <c r="W1051" s="561"/>
    </row>
    <row r="1052" spans="1:23" ht="14.25" customHeight="1">
      <c r="A1052" s="586" t="s">
        <v>296</v>
      </c>
      <c r="B1052" s="586" t="s">
        <v>327</v>
      </c>
      <c r="C1052" s="586" t="s">
        <v>395</v>
      </c>
      <c r="D1052" s="477" t="s">
        <v>1664</v>
      </c>
      <c r="E1052" s="435">
        <v>199236</v>
      </c>
      <c r="F1052" s="561"/>
      <c r="G1052" s="435"/>
      <c r="H1052" s="435"/>
      <c r="I1052" s="435"/>
      <c r="J1052" s="435" t="s">
        <v>802</v>
      </c>
      <c r="K1052" s="435" t="s">
        <v>796</v>
      </c>
      <c r="L1052" s="435" t="s">
        <v>802</v>
      </c>
      <c r="M1052" s="435" t="s">
        <v>296</v>
      </c>
      <c r="N1052" s="435">
        <v>19.98868942</v>
      </c>
      <c r="O1052" s="435">
        <v>93.842460630000005</v>
      </c>
      <c r="P1052" s="435" t="s">
        <v>921</v>
      </c>
      <c r="Q1052" s="435" t="s">
        <v>778</v>
      </c>
      <c r="R1052" s="568"/>
      <c r="S1052" s="569"/>
      <c r="T1052" s="452" t="s">
        <v>803</v>
      </c>
      <c r="U1052" s="440"/>
      <c r="V1052" s="435" t="s">
        <v>395</v>
      </c>
      <c r="W1052" s="561"/>
    </row>
    <row r="1053" spans="1:23" ht="14.25" customHeight="1">
      <c r="A1053" s="586" t="s">
        <v>296</v>
      </c>
      <c r="B1053" s="586" t="s">
        <v>327</v>
      </c>
      <c r="C1053" s="586" t="s">
        <v>375</v>
      </c>
      <c r="D1053" s="477" t="s">
        <v>1664</v>
      </c>
      <c r="E1053" s="435">
        <v>199264</v>
      </c>
      <c r="F1053" s="435"/>
      <c r="G1053" s="435"/>
      <c r="H1053" s="435"/>
      <c r="I1053" s="435"/>
      <c r="J1053" s="435" t="s">
        <v>802</v>
      </c>
      <c r="K1053" s="435" t="s">
        <v>796</v>
      </c>
      <c r="L1053" s="435" t="s">
        <v>802</v>
      </c>
      <c r="M1053" s="435" t="s">
        <v>296</v>
      </c>
      <c r="N1053" s="435">
        <v>19.61097908</v>
      </c>
      <c r="O1053" s="435">
        <v>93.984741209999996</v>
      </c>
      <c r="P1053" s="435" t="s">
        <v>921</v>
      </c>
      <c r="Q1053" s="435" t="s">
        <v>778</v>
      </c>
      <c r="R1053" s="568"/>
      <c r="S1053" s="439"/>
      <c r="T1053" s="452" t="s">
        <v>803</v>
      </c>
      <c r="U1053" s="440"/>
      <c r="V1053" s="435" t="s">
        <v>375</v>
      </c>
      <c r="W1053" s="561"/>
    </row>
    <row r="1054" spans="1:23" ht="14.25" customHeight="1">
      <c r="A1054" s="586" t="s">
        <v>296</v>
      </c>
      <c r="B1054" s="586" t="s">
        <v>327</v>
      </c>
      <c r="C1054" s="586" t="s">
        <v>384</v>
      </c>
      <c r="D1054" s="477" t="s">
        <v>1664</v>
      </c>
      <c r="E1054" s="435">
        <v>199159</v>
      </c>
      <c r="F1054" s="435"/>
      <c r="G1054" s="435"/>
      <c r="H1054" s="435"/>
      <c r="I1054" s="561"/>
      <c r="J1054" s="435" t="s">
        <v>802</v>
      </c>
      <c r="K1054" s="435" t="s">
        <v>796</v>
      </c>
      <c r="L1054" s="435" t="s">
        <v>802</v>
      </c>
      <c r="M1054" s="435" t="s">
        <v>296</v>
      </c>
      <c r="N1054" s="435">
        <v>19.721389769999998</v>
      </c>
      <c r="O1054" s="435">
        <v>94.019851680000002</v>
      </c>
      <c r="P1054" s="435" t="s">
        <v>921</v>
      </c>
      <c r="Q1054" s="435" t="s">
        <v>778</v>
      </c>
      <c r="R1054" s="438"/>
      <c r="S1054" s="569"/>
      <c r="T1054" s="452" t="s">
        <v>803</v>
      </c>
      <c r="U1054" s="440"/>
      <c r="V1054" s="435" t="s">
        <v>384</v>
      </c>
      <c r="W1054" s="561"/>
    </row>
    <row r="1055" spans="1:23" ht="14.25" customHeight="1">
      <c r="A1055" s="586" t="s">
        <v>296</v>
      </c>
      <c r="B1055" s="586" t="s">
        <v>327</v>
      </c>
      <c r="C1055" s="763" t="s">
        <v>399</v>
      </c>
      <c r="D1055" s="477" t="s">
        <v>1664</v>
      </c>
      <c r="E1055" s="435">
        <v>199240</v>
      </c>
      <c r="F1055" s="435"/>
      <c r="G1055" s="435"/>
      <c r="H1055" s="435"/>
      <c r="I1055" s="561"/>
      <c r="J1055" s="435" t="s">
        <v>802</v>
      </c>
      <c r="K1055" s="435" t="s">
        <v>796</v>
      </c>
      <c r="L1055" s="435" t="s">
        <v>802</v>
      </c>
      <c r="M1055" s="435" t="s">
        <v>296</v>
      </c>
      <c r="N1055" s="435">
        <v>20.008769990000001</v>
      </c>
      <c r="O1055" s="435">
        <v>93.816879270000001</v>
      </c>
      <c r="P1055" s="435" t="s">
        <v>921</v>
      </c>
      <c r="Q1055" s="435" t="s">
        <v>778</v>
      </c>
      <c r="R1055" s="438"/>
      <c r="S1055" s="569"/>
      <c r="T1055" s="452" t="s">
        <v>803</v>
      </c>
      <c r="U1055" s="440"/>
      <c r="V1055" s="429" t="s">
        <v>399</v>
      </c>
      <c r="W1055" s="561"/>
    </row>
    <row r="1056" spans="1:23" ht="14.25" customHeight="1">
      <c r="A1056" s="586" t="s">
        <v>296</v>
      </c>
      <c r="B1056" s="586" t="s">
        <v>327</v>
      </c>
      <c r="C1056" s="586" t="s">
        <v>391</v>
      </c>
      <c r="D1056" s="477" t="s">
        <v>1664</v>
      </c>
      <c r="E1056" s="435">
        <v>199134</v>
      </c>
      <c r="F1056" s="435"/>
      <c r="G1056" s="435"/>
      <c r="H1056" s="435"/>
      <c r="I1056" s="435"/>
      <c r="J1056" s="435" t="s">
        <v>802</v>
      </c>
      <c r="K1056" s="435" t="s">
        <v>796</v>
      </c>
      <c r="L1056" s="435" t="s">
        <v>802</v>
      </c>
      <c r="M1056" s="435" t="s">
        <v>809</v>
      </c>
      <c r="N1056" s="435">
        <v>19.95569038</v>
      </c>
      <c r="O1056" s="435">
        <v>93.80155182</v>
      </c>
      <c r="P1056" s="435" t="s">
        <v>921</v>
      </c>
      <c r="Q1056" s="435" t="s">
        <v>778</v>
      </c>
      <c r="R1056" s="568"/>
      <c r="S1056" s="569"/>
      <c r="T1056" s="452" t="s">
        <v>803</v>
      </c>
      <c r="U1056" s="440"/>
      <c r="V1056" s="435" t="s">
        <v>810</v>
      </c>
      <c r="W1056" s="561"/>
    </row>
    <row r="1057" spans="1:23" ht="14.25" customHeight="1">
      <c r="A1057" s="586" t="s">
        <v>296</v>
      </c>
      <c r="B1057" s="586" t="s">
        <v>327</v>
      </c>
      <c r="C1057" s="586" t="s">
        <v>383</v>
      </c>
      <c r="D1057" s="477" t="s">
        <v>1664</v>
      </c>
      <c r="E1057" s="435">
        <v>199161</v>
      </c>
      <c r="F1057" s="435"/>
      <c r="G1057" s="435"/>
      <c r="H1057" s="435"/>
      <c r="I1057" s="435"/>
      <c r="J1057" s="435" t="s">
        <v>802</v>
      </c>
      <c r="K1057" s="435" t="s">
        <v>796</v>
      </c>
      <c r="L1057" s="435" t="s">
        <v>802</v>
      </c>
      <c r="M1057" s="435" t="s">
        <v>805</v>
      </c>
      <c r="N1057" s="435">
        <v>19.70627975</v>
      </c>
      <c r="O1057" s="435">
        <v>94.016433719999995</v>
      </c>
      <c r="P1057" s="435" t="s">
        <v>921</v>
      </c>
      <c r="Q1057" s="435" t="s">
        <v>778</v>
      </c>
      <c r="R1057" s="568"/>
      <c r="S1057" s="569"/>
      <c r="T1057" s="452" t="s">
        <v>803</v>
      </c>
      <c r="U1057" s="440"/>
      <c r="V1057" s="435" t="s">
        <v>383</v>
      </c>
      <c r="W1057" s="561"/>
    </row>
    <row r="1058" spans="1:23" ht="14.25" customHeight="1">
      <c r="A1058" s="586" t="s">
        <v>296</v>
      </c>
      <c r="B1058" s="586" t="s">
        <v>327</v>
      </c>
      <c r="C1058" s="586" t="s">
        <v>378</v>
      </c>
      <c r="D1058" s="477" t="s">
        <v>1664</v>
      </c>
      <c r="E1058" s="435">
        <v>199266</v>
      </c>
      <c r="F1058" s="435"/>
      <c r="G1058" s="435"/>
      <c r="H1058" s="435"/>
      <c r="I1058" s="561"/>
      <c r="J1058" s="435" t="s">
        <v>802</v>
      </c>
      <c r="K1058" s="561" t="s">
        <v>796</v>
      </c>
      <c r="L1058" s="561" t="s">
        <v>802</v>
      </c>
      <c r="M1058" s="435" t="s">
        <v>805</v>
      </c>
      <c r="N1058" s="435">
        <v>19.6192894</v>
      </c>
      <c r="O1058" s="435">
        <v>93.95968628</v>
      </c>
      <c r="P1058" s="435" t="s">
        <v>921</v>
      </c>
      <c r="Q1058" s="435" t="s">
        <v>778</v>
      </c>
      <c r="R1058" s="568"/>
      <c r="S1058" s="569"/>
      <c r="T1058" s="452" t="s">
        <v>803</v>
      </c>
      <c r="U1058" s="440"/>
      <c r="V1058" s="435" t="s">
        <v>378</v>
      </c>
      <c r="W1058" s="561"/>
    </row>
    <row r="1059" spans="1:23" ht="14.25" customHeight="1">
      <c r="A1059" s="586" t="s">
        <v>296</v>
      </c>
      <c r="B1059" s="586" t="s">
        <v>327</v>
      </c>
      <c r="C1059" s="586" t="s">
        <v>373</v>
      </c>
      <c r="D1059" s="477" t="s">
        <v>1664</v>
      </c>
      <c r="E1059" s="435">
        <v>199191</v>
      </c>
      <c r="F1059" s="561"/>
      <c r="G1059" s="435"/>
      <c r="H1059" s="435"/>
      <c r="I1059" s="435"/>
      <c r="J1059" s="435" t="s">
        <v>802</v>
      </c>
      <c r="K1059" s="561" t="s">
        <v>796</v>
      </c>
      <c r="L1059" s="561" t="s">
        <v>802</v>
      </c>
      <c r="M1059" s="435" t="s">
        <v>296</v>
      </c>
      <c r="N1059" s="435">
        <v>19.484790799999999</v>
      </c>
      <c r="O1059" s="435">
        <v>94.007926940000004</v>
      </c>
      <c r="P1059" s="435" t="s">
        <v>921</v>
      </c>
      <c r="Q1059" s="435" t="s">
        <v>778</v>
      </c>
      <c r="R1059" s="438"/>
      <c r="S1059" s="569"/>
      <c r="T1059" s="452" t="s">
        <v>803</v>
      </c>
      <c r="U1059" s="440"/>
      <c r="V1059" s="435" t="s">
        <v>373</v>
      </c>
      <c r="W1059" s="561"/>
    </row>
    <row r="1060" spans="1:23" ht="14.25" customHeight="1">
      <c r="A1060" s="586" t="s">
        <v>296</v>
      </c>
      <c r="B1060" s="586" t="s">
        <v>327</v>
      </c>
      <c r="C1060" s="586" t="s">
        <v>328</v>
      </c>
      <c r="D1060" s="477" t="s">
        <v>1664</v>
      </c>
      <c r="E1060" s="435"/>
      <c r="F1060" s="566"/>
      <c r="G1060" s="435"/>
      <c r="H1060" s="435"/>
      <c r="I1060" s="435"/>
      <c r="J1060" s="435" t="s">
        <v>802</v>
      </c>
      <c r="K1060" s="435" t="s">
        <v>796</v>
      </c>
      <c r="L1060" s="435" t="s">
        <v>802</v>
      </c>
      <c r="M1060" s="435" t="s">
        <v>809</v>
      </c>
      <c r="N1060" s="435"/>
      <c r="O1060" s="435"/>
      <c r="P1060" s="435" t="s">
        <v>921</v>
      </c>
      <c r="Q1060" s="435" t="s">
        <v>778</v>
      </c>
      <c r="R1060" s="438"/>
      <c r="S1060" s="569"/>
      <c r="T1060" s="452" t="s">
        <v>803</v>
      </c>
      <c r="U1060" s="440"/>
      <c r="V1060" s="435" t="s">
        <v>328</v>
      </c>
      <c r="W1060" s="561"/>
    </row>
    <row r="1061" spans="1:23" ht="14.25" customHeight="1">
      <c r="A1061" s="586" t="s">
        <v>296</v>
      </c>
      <c r="B1061" s="586" t="s">
        <v>327</v>
      </c>
      <c r="C1061" s="586" t="s">
        <v>396</v>
      </c>
      <c r="D1061" s="477" t="s">
        <v>1664</v>
      </c>
      <c r="E1061" s="435">
        <v>199250</v>
      </c>
      <c r="F1061" s="435"/>
      <c r="G1061" s="435"/>
      <c r="H1061" s="435"/>
      <c r="I1061" s="435"/>
      <c r="J1061" s="435" t="s">
        <v>802</v>
      </c>
      <c r="K1061" s="435" t="s">
        <v>796</v>
      </c>
      <c r="L1061" s="435" t="s">
        <v>802</v>
      </c>
      <c r="M1061" s="435" t="s">
        <v>296</v>
      </c>
      <c r="N1061" s="435">
        <v>19.989589689999999</v>
      </c>
      <c r="O1061" s="435">
        <v>93.823867800000002</v>
      </c>
      <c r="P1061" s="435" t="s">
        <v>921</v>
      </c>
      <c r="Q1061" s="435" t="s">
        <v>778</v>
      </c>
      <c r="R1061" s="568"/>
      <c r="S1061" s="439"/>
      <c r="T1061" s="452" t="s">
        <v>803</v>
      </c>
      <c r="U1061" s="440"/>
      <c r="V1061" s="435" t="s">
        <v>812</v>
      </c>
      <c r="W1061" s="561"/>
    </row>
    <row r="1062" spans="1:23" ht="14.25" customHeight="1">
      <c r="A1062" s="586" t="s">
        <v>296</v>
      </c>
      <c r="B1062" s="586" t="s">
        <v>327</v>
      </c>
      <c r="C1062" s="586" t="s">
        <v>385</v>
      </c>
      <c r="D1062" s="477" t="s">
        <v>1664</v>
      </c>
      <c r="E1062" s="435">
        <v>199158</v>
      </c>
      <c r="F1062" s="435"/>
      <c r="G1062" s="435"/>
      <c r="H1062" s="435"/>
      <c r="I1062" s="435"/>
      <c r="J1062" s="435" t="s">
        <v>802</v>
      </c>
      <c r="K1062" s="435" t="s">
        <v>796</v>
      </c>
      <c r="L1062" s="435" t="s">
        <v>802</v>
      </c>
      <c r="M1062" s="435" t="s">
        <v>296</v>
      </c>
      <c r="N1062" s="435">
        <v>19.725629810000001</v>
      </c>
      <c r="O1062" s="435">
        <v>94.03105927</v>
      </c>
      <c r="P1062" s="435" t="s">
        <v>921</v>
      </c>
      <c r="Q1062" s="435" t="s">
        <v>778</v>
      </c>
      <c r="R1062" s="438"/>
      <c r="S1062" s="569"/>
      <c r="T1062" s="452" t="s">
        <v>803</v>
      </c>
      <c r="U1062" s="440"/>
      <c r="V1062" s="435" t="s">
        <v>806</v>
      </c>
      <c r="W1062" s="561"/>
    </row>
    <row r="1063" spans="1:23" ht="14.25" customHeight="1">
      <c r="A1063" s="586" t="s">
        <v>296</v>
      </c>
      <c r="B1063" s="586" t="s">
        <v>327</v>
      </c>
      <c r="C1063" s="586" t="s">
        <v>374</v>
      </c>
      <c r="D1063" s="477" t="s">
        <v>1664</v>
      </c>
      <c r="E1063" s="561">
        <v>199195</v>
      </c>
      <c r="F1063" s="435"/>
      <c r="G1063" s="435"/>
      <c r="H1063" s="435"/>
      <c r="I1063" s="561"/>
      <c r="J1063" s="435" t="s">
        <v>802</v>
      </c>
      <c r="K1063" s="435" t="s">
        <v>796</v>
      </c>
      <c r="L1063" s="435" t="s">
        <v>802</v>
      </c>
      <c r="M1063" s="435" t="s">
        <v>296</v>
      </c>
      <c r="N1063" s="435">
        <v>19.591590879999998</v>
      </c>
      <c r="O1063" s="435">
        <v>93.80825806</v>
      </c>
      <c r="P1063" s="435" t="s">
        <v>921</v>
      </c>
      <c r="Q1063" s="435" t="s">
        <v>778</v>
      </c>
      <c r="R1063" s="438"/>
      <c r="S1063" s="569"/>
      <c r="T1063" s="452">
        <v>42745</v>
      </c>
      <c r="U1063" s="440"/>
      <c r="V1063" s="435"/>
      <c r="W1063" s="561"/>
    </row>
    <row r="1064" spans="1:23" ht="14.25" customHeight="1">
      <c r="A1064" s="586" t="s">
        <v>296</v>
      </c>
      <c r="B1064" s="586" t="s">
        <v>327</v>
      </c>
      <c r="C1064" s="586" t="s">
        <v>380</v>
      </c>
      <c r="D1064" s="477" t="s">
        <v>1664</v>
      </c>
      <c r="E1064" s="561">
        <v>199223</v>
      </c>
      <c r="F1064" s="435"/>
      <c r="G1064" s="435"/>
      <c r="H1064" s="435"/>
      <c r="I1064" s="435"/>
      <c r="J1064" s="435" t="s">
        <v>802</v>
      </c>
      <c r="K1064" s="435" t="s">
        <v>796</v>
      </c>
      <c r="L1064" s="435" t="s">
        <v>802</v>
      </c>
      <c r="M1064" s="435" t="s">
        <v>805</v>
      </c>
      <c r="N1064" s="435">
        <v>19.639009479999999</v>
      </c>
      <c r="O1064" s="435">
        <v>94.036079409999999</v>
      </c>
      <c r="P1064" s="435" t="s">
        <v>921</v>
      </c>
      <c r="Q1064" s="435" t="s">
        <v>778</v>
      </c>
      <c r="R1064" s="438"/>
      <c r="S1064" s="569"/>
      <c r="T1064" s="452" t="s">
        <v>803</v>
      </c>
      <c r="U1064" s="440"/>
      <c r="V1064" s="435" t="s">
        <v>380</v>
      </c>
      <c r="W1064" s="561"/>
    </row>
    <row r="1065" spans="1:23" ht="14.25" customHeight="1">
      <c r="A1065" s="586" t="s">
        <v>296</v>
      </c>
      <c r="B1065" s="586" t="s">
        <v>327</v>
      </c>
      <c r="C1065" s="586" t="s">
        <v>387</v>
      </c>
      <c r="D1065" s="477" t="s">
        <v>1664</v>
      </c>
      <c r="E1065" s="435">
        <v>199160</v>
      </c>
      <c r="F1065" s="435"/>
      <c r="G1065" s="435"/>
      <c r="H1065" s="435"/>
      <c r="I1065" s="435"/>
      <c r="J1065" s="435" t="s">
        <v>802</v>
      </c>
      <c r="K1065" s="435" t="s">
        <v>796</v>
      </c>
      <c r="L1065" s="435" t="s">
        <v>802</v>
      </c>
      <c r="M1065" s="435" t="s">
        <v>296</v>
      </c>
      <c r="N1065" s="435">
        <v>19.738719939999999</v>
      </c>
      <c r="O1065" s="435">
        <v>94.03549194</v>
      </c>
      <c r="P1065" s="435" t="s">
        <v>921</v>
      </c>
      <c r="Q1065" s="435" t="s">
        <v>778</v>
      </c>
      <c r="R1065" s="568"/>
      <c r="S1065" s="569"/>
      <c r="T1065" s="452" t="s">
        <v>803</v>
      </c>
      <c r="U1065" s="440"/>
      <c r="V1065" s="561" t="s">
        <v>387</v>
      </c>
      <c r="W1065" s="561"/>
    </row>
    <row r="1066" spans="1:23" ht="14.25" customHeight="1">
      <c r="A1066" s="586" t="s">
        <v>296</v>
      </c>
      <c r="B1066" s="586" t="s">
        <v>327</v>
      </c>
      <c r="C1066" s="586" t="s">
        <v>381</v>
      </c>
      <c r="D1066" s="477" t="s">
        <v>1664</v>
      </c>
      <c r="E1066" s="435">
        <v>199218</v>
      </c>
      <c r="F1066" s="435"/>
      <c r="G1066" s="435"/>
      <c r="H1066" s="435"/>
      <c r="I1066" s="561"/>
      <c r="J1066" s="435" t="s">
        <v>802</v>
      </c>
      <c r="K1066" s="435" t="s">
        <v>796</v>
      </c>
      <c r="L1066" s="435" t="s">
        <v>802</v>
      </c>
      <c r="M1066" s="435" t="s">
        <v>296</v>
      </c>
      <c r="N1066" s="561">
        <v>19.646549220000001</v>
      </c>
      <c r="O1066" s="561">
        <v>94.004188540000001</v>
      </c>
      <c r="P1066" s="435" t="s">
        <v>921</v>
      </c>
      <c r="Q1066" s="435" t="s">
        <v>778</v>
      </c>
      <c r="R1066" s="572"/>
      <c r="S1066" s="573"/>
      <c r="T1066" s="452" t="s">
        <v>803</v>
      </c>
      <c r="U1066" s="440"/>
      <c r="V1066" s="561" t="s">
        <v>381</v>
      </c>
      <c r="W1066" s="561"/>
    </row>
    <row r="1067" spans="1:23" ht="14.25" customHeight="1">
      <c r="A1067" s="586" t="s">
        <v>296</v>
      </c>
      <c r="B1067" s="586" t="s">
        <v>327</v>
      </c>
      <c r="C1067" s="586" t="s">
        <v>397</v>
      </c>
      <c r="D1067" s="477" t="s">
        <v>1664</v>
      </c>
      <c r="E1067" s="435">
        <v>199248</v>
      </c>
      <c r="F1067" s="435"/>
      <c r="G1067" s="435"/>
      <c r="H1067" s="435"/>
      <c r="I1067" s="435"/>
      <c r="J1067" s="435" t="s">
        <v>802</v>
      </c>
      <c r="K1067" s="566" t="s">
        <v>796</v>
      </c>
      <c r="L1067" s="566" t="s">
        <v>802</v>
      </c>
      <c r="M1067" s="435" t="s">
        <v>805</v>
      </c>
      <c r="N1067" s="561">
        <v>19.991359710000001</v>
      </c>
      <c r="O1067" s="561">
        <v>93.834663390000003</v>
      </c>
      <c r="P1067" s="435" t="s">
        <v>921</v>
      </c>
      <c r="Q1067" s="435" t="s">
        <v>778</v>
      </c>
      <c r="R1067" s="568"/>
      <c r="S1067" s="569"/>
      <c r="T1067" s="452" t="s">
        <v>803</v>
      </c>
      <c r="U1067" s="440"/>
      <c r="V1067" s="435" t="s">
        <v>397</v>
      </c>
      <c r="W1067" s="561"/>
    </row>
    <row r="1068" spans="1:23" ht="14.25" customHeight="1">
      <c r="A1068" s="586" t="s">
        <v>296</v>
      </c>
      <c r="B1068" s="586" t="s">
        <v>327</v>
      </c>
      <c r="C1068" s="586" t="s">
        <v>388</v>
      </c>
      <c r="D1068" s="477" t="s">
        <v>1664</v>
      </c>
      <c r="E1068" s="435">
        <v>199137</v>
      </c>
      <c r="F1068" s="566"/>
      <c r="G1068" s="435"/>
      <c r="H1068" s="435"/>
      <c r="I1068" s="435"/>
      <c r="J1068" s="435" t="s">
        <v>802</v>
      </c>
      <c r="K1068" s="435" t="s">
        <v>796</v>
      </c>
      <c r="L1068" s="435" t="s">
        <v>802</v>
      </c>
      <c r="M1068" s="435" t="s">
        <v>296</v>
      </c>
      <c r="N1068" s="435">
        <v>19.904430390000002</v>
      </c>
      <c r="O1068" s="435">
        <v>93.79277802</v>
      </c>
      <c r="P1068" s="435" t="s">
        <v>921</v>
      </c>
      <c r="Q1068" s="435" t="s">
        <v>778</v>
      </c>
      <c r="R1068" s="568"/>
      <c r="S1068" s="569"/>
      <c r="T1068" s="452" t="s">
        <v>803</v>
      </c>
      <c r="U1068" s="440"/>
      <c r="V1068" s="435" t="s">
        <v>388</v>
      </c>
      <c r="W1068" s="561"/>
    </row>
    <row r="1069" spans="1:23" ht="14.25" customHeight="1">
      <c r="A1069" s="586" t="s">
        <v>296</v>
      </c>
      <c r="B1069" s="586" t="s">
        <v>327</v>
      </c>
      <c r="C1069" s="586" t="s">
        <v>390</v>
      </c>
      <c r="D1069" s="477" t="s">
        <v>1664</v>
      </c>
      <c r="E1069" s="435">
        <v>199135</v>
      </c>
      <c r="F1069" s="435"/>
      <c r="G1069" s="435"/>
      <c r="H1069" s="435"/>
      <c r="I1069" s="435"/>
      <c r="J1069" s="435" t="s">
        <v>802</v>
      </c>
      <c r="K1069" s="435" t="s">
        <v>796</v>
      </c>
      <c r="L1069" s="435" t="s">
        <v>802</v>
      </c>
      <c r="M1069" s="435" t="s">
        <v>805</v>
      </c>
      <c r="N1069" s="435">
        <v>19.930080409999999</v>
      </c>
      <c r="O1069" s="435">
        <v>93.787002560000005</v>
      </c>
      <c r="P1069" s="435" t="s">
        <v>921</v>
      </c>
      <c r="Q1069" s="435" t="s">
        <v>778</v>
      </c>
      <c r="R1069" s="568"/>
      <c r="S1069" s="569"/>
      <c r="T1069" s="452" t="s">
        <v>803</v>
      </c>
      <c r="U1069" s="440"/>
      <c r="V1069" s="435" t="s">
        <v>390</v>
      </c>
      <c r="W1069" s="561"/>
    </row>
    <row r="1070" spans="1:23" ht="14.25" customHeight="1">
      <c r="A1070" s="586" t="s">
        <v>296</v>
      </c>
      <c r="B1070" s="586" t="s">
        <v>327</v>
      </c>
      <c r="C1070" s="586" t="s">
        <v>376</v>
      </c>
      <c r="D1070" s="477" t="s">
        <v>1664</v>
      </c>
      <c r="E1070" s="435">
        <v>199261</v>
      </c>
      <c r="F1070" s="435"/>
      <c r="G1070" s="435"/>
      <c r="H1070" s="435"/>
      <c r="I1070" s="435"/>
      <c r="J1070" s="435" t="s">
        <v>802</v>
      </c>
      <c r="K1070" s="435" t="s">
        <v>796</v>
      </c>
      <c r="L1070" s="435" t="s">
        <v>802</v>
      </c>
      <c r="M1070" s="435" t="s">
        <v>296</v>
      </c>
      <c r="N1070" s="435">
        <v>19.61120987</v>
      </c>
      <c r="O1070" s="435">
        <v>93.995933530000002</v>
      </c>
      <c r="P1070" s="435" t="s">
        <v>921</v>
      </c>
      <c r="Q1070" s="435" t="s">
        <v>778</v>
      </c>
      <c r="R1070" s="568"/>
      <c r="S1070" s="569"/>
      <c r="T1070" s="452" t="s">
        <v>803</v>
      </c>
      <c r="U1070" s="440"/>
      <c r="V1070" s="435" t="s">
        <v>804</v>
      </c>
      <c r="W1070" s="561"/>
    </row>
    <row r="1071" spans="1:23" ht="14.25" customHeight="1">
      <c r="A1071" s="586" t="s">
        <v>296</v>
      </c>
      <c r="B1071" s="586" t="s">
        <v>327</v>
      </c>
      <c r="C1071" s="586" t="s">
        <v>382</v>
      </c>
      <c r="D1071" s="477" t="s">
        <v>1664</v>
      </c>
      <c r="E1071" s="435">
        <v>199156</v>
      </c>
      <c r="F1071" s="435"/>
      <c r="G1071" s="435"/>
      <c r="H1071" s="435"/>
      <c r="I1071" s="435"/>
      <c r="J1071" s="435" t="s">
        <v>802</v>
      </c>
      <c r="K1071" s="435" t="s">
        <v>796</v>
      </c>
      <c r="L1071" s="435" t="s">
        <v>802</v>
      </c>
      <c r="M1071" s="435" t="s">
        <v>805</v>
      </c>
      <c r="N1071" s="435">
        <v>19.686580660000001</v>
      </c>
      <c r="O1071" s="435">
        <v>94.048843379999994</v>
      </c>
      <c r="P1071" s="435" t="s">
        <v>921</v>
      </c>
      <c r="Q1071" s="435" t="s">
        <v>778</v>
      </c>
      <c r="R1071" s="568"/>
      <c r="S1071" s="569"/>
      <c r="T1071" s="452" t="s">
        <v>803</v>
      </c>
      <c r="U1071" s="440"/>
      <c r="V1071" s="435" t="s">
        <v>382</v>
      </c>
      <c r="W1071" s="561"/>
    </row>
    <row r="1072" spans="1:23" ht="14.25" customHeight="1">
      <c r="A1072" s="586" t="s">
        <v>296</v>
      </c>
      <c r="B1072" s="586" t="s">
        <v>327</v>
      </c>
      <c r="C1072" s="586" t="s">
        <v>379</v>
      </c>
      <c r="D1072" s="477" t="s">
        <v>1664</v>
      </c>
      <c r="E1072" s="566">
        <v>199265</v>
      </c>
      <c r="F1072" s="435"/>
      <c r="G1072" s="435"/>
      <c r="H1072" s="435"/>
      <c r="I1072" s="561"/>
      <c r="J1072" s="435" t="s">
        <v>802</v>
      </c>
      <c r="K1072" s="435" t="s">
        <v>796</v>
      </c>
      <c r="L1072" s="435" t="s">
        <v>802</v>
      </c>
      <c r="M1072" s="435" t="s">
        <v>296</v>
      </c>
      <c r="N1072" s="435">
        <v>19.627199170000001</v>
      </c>
      <c r="O1072" s="435">
        <v>93.962989809999996</v>
      </c>
      <c r="P1072" s="435" t="s">
        <v>921</v>
      </c>
      <c r="Q1072" s="435" t="s">
        <v>778</v>
      </c>
      <c r="R1072" s="568"/>
      <c r="S1072" s="569"/>
      <c r="T1072" s="452" t="s">
        <v>803</v>
      </c>
      <c r="U1072" s="440"/>
      <c r="V1072" s="435" t="s">
        <v>379</v>
      </c>
      <c r="W1072" s="561"/>
    </row>
    <row r="1073" spans="1:23" ht="14.25" customHeight="1">
      <c r="A1073" s="586" t="s">
        <v>296</v>
      </c>
      <c r="B1073" s="586" t="s">
        <v>327</v>
      </c>
      <c r="C1073" s="586" t="s">
        <v>377</v>
      </c>
      <c r="D1073" s="477" t="s">
        <v>1664</v>
      </c>
      <c r="E1073" s="435">
        <v>199262</v>
      </c>
      <c r="F1073" s="435"/>
      <c r="G1073" s="435"/>
      <c r="H1073" s="435"/>
      <c r="I1073" s="561"/>
      <c r="J1073" s="435" t="s">
        <v>802</v>
      </c>
      <c r="K1073" s="435" t="s">
        <v>796</v>
      </c>
      <c r="L1073" s="435" t="s">
        <v>802</v>
      </c>
      <c r="M1073" s="435" t="s">
        <v>296</v>
      </c>
      <c r="N1073" s="435">
        <v>19.61580086</v>
      </c>
      <c r="O1073" s="435">
        <v>94.000473020000001</v>
      </c>
      <c r="P1073" s="435" t="s">
        <v>921</v>
      </c>
      <c r="Q1073" s="435" t="s">
        <v>778</v>
      </c>
      <c r="R1073" s="568"/>
      <c r="S1073" s="569"/>
      <c r="T1073" s="452" t="s">
        <v>803</v>
      </c>
      <c r="U1073" s="440"/>
      <c r="V1073" s="435" t="s">
        <v>377</v>
      </c>
      <c r="W1073" s="561"/>
    </row>
    <row r="1074" spans="1:23" ht="14.25" customHeight="1">
      <c r="A1074" s="586" t="s">
        <v>296</v>
      </c>
      <c r="B1074" s="586" t="s">
        <v>327</v>
      </c>
      <c r="C1074" s="586" t="s">
        <v>394</v>
      </c>
      <c r="D1074" s="477" t="s">
        <v>1664</v>
      </c>
      <c r="E1074" s="435">
        <v>199241</v>
      </c>
      <c r="F1074" s="435"/>
      <c r="G1074" s="435"/>
      <c r="H1074" s="435"/>
      <c r="I1074" s="435"/>
      <c r="J1074" s="435" t="s">
        <v>802</v>
      </c>
      <c r="K1074" s="435" t="s">
        <v>796</v>
      </c>
      <c r="L1074" s="435" t="s">
        <v>802</v>
      </c>
      <c r="M1074" s="435" t="s">
        <v>805</v>
      </c>
      <c r="N1074" s="435">
        <v>19.988599780000001</v>
      </c>
      <c r="O1074" s="435">
        <v>93.803939819999997</v>
      </c>
      <c r="P1074" s="435" t="s">
        <v>921</v>
      </c>
      <c r="Q1074" s="435" t="s">
        <v>778</v>
      </c>
      <c r="R1074" s="568"/>
      <c r="S1074" s="569"/>
      <c r="T1074" s="452" t="s">
        <v>803</v>
      </c>
      <c r="U1074" s="440"/>
      <c r="V1074" s="429" t="s">
        <v>811</v>
      </c>
      <c r="W1074" s="561"/>
    </row>
    <row r="1075" spans="1:23" ht="14.25" customHeight="1">
      <c r="A1075" s="586" t="s">
        <v>296</v>
      </c>
      <c r="B1075" s="586" t="s">
        <v>327</v>
      </c>
      <c r="C1075" s="586" t="s">
        <v>392</v>
      </c>
      <c r="D1075" s="477" t="s">
        <v>1664</v>
      </c>
      <c r="E1075" s="435">
        <v>220838</v>
      </c>
      <c r="F1075" s="435"/>
      <c r="G1075" s="435"/>
      <c r="H1075" s="435"/>
      <c r="I1075" s="561"/>
      <c r="J1075" s="435" t="s">
        <v>802</v>
      </c>
      <c r="K1075" s="435" t="s">
        <v>796</v>
      </c>
      <c r="L1075" s="435" t="s">
        <v>802</v>
      </c>
      <c r="M1075" s="435" t="s">
        <v>805</v>
      </c>
      <c r="N1075" s="580">
        <v>19.962713239999999</v>
      </c>
      <c r="O1075" s="580">
        <v>93.885574340000005</v>
      </c>
      <c r="P1075" s="435" t="s">
        <v>921</v>
      </c>
      <c r="Q1075" s="435" t="s">
        <v>778</v>
      </c>
      <c r="R1075" s="568"/>
      <c r="S1075" s="569"/>
      <c r="T1075" s="452" t="s">
        <v>803</v>
      </c>
      <c r="U1075" s="440"/>
      <c r="V1075" s="435" t="s">
        <v>392</v>
      </c>
      <c r="W1075" s="561"/>
    </row>
    <row r="1076" spans="1:23" ht="14.25" customHeight="1">
      <c r="A1076" s="586" t="s">
        <v>296</v>
      </c>
      <c r="B1076" s="586" t="s">
        <v>327</v>
      </c>
      <c r="C1076" s="586" t="s">
        <v>389</v>
      </c>
      <c r="D1076" s="477" t="s">
        <v>1664</v>
      </c>
      <c r="E1076" s="435">
        <v>199133</v>
      </c>
      <c r="F1076" s="435"/>
      <c r="G1076" s="435"/>
      <c r="H1076" s="435"/>
      <c r="I1076" s="561"/>
      <c r="J1076" s="435" t="s">
        <v>802</v>
      </c>
      <c r="K1076" s="435" t="s">
        <v>796</v>
      </c>
      <c r="L1076" s="435" t="s">
        <v>802</v>
      </c>
      <c r="M1076" s="435" t="s">
        <v>296</v>
      </c>
      <c r="N1076" s="435">
        <v>19.925739289999999</v>
      </c>
      <c r="O1076" s="435">
        <v>93.792991639999997</v>
      </c>
      <c r="P1076" s="435" t="s">
        <v>921</v>
      </c>
      <c r="Q1076" s="435" t="s">
        <v>778</v>
      </c>
      <c r="R1076" s="568"/>
      <c r="S1076" s="569"/>
      <c r="T1076" s="452" t="s">
        <v>803</v>
      </c>
      <c r="U1076" s="440"/>
      <c r="V1076" s="435" t="s">
        <v>807</v>
      </c>
      <c r="W1076" s="561"/>
    </row>
    <row r="1077" spans="1:23" ht="14.25" customHeight="1">
      <c r="A1077" s="514" t="s">
        <v>700</v>
      </c>
      <c r="B1077" s="453" t="s">
        <v>719</v>
      </c>
      <c r="C1077" s="514" t="s">
        <v>720</v>
      </c>
      <c r="D1077" s="477" t="s">
        <v>2869</v>
      </c>
      <c r="E1077" s="435" t="s">
        <v>1428</v>
      </c>
      <c r="F1077" s="435" t="s">
        <v>720</v>
      </c>
      <c r="G1077" s="435" t="s">
        <v>720</v>
      </c>
      <c r="H1077" s="435" t="s">
        <v>41</v>
      </c>
      <c r="I1077" s="435" t="s">
        <v>2703</v>
      </c>
      <c r="J1077" s="435" t="s">
        <v>43</v>
      </c>
      <c r="K1077" s="435" t="s">
        <v>43</v>
      </c>
      <c r="L1077" s="435" t="s">
        <v>43</v>
      </c>
      <c r="M1077" s="435" t="s">
        <v>44</v>
      </c>
      <c r="N1077" s="435">
        <v>23.354268999999999</v>
      </c>
      <c r="O1077" s="435">
        <v>98.218626999999998</v>
      </c>
      <c r="P1077" s="435" t="s">
        <v>759</v>
      </c>
      <c r="Q1077" s="435" t="s">
        <v>778</v>
      </c>
      <c r="R1077" s="568">
        <v>35</v>
      </c>
      <c r="S1077" s="568">
        <v>183</v>
      </c>
      <c r="T1077" s="452"/>
      <c r="U1077" s="440"/>
      <c r="V1077" s="435" t="s">
        <v>720</v>
      </c>
      <c r="W1077" s="430" t="s">
        <v>2191</v>
      </c>
    </row>
    <row r="1078" spans="1:23" ht="14.25" customHeight="1">
      <c r="A1078" s="514" t="s">
        <v>700</v>
      </c>
      <c r="B1078" s="453" t="s">
        <v>719</v>
      </c>
      <c r="C1078" s="514" t="s">
        <v>743</v>
      </c>
      <c r="D1078" s="437" t="s">
        <v>1742</v>
      </c>
      <c r="E1078" s="435" t="s">
        <v>1429</v>
      </c>
      <c r="F1078" s="435" t="s">
        <v>1769</v>
      </c>
      <c r="G1078" s="435" t="s">
        <v>1769</v>
      </c>
      <c r="H1078" s="435"/>
      <c r="I1078" s="435" t="s">
        <v>2140</v>
      </c>
      <c r="J1078" s="435" t="s">
        <v>43</v>
      </c>
      <c r="K1078" s="435" t="s">
        <v>966</v>
      </c>
      <c r="L1078" s="435" t="s">
        <v>758</v>
      </c>
      <c r="M1078" s="435" t="s">
        <v>776</v>
      </c>
      <c r="N1078" s="435">
        <v>23.372409999999999</v>
      </c>
      <c r="O1078" s="435">
        <v>98.352670000000003</v>
      </c>
      <c r="P1078" s="435" t="s">
        <v>771</v>
      </c>
      <c r="Q1078" s="435" t="s">
        <v>778</v>
      </c>
      <c r="R1078" s="445"/>
      <c r="S1078" s="439"/>
      <c r="T1078" s="452">
        <v>43276</v>
      </c>
      <c r="U1078" s="440" t="s">
        <v>1981</v>
      </c>
      <c r="V1078" s="435" t="s">
        <v>743</v>
      </c>
      <c r="W1078" s="430" t="s">
        <v>2192</v>
      </c>
    </row>
    <row r="1079" spans="1:23" ht="14.25" customHeight="1">
      <c r="A1079" s="514" t="s">
        <v>700</v>
      </c>
      <c r="B1079" s="453" t="s">
        <v>719</v>
      </c>
      <c r="C1079" s="514" t="s">
        <v>749</v>
      </c>
      <c r="D1079" s="567" t="s">
        <v>1665</v>
      </c>
      <c r="E1079" s="435" t="s">
        <v>1427</v>
      </c>
      <c r="F1079" s="435" t="s">
        <v>1676</v>
      </c>
      <c r="G1079" s="435" t="s">
        <v>1676</v>
      </c>
      <c r="H1079" s="435"/>
      <c r="I1079" s="435">
        <v>0</v>
      </c>
      <c r="J1079" s="435" t="s">
        <v>43</v>
      </c>
      <c r="K1079" s="435" t="s">
        <v>43</v>
      </c>
      <c r="L1079" s="435" t="s">
        <v>758</v>
      </c>
      <c r="M1079" s="435" t="s">
        <v>44</v>
      </c>
      <c r="N1079" s="435">
        <v>23.353999999999999</v>
      </c>
      <c r="O1079" s="435">
        <v>98.221000000000004</v>
      </c>
      <c r="P1079" s="435" t="s">
        <v>759</v>
      </c>
      <c r="Q1079" s="435" t="s">
        <v>760</v>
      </c>
      <c r="R1079" s="576"/>
      <c r="S1079" s="569"/>
      <c r="T1079" s="452"/>
      <c r="U1079" s="440"/>
      <c r="V1079" s="435"/>
      <c r="W1079" s="430" t="s">
        <v>2193</v>
      </c>
    </row>
    <row r="1080" spans="1:23" ht="14.25" customHeight="1">
      <c r="A1080" s="514" t="s">
        <v>700</v>
      </c>
      <c r="B1080" s="453" t="s">
        <v>741</v>
      </c>
      <c r="C1080" s="514" t="s">
        <v>2678</v>
      </c>
      <c r="D1080" s="567"/>
      <c r="E1080" s="435"/>
      <c r="F1080" s="435"/>
      <c r="G1080" s="435"/>
      <c r="H1080" s="435"/>
      <c r="I1080" s="435"/>
      <c r="J1080" s="435" t="s">
        <v>2692</v>
      </c>
      <c r="K1080" s="435" t="s">
        <v>2658</v>
      </c>
      <c r="L1080" s="435" t="s">
        <v>2658</v>
      </c>
      <c r="M1080" s="435" t="s">
        <v>44</v>
      </c>
      <c r="N1080" s="435"/>
      <c r="O1080" s="435"/>
      <c r="P1080" s="435" t="s">
        <v>1989</v>
      </c>
      <c r="Q1080" s="435"/>
      <c r="R1080" s="576"/>
      <c r="S1080" s="569"/>
      <c r="T1080" s="452">
        <v>43567</v>
      </c>
      <c r="U1080" s="440"/>
      <c r="V1080" s="435"/>
      <c r="W1080" s="568"/>
    </row>
    <row r="1081" spans="1:23" ht="14.25" customHeight="1">
      <c r="A1081" s="514" t="s">
        <v>700</v>
      </c>
      <c r="B1081" s="453" t="s">
        <v>741</v>
      </c>
      <c r="C1081" s="514" t="s">
        <v>742</v>
      </c>
      <c r="D1081" s="477" t="s">
        <v>2869</v>
      </c>
      <c r="E1081" s="435" t="s">
        <v>1419</v>
      </c>
      <c r="F1081" s="435" t="s">
        <v>1765</v>
      </c>
      <c r="G1081" s="435" t="s">
        <v>1766</v>
      </c>
      <c r="H1081" s="435"/>
      <c r="I1081" s="566" t="s">
        <v>2140</v>
      </c>
      <c r="J1081" s="435" t="s">
        <v>43</v>
      </c>
      <c r="K1081" s="435" t="s">
        <v>43</v>
      </c>
      <c r="L1081" s="435" t="s">
        <v>774</v>
      </c>
      <c r="M1081" s="435" t="s">
        <v>44</v>
      </c>
      <c r="N1081" s="435">
        <v>22.677008000000001</v>
      </c>
      <c r="O1081" s="435">
        <v>97.314762999999999</v>
      </c>
      <c r="P1081" s="435" t="s">
        <v>759</v>
      </c>
      <c r="Q1081" s="435" t="s">
        <v>760</v>
      </c>
      <c r="R1081" s="568">
        <v>37</v>
      </c>
      <c r="S1081" s="568">
        <v>120</v>
      </c>
      <c r="T1081" s="452"/>
      <c r="U1081" s="440" t="s">
        <v>960</v>
      </c>
      <c r="V1081" s="435" t="s">
        <v>961</v>
      </c>
      <c r="W1081" s="430" t="s">
        <v>2194</v>
      </c>
    </row>
    <row r="1082" spans="1:23" ht="14.25" customHeight="1">
      <c r="A1082" s="514" t="s">
        <v>700</v>
      </c>
      <c r="B1082" s="453" t="s">
        <v>741</v>
      </c>
      <c r="C1082" s="514" t="s">
        <v>2679</v>
      </c>
      <c r="D1082" s="567"/>
      <c r="E1082" s="435"/>
      <c r="F1082" s="435"/>
      <c r="G1082" s="435"/>
      <c r="H1082" s="435"/>
      <c r="I1082" s="435"/>
      <c r="J1082" s="435" t="s">
        <v>2692</v>
      </c>
      <c r="K1082" s="435" t="s">
        <v>2658</v>
      </c>
      <c r="L1082" s="435" t="s">
        <v>2658</v>
      </c>
      <c r="M1082" s="435" t="s">
        <v>44</v>
      </c>
      <c r="N1082" s="435"/>
      <c r="O1082" s="435"/>
      <c r="P1082" s="435" t="s">
        <v>1989</v>
      </c>
      <c r="Q1082" s="435"/>
      <c r="R1082" s="576"/>
      <c r="S1082" s="569"/>
      <c r="T1082" s="452">
        <v>43567</v>
      </c>
      <c r="U1082" s="440"/>
      <c r="V1082" s="435"/>
      <c r="W1082" s="568"/>
    </row>
    <row r="1083" spans="1:23" ht="14.25" customHeight="1">
      <c r="A1083" s="514" t="s">
        <v>700</v>
      </c>
      <c r="B1083" s="453" t="s">
        <v>741</v>
      </c>
      <c r="C1083" s="514" t="s">
        <v>2680</v>
      </c>
      <c r="D1083" s="567"/>
      <c r="E1083" s="435"/>
      <c r="F1083" s="435"/>
      <c r="G1083" s="435"/>
      <c r="H1083" s="435"/>
      <c r="I1083" s="561"/>
      <c r="J1083" s="435" t="s">
        <v>2692</v>
      </c>
      <c r="K1083" s="435" t="s">
        <v>2658</v>
      </c>
      <c r="L1083" s="435" t="s">
        <v>2658</v>
      </c>
      <c r="M1083" s="435" t="s">
        <v>44</v>
      </c>
      <c r="N1083" s="435"/>
      <c r="O1083" s="435"/>
      <c r="P1083" s="435" t="s">
        <v>1989</v>
      </c>
      <c r="Q1083" s="435"/>
      <c r="R1083" s="576"/>
      <c r="S1083" s="569"/>
      <c r="T1083" s="452">
        <v>43567</v>
      </c>
      <c r="U1083" s="440"/>
      <c r="V1083" s="435"/>
      <c r="W1083" s="568"/>
    </row>
    <row r="1084" spans="1:23" ht="14.25" customHeight="1">
      <c r="A1084" s="514" t="s">
        <v>700</v>
      </c>
      <c r="B1084" s="453" t="s">
        <v>704</v>
      </c>
      <c r="C1084" s="514" t="s">
        <v>2257</v>
      </c>
      <c r="D1084" s="477" t="s">
        <v>2869</v>
      </c>
      <c r="E1084" s="435" t="s">
        <v>2258</v>
      </c>
      <c r="F1084" s="435" t="s">
        <v>2259</v>
      </c>
      <c r="G1084" s="435" t="s">
        <v>2259</v>
      </c>
      <c r="H1084" s="435"/>
      <c r="I1084" s="566" t="s">
        <v>2140</v>
      </c>
      <c r="J1084" s="435" t="s">
        <v>43</v>
      </c>
      <c r="K1084" s="435" t="s">
        <v>43</v>
      </c>
      <c r="L1084" s="435" t="s">
        <v>774</v>
      </c>
      <c r="M1084" s="435" t="s">
        <v>44</v>
      </c>
      <c r="N1084" s="435">
        <v>0</v>
      </c>
      <c r="O1084" s="435">
        <v>0</v>
      </c>
      <c r="P1084" s="435" t="s">
        <v>759</v>
      </c>
      <c r="Q1084" s="435" t="s">
        <v>2260</v>
      </c>
      <c r="R1084" s="568">
        <v>86</v>
      </c>
      <c r="S1084" s="568">
        <v>525</v>
      </c>
      <c r="T1084" s="452">
        <v>43405</v>
      </c>
      <c r="U1084" s="440" t="s">
        <v>2261</v>
      </c>
      <c r="V1084" s="435" t="s">
        <v>2257</v>
      </c>
      <c r="W1084" s="430" t="s">
        <v>2262</v>
      </c>
    </row>
    <row r="1085" spans="1:23" ht="14.25" customHeight="1">
      <c r="A1085" s="514" t="s">
        <v>700</v>
      </c>
      <c r="B1085" s="453" t="s">
        <v>704</v>
      </c>
      <c r="C1085" s="514" t="s">
        <v>2263</v>
      </c>
      <c r="D1085" s="477" t="s">
        <v>2869</v>
      </c>
      <c r="E1085" s="435" t="s">
        <v>2264</v>
      </c>
      <c r="F1085" s="435" t="s">
        <v>2265</v>
      </c>
      <c r="G1085" s="435"/>
      <c r="H1085" s="435" t="s">
        <v>41</v>
      </c>
      <c r="I1085" s="561" t="s">
        <v>1334</v>
      </c>
      <c r="J1085" s="435" t="s">
        <v>43</v>
      </c>
      <c r="K1085" s="435" t="s">
        <v>43</v>
      </c>
      <c r="L1085" s="435" t="s">
        <v>43</v>
      </c>
      <c r="M1085" s="435" t="s">
        <v>44</v>
      </c>
      <c r="N1085" s="435">
        <v>0</v>
      </c>
      <c r="O1085" s="435">
        <v>0</v>
      </c>
      <c r="P1085" s="435" t="s">
        <v>759</v>
      </c>
      <c r="Q1085" s="435" t="s">
        <v>2260</v>
      </c>
      <c r="R1085" s="568">
        <v>32</v>
      </c>
      <c r="S1085" s="568">
        <v>150</v>
      </c>
      <c r="T1085" s="452"/>
      <c r="U1085" s="440" t="s">
        <v>2266</v>
      </c>
      <c r="V1085" s="435" t="s">
        <v>2263</v>
      </c>
      <c r="W1085" s="430" t="s">
        <v>2269</v>
      </c>
    </row>
    <row r="1086" spans="1:23" ht="14.25" customHeight="1">
      <c r="A1086" s="514" t="s">
        <v>700</v>
      </c>
      <c r="B1086" s="453" t="s">
        <v>704</v>
      </c>
      <c r="C1086" s="514" t="s">
        <v>725</v>
      </c>
      <c r="D1086" s="567" t="s">
        <v>1665</v>
      </c>
      <c r="E1086" s="435" t="s">
        <v>1432</v>
      </c>
      <c r="F1086" s="435" t="s">
        <v>1677</v>
      </c>
      <c r="G1086" s="435" t="s">
        <v>1678</v>
      </c>
      <c r="H1086" s="435" t="s">
        <v>41</v>
      </c>
      <c r="I1086" s="435" t="s">
        <v>133</v>
      </c>
      <c r="J1086" s="435" t="s">
        <v>43</v>
      </c>
      <c r="K1086" s="435" t="s">
        <v>966</v>
      </c>
      <c r="L1086" s="435" t="s">
        <v>758</v>
      </c>
      <c r="M1086" s="435" t="s">
        <v>44</v>
      </c>
      <c r="N1086" s="435">
        <v>23.4008</v>
      </c>
      <c r="O1086" s="435">
        <v>97.848529999999997</v>
      </c>
      <c r="P1086" s="435" t="s">
        <v>759</v>
      </c>
      <c r="Q1086" s="435" t="s">
        <v>778</v>
      </c>
      <c r="R1086" s="576"/>
      <c r="S1086" s="569"/>
      <c r="T1086" s="452">
        <v>43049</v>
      </c>
      <c r="U1086" s="440" t="s">
        <v>968</v>
      </c>
      <c r="V1086" s="435" t="s">
        <v>725</v>
      </c>
      <c r="W1086" s="430" t="s">
        <v>2195</v>
      </c>
    </row>
    <row r="1087" spans="1:23" ht="14.25" customHeight="1">
      <c r="A1087" s="514" t="s">
        <v>700</v>
      </c>
      <c r="B1087" s="453" t="s">
        <v>704</v>
      </c>
      <c r="C1087" s="514" t="s">
        <v>1102</v>
      </c>
      <c r="D1087" s="567" t="s">
        <v>1664</v>
      </c>
      <c r="E1087" s="435"/>
      <c r="F1087" s="435"/>
      <c r="G1087" s="435"/>
      <c r="H1087" s="435"/>
      <c r="I1087" s="561"/>
      <c r="J1087" s="435" t="s">
        <v>1463</v>
      </c>
      <c r="K1087" s="435" t="s">
        <v>43</v>
      </c>
      <c r="L1087" s="435" t="s">
        <v>1097</v>
      </c>
      <c r="M1087" s="435" t="s">
        <v>44</v>
      </c>
      <c r="N1087" s="435"/>
      <c r="O1087" s="435"/>
      <c r="P1087" s="435" t="s">
        <v>759</v>
      </c>
      <c r="Q1087" s="435" t="s">
        <v>778</v>
      </c>
      <c r="R1087" s="576"/>
      <c r="S1087" s="569"/>
      <c r="T1087" s="452"/>
      <c r="U1087" s="440" t="s">
        <v>1093</v>
      </c>
      <c r="V1087" s="435" t="s">
        <v>1102</v>
      </c>
      <c r="W1087" s="568"/>
    </row>
    <row r="1088" spans="1:23" ht="14.25" customHeight="1">
      <c r="A1088" s="514" t="s">
        <v>700</v>
      </c>
      <c r="B1088" s="453" t="s">
        <v>704</v>
      </c>
      <c r="C1088" s="514" t="s">
        <v>726</v>
      </c>
      <c r="D1088" s="477" t="s">
        <v>2869</v>
      </c>
      <c r="E1088" s="435" t="s">
        <v>1434</v>
      </c>
      <c r="F1088" s="435" t="s">
        <v>1770</v>
      </c>
      <c r="G1088" s="435" t="s">
        <v>1771</v>
      </c>
      <c r="H1088" s="435" t="s">
        <v>41</v>
      </c>
      <c r="I1088" s="561" t="s">
        <v>2703</v>
      </c>
      <c r="J1088" s="435" t="s">
        <v>43</v>
      </c>
      <c r="K1088" s="435" t="s">
        <v>43</v>
      </c>
      <c r="L1088" s="435" t="s">
        <v>43</v>
      </c>
      <c r="M1088" s="435" t="s">
        <v>44</v>
      </c>
      <c r="N1088" s="435">
        <v>23.450914000000001</v>
      </c>
      <c r="O1088" s="435">
        <v>97.926813999999993</v>
      </c>
      <c r="P1088" s="435" t="s">
        <v>759</v>
      </c>
      <c r="Q1088" s="435" t="s">
        <v>778</v>
      </c>
      <c r="R1088" s="568">
        <v>53</v>
      </c>
      <c r="S1088" s="568">
        <v>261</v>
      </c>
      <c r="T1088" s="452"/>
      <c r="U1088" s="440"/>
      <c r="V1088" s="435" t="s">
        <v>726</v>
      </c>
      <c r="W1088" s="430" t="s">
        <v>2196</v>
      </c>
    </row>
    <row r="1089" spans="1:23" ht="14.25" customHeight="1">
      <c r="A1089" s="514" t="s">
        <v>700</v>
      </c>
      <c r="B1089" s="453" t="s">
        <v>704</v>
      </c>
      <c r="C1089" s="514" t="s">
        <v>731</v>
      </c>
      <c r="D1089" s="477" t="s">
        <v>2869</v>
      </c>
      <c r="E1089" s="435" t="s">
        <v>1435</v>
      </c>
      <c r="F1089" s="435" t="s">
        <v>1770</v>
      </c>
      <c r="G1089" s="435" t="s">
        <v>1669</v>
      </c>
      <c r="H1089" s="435" t="s">
        <v>41</v>
      </c>
      <c r="I1089" s="435" t="s">
        <v>2703</v>
      </c>
      <c r="J1089" s="435" t="s">
        <v>43</v>
      </c>
      <c r="K1089" s="435" t="s">
        <v>43</v>
      </c>
      <c r="L1089" s="435" t="s">
        <v>43</v>
      </c>
      <c r="M1089" s="435" t="s">
        <v>44</v>
      </c>
      <c r="N1089" s="435">
        <v>23.460349999999998</v>
      </c>
      <c r="O1089" s="435">
        <v>97.947360000000003</v>
      </c>
      <c r="P1089" s="435" t="s">
        <v>759</v>
      </c>
      <c r="Q1089" s="435" t="s">
        <v>760</v>
      </c>
      <c r="R1089" s="568">
        <v>37</v>
      </c>
      <c r="S1089" s="568">
        <v>150</v>
      </c>
      <c r="T1089" s="452">
        <v>42836</v>
      </c>
      <c r="U1089" s="440" t="s">
        <v>969</v>
      </c>
      <c r="V1089" s="435"/>
      <c r="W1089" s="430" t="s">
        <v>2197</v>
      </c>
    </row>
    <row r="1090" spans="1:23" ht="14.25" customHeight="1">
      <c r="A1090" s="514" t="s">
        <v>700</v>
      </c>
      <c r="B1090" s="453" t="s">
        <v>704</v>
      </c>
      <c r="C1090" s="514" t="s">
        <v>705</v>
      </c>
      <c r="D1090" s="477" t="s">
        <v>2869</v>
      </c>
      <c r="E1090" s="435" t="s">
        <v>1436</v>
      </c>
      <c r="F1090" s="435" t="s">
        <v>1770</v>
      </c>
      <c r="G1090" s="435" t="s">
        <v>1772</v>
      </c>
      <c r="H1090" s="435" t="s">
        <v>41</v>
      </c>
      <c r="I1090" s="561" t="s">
        <v>1334</v>
      </c>
      <c r="J1090" s="435" t="s">
        <v>43</v>
      </c>
      <c r="K1090" s="435" t="s">
        <v>43</v>
      </c>
      <c r="L1090" s="435" t="s">
        <v>43</v>
      </c>
      <c r="M1090" s="435" t="s">
        <v>44</v>
      </c>
      <c r="N1090" s="435">
        <v>23.460349999999998</v>
      </c>
      <c r="O1090" s="435">
        <v>97.947360000000003</v>
      </c>
      <c r="P1090" s="435" t="s">
        <v>759</v>
      </c>
      <c r="Q1090" s="435" t="s">
        <v>778</v>
      </c>
      <c r="R1090" s="568">
        <v>28</v>
      </c>
      <c r="S1090" s="568">
        <v>135</v>
      </c>
      <c r="T1090" s="452"/>
      <c r="U1090" s="440"/>
      <c r="V1090" s="435" t="s">
        <v>705</v>
      </c>
      <c r="W1090" s="430" t="s">
        <v>2198</v>
      </c>
    </row>
    <row r="1091" spans="1:23" ht="14.25" customHeight="1">
      <c r="A1091" s="514" t="s">
        <v>700</v>
      </c>
      <c r="B1091" s="453" t="s">
        <v>704</v>
      </c>
      <c r="C1091" s="514" t="s">
        <v>750</v>
      </c>
      <c r="D1091" s="567" t="s">
        <v>1664</v>
      </c>
      <c r="E1091" s="435"/>
      <c r="F1091" s="435"/>
      <c r="G1091" s="435"/>
      <c r="H1091" s="435"/>
      <c r="I1091" s="561"/>
      <c r="J1091" s="435" t="s">
        <v>1463</v>
      </c>
      <c r="K1091" s="435" t="s">
        <v>43</v>
      </c>
      <c r="L1091" s="435" t="s">
        <v>43</v>
      </c>
      <c r="M1091" s="435" t="s">
        <v>44</v>
      </c>
      <c r="N1091" s="435"/>
      <c r="O1091" s="435"/>
      <c r="P1091" s="435" t="s">
        <v>759</v>
      </c>
      <c r="Q1091" s="435" t="s">
        <v>778</v>
      </c>
      <c r="R1091" s="576"/>
      <c r="S1091" s="569"/>
      <c r="T1091" s="452">
        <v>42747</v>
      </c>
      <c r="U1091" s="440"/>
      <c r="V1091" s="435"/>
      <c r="W1091" s="568"/>
    </row>
    <row r="1092" spans="1:23" ht="14.25" customHeight="1">
      <c r="A1092" s="514" t="s">
        <v>700</v>
      </c>
      <c r="B1092" s="453" t="s">
        <v>704</v>
      </c>
      <c r="C1092" s="514" t="s">
        <v>2137</v>
      </c>
      <c r="D1092" s="477" t="s">
        <v>2869</v>
      </c>
      <c r="E1092" s="435" t="s">
        <v>1439</v>
      </c>
      <c r="F1092" s="435" t="s">
        <v>1775</v>
      </c>
      <c r="G1092" s="435" t="s">
        <v>1775</v>
      </c>
      <c r="H1092" s="435" t="s">
        <v>41</v>
      </c>
      <c r="I1092" s="435" t="s">
        <v>1334</v>
      </c>
      <c r="J1092" s="435" t="s">
        <v>43</v>
      </c>
      <c r="K1092" s="435" t="s">
        <v>43</v>
      </c>
      <c r="L1092" s="435" t="s">
        <v>43</v>
      </c>
      <c r="M1092" s="435" t="s">
        <v>44</v>
      </c>
      <c r="N1092" s="435">
        <v>23.591999999999999</v>
      </c>
      <c r="O1092" s="435">
        <v>97.796999999999997</v>
      </c>
      <c r="P1092" s="435" t="s">
        <v>759</v>
      </c>
      <c r="Q1092" s="435" t="s">
        <v>778</v>
      </c>
      <c r="R1092" s="438">
        <v>66</v>
      </c>
      <c r="S1092" s="438">
        <v>346</v>
      </c>
      <c r="T1092" s="452" t="s">
        <v>803</v>
      </c>
      <c r="U1092" s="440"/>
      <c r="V1092" s="435"/>
      <c r="W1092" s="430" t="s">
        <v>2199</v>
      </c>
    </row>
    <row r="1093" spans="1:23" ht="14.25" customHeight="1">
      <c r="A1093" s="514" t="s">
        <v>700</v>
      </c>
      <c r="B1093" s="453" t="s">
        <v>704</v>
      </c>
      <c r="C1093" s="514" t="s">
        <v>739</v>
      </c>
      <c r="D1093" s="477" t="s">
        <v>2869</v>
      </c>
      <c r="E1093" s="435" t="s">
        <v>1625</v>
      </c>
      <c r="F1093" s="435" t="s">
        <v>1858</v>
      </c>
      <c r="G1093" s="435" t="s">
        <v>739</v>
      </c>
      <c r="H1093" s="435"/>
      <c r="I1093" s="566" t="s">
        <v>2140</v>
      </c>
      <c r="J1093" s="435" t="s">
        <v>43</v>
      </c>
      <c r="K1093" s="435" t="s">
        <v>43</v>
      </c>
      <c r="L1093" s="435" t="s">
        <v>774</v>
      </c>
      <c r="M1093" s="435" t="s">
        <v>44</v>
      </c>
      <c r="N1093" s="435">
        <v>0</v>
      </c>
      <c r="O1093" s="435">
        <v>0</v>
      </c>
      <c r="P1093" s="435" t="s">
        <v>759</v>
      </c>
      <c r="Q1093" s="435" t="s">
        <v>800</v>
      </c>
      <c r="R1093" s="568">
        <v>24</v>
      </c>
      <c r="S1093" s="568">
        <v>84</v>
      </c>
      <c r="T1093" s="452" t="s">
        <v>1081</v>
      </c>
      <c r="U1093" s="440"/>
      <c r="V1093" s="435"/>
      <c r="W1093" s="430" t="s">
        <v>2200</v>
      </c>
    </row>
    <row r="1094" spans="1:23" ht="14.25" customHeight="1">
      <c r="A1094" s="514" t="s">
        <v>700</v>
      </c>
      <c r="B1094" s="453" t="s">
        <v>704</v>
      </c>
      <c r="C1094" s="514" t="s">
        <v>2138</v>
      </c>
      <c r="D1094" s="477" t="s">
        <v>2869</v>
      </c>
      <c r="E1094" s="435" t="s">
        <v>1438</v>
      </c>
      <c r="F1094" s="435" t="s">
        <v>1775</v>
      </c>
      <c r="G1094" s="435" t="s">
        <v>1775</v>
      </c>
      <c r="H1094" s="435" t="s">
        <v>41</v>
      </c>
      <c r="I1094" s="435" t="s">
        <v>1334</v>
      </c>
      <c r="J1094" s="435" t="s">
        <v>43</v>
      </c>
      <c r="K1094" s="435" t="s">
        <v>966</v>
      </c>
      <c r="L1094" s="435" t="s">
        <v>43</v>
      </c>
      <c r="M1094" s="435" t="s">
        <v>44</v>
      </c>
      <c r="N1094" s="435">
        <v>23.588920000000002</v>
      </c>
      <c r="O1094" s="435">
        <v>97.793019999999999</v>
      </c>
      <c r="P1094" s="435" t="s">
        <v>759</v>
      </c>
      <c r="Q1094" s="435" t="s">
        <v>778</v>
      </c>
      <c r="R1094" s="568">
        <v>76</v>
      </c>
      <c r="S1094" s="568">
        <v>344</v>
      </c>
      <c r="T1094" s="452"/>
      <c r="U1094" s="440"/>
      <c r="V1094" s="435" t="s">
        <v>734</v>
      </c>
      <c r="W1094" s="430" t="s">
        <v>2201</v>
      </c>
    </row>
    <row r="1095" spans="1:23" ht="14.25" customHeight="1">
      <c r="A1095" s="514" t="s">
        <v>700</v>
      </c>
      <c r="B1095" s="453" t="s">
        <v>704</v>
      </c>
      <c r="C1095" s="514" t="s">
        <v>1114</v>
      </c>
      <c r="D1095" s="567" t="s">
        <v>1664</v>
      </c>
      <c r="E1095" s="435"/>
      <c r="F1095" s="435"/>
      <c r="G1095" s="435"/>
      <c r="H1095" s="435"/>
      <c r="I1095" s="435"/>
      <c r="J1095" s="435" t="s">
        <v>1463</v>
      </c>
      <c r="K1095" s="435" t="s">
        <v>43</v>
      </c>
      <c r="L1095" s="435" t="s">
        <v>43</v>
      </c>
      <c r="M1095" s="435" t="s">
        <v>44</v>
      </c>
      <c r="N1095" s="435"/>
      <c r="O1095" s="435"/>
      <c r="P1095" s="435" t="s">
        <v>759</v>
      </c>
      <c r="Q1095" s="435" t="s">
        <v>778</v>
      </c>
      <c r="R1095" s="576"/>
      <c r="S1095" s="569"/>
      <c r="T1095" s="452"/>
      <c r="U1095" s="440" t="s">
        <v>1093</v>
      </c>
      <c r="V1095" s="435"/>
      <c r="W1095" s="568"/>
    </row>
    <row r="1096" spans="1:23" ht="14.25" customHeight="1">
      <c r="A1096" s="514" t="s">
        <v>700</v>
      </c>
      <c r="B1096" s="453" t="s">
        <v>704</v>
      </c>
      <c r="C1096" s="514" t="s">
        <v>730</v>
      </c>
      <c r="D1096" s="477" t="s">
        <v>2869</v>
      </c>
      <c r="E1096" s="435" t="s">
        <v>1456</v>
      </c>
      <c r="F1096" s="435" t="s">
        <v>1779</v>
      </c>
      <c r="G1096" s="435" t="s">
        <v>1780</v>
      </c>
      <c r="H1096" s="435"/>
      <c r="I1096" s="566" t="s">
        <v>2140</v>
      </c>
      <c r="J1096" s="435" t="s">
        <v>43</v>
      </c>
      <c r="K1096" s="435" t="s">
        <v>43</v>
      </c>
      <c r="L1096" s="435" t="s">
        <v>774</v>
      </c>
      <c r="M1096" s="435" t="s">
        <v>44</v>
      </c>
      <c r="N1096" s="435">
        <v>23.850999999999999</v>
      </c>
      <c r="O1096" s="435">
        <v>98.337999999999994</v>
      </c>
      <c r="P1096" s="435" t="s">
        <v>759</v>
      </c>
      <c r="Q1096" s="435" t="s">
        <v>760</v>
      </c>
      <c r="R1096" s="568">
        <v>30</v>
      </c>
      <c r="S1096" s="568">
        <v>170</v>
      </c>
      <c r="T1096" s="452"/>
      <c r="U1096" s="440" t="s">
        <v>980</v>
      </c>
      <c r="V1096" s="435"/>
      <c r="W1096" s="430" t="s">
        <v>2202</v>
      </c>
    </row>
    <row r="1097" spans="1:23" ht="14.25" customHeight="1">
      <c r="A1097" s="514" t="s">
        <v>700</v>
      </c>
      <c r="B1097" s="453" t="s">
        <v>704</v>
      </c>
      <c r="C1097" s="514" t="s">
        <v>713</v>
      </c>
      <c r="D1097" s="477" t="s">
        <v>2869</v>
      </c>
      <c r="E1097" s="435" t="s">
        <v>1431</v>
      </c>
      <c r="F1097" s="435"/>
      <c r="G1097" s="435"/>
      <c r="H1097" s="435" t="s">
        <v>41</v>
      </c>
      <c r="I1097" s="435" t="s">
        <v>2703</v>
      </c>
      <c r="J1097" s="435" t="s">
        <v>43</v>
      </c>
      <c r="K1097" s="435" t="s">
        <v>966</v>
      </c>
      <c r="L1097" s="435" t="s">
        <v>43</v>
      </c>
      <c r="M1097" s="435" t="s">
        <v>44</v>
      </c>
      <c r="N1097" s="435">
        <v>23.400155999999999</v>
      </c>
      <c r="O1097" s="435">
        <v>98.220614999999995</v>
      </c>
      <c r="P1097" s="435" t="s">
        <v>759</v>
      </c>
      <c r="Q1097" s="435" t="s">
        <v>778</v>
      </c>
      <c r="R1097" s="568">
        <v>38</v>
      </c>
      <c r="S1097" s="568">
        <v>208</v>
      </c>
      <c r="T1097" s="452"/>
      <c r="U1097" s="440"/>
      <c r="V1097" s="435" t="s">
        <v>967</v>
      </c>
      <c r="W1097" s="430" t="s">
        <v>2203</v>
      </c>
    </row>
    <row r="1098" spans="1:23" ht="14.25" customHeight="1">
      <c r="A1098" s="514" t="s">
        <v>700</v>
      </c>
      <c r="B1098" s="453" t="s">
        <v>704</v>
      </c>
      <c r="C1098" s="514" t="s">
        <v>709</v>
      </c>
      <c r="D1098" s="477" t="s">
        <v>2869</v>
      </c>
      <c r="E1098" s="435" t="s">
        <v>1437</v>
      </c>
      <c r="F1098" s="435" t="s">
        <v>1773</v>
      </c>
      <c r="G1098" s="435" t="s">
        <v>1774</v>
      </c>
      <c r="H1098" s="435" t="s">
        <v>41</v>
      </c>
      <c r="I1098" s="561" t="s">
        <v>1334</v>
      </c>
      <c r="J1098" s="435" t="s">
        <v>43</v>
      </c>
      <c r="K1098" s="435" t="s">
        <v>43</v>
      </c>
      <c r="L1098" s="435" t="s">
        <v>43</v>
      </c>
      <c r="M1098" s="435" t="s">
        <v>44</v>
      </c>
      <c r="N1098" s="435">
        <v>23.463000000000001</v>
      </c>
      <c r="O1098" s="435">
        <v>98.248999999999995</v>
      </c>
      <c r="P1098" s="435" t="s">
        <v>759</v>
      </c>
      <c r="Q1098" s="435" t="s">
        <v>778</v>
      </c>
      <c r="R1098" s="568">
        <v>19</v>
      </c>
      <c r="S1098" s="568">
        <v>89</v>
      </c>
      <c r="T1098" s="452"/>
      <c r="U1098" s="440"/>
      <c r="V1098" s="435" t="s">
        <v>970</v>
      </c>
      <c r="W1098" s="430" t="s">
        <v>2204</v>
      </c>
    </row>
    <row r="1099" spans="1:23" ht="14.25" customHeight="1">
      <c r="A1099" s="514" t="s">
        <v>700</v>
      </c>
      <c r="B1099" s="453" t="s">
        <v>704</v>
      </c>
      <c r="C1099" s="514" t="s">
        <v>1118</v>
      </c>
      <c r="D1099" s="437" t="s">
        <v>1664</v>
      </c>
      <c r="E1099" s="435"/>
      <c r="F1099" s="435"/>
      <c r="G1099" s="435"/>
      <c r="H1099" s="435"/>
      <c r="I1099" s="435"/>
      <c r="J1099" s="435" t="s">
        <v>1463</v>
      </c>
      <c r="K1099" s="435" t="s">
        <v>43</v>
      </c>
      <c r="L1099" s="435" t="s">
        <v>1097</v>
      </c>
      <c r="M1099" s="435" t="s">
        <v>44</v>
      </c>
      <c r="N1099" s="435"/>
      <c r="O1099" s="435"/>
      <c r="P1099" s="435" t="s">
        <v>759</v>
      </c>
      <c r="Q1099" s="435" t="s">
        <v>778</v>
      </c>
      <c r="R1099" s="445"/>
      <c r="S1099" s="439"/>
      <c r="T1099" s="452"/>
      <c r="U1099" s="440" t="s">
        <v>1093</v>
      </c>
      <c r="V1099" s="435" t="s">
        <v>1119</v>
      </c>
      <c r="W1099" s="568"/>
    </row>
    <row r="1100" spans="1:23" ht="14.25" customHeight="1">
      <c r="A1100" s="514" t="s">
        <v>700</v>
      </c>
      <c r="B1100" s="453" t="s">
        <v>704</v>
      </c>
      <c r="C1100" s="514" t="s">
        <v>716</v>
      </c>
      <c r="D1100" s="477" t="s">
        <v>2869</v>
      </c>
      <c r="E1100" s="435" t="s">
        <v>1443</v>
      </c>
      <c r="F1100" s="435" t="s">
        <v>1776</v>
      </c>
      <c r="G1100" s="435" t="s">
        <v>1777</v>
      </c>
      <c r="H1100" s="435" t="s">
        <v>41</v>
      </c>
      <c r="I1100" s="435" t="s">
        <v>2703</v>
      </c>
      <c r="J1100" s="435" t="s">
        <v>43</v>
      </c>
      <c r="K1100" s="435" t="s">
        <v>43</v>
      </c>
      <c r="L1100" s="435" t="s">
        <v>43</v>
      </c>
      <c r="M1100" s="435" t="s">
        <v>44</v>
      </c>
      <c r="N1100" s="435">
        <v>23.694130000000001</v>
      </c>
      <c r="O1100" s="435">
        <v>97.818979999999996</v>
      </c>
      <c r="P1100" s="435" t="s">
        <v>759</v>
      </c>
      <c r="Q1100" s="435" t="s">
        <v>778</v>
      </c>
      <c r="R1100" s="568">
        <v>56</v>
      </c>
      <c r="S1100" s="568">
        <v>263</v>
      </c>
      <c r="T1100" s="452"/>
      <c r="U1100" s="440"/>
      <c r="V1100" s="435" t="s">
        <v>716</v>
      </c>
      <c r="W1100" s="430" t="s">
        <v>2205</v>
      </c>
    </row>
    <row r="1101" spans="1:23" ht="14.25" customHeight="1">
      <c r="A1101" s="514" t="s">
        <v>700</v>
      </c>
      <c r="B1101" s="453" t="s">
        <v>704</v>
      </c>
      <c r="C1101" s="514" t="s">
        <v>2139</v>
      </c>
      <c r="D1101" s="477" t="s">
        <v>2869</v>
      </c>
      <c r="E1101" s="435" t="s">
        <v>1442</v>
      </c>
      <c r="F1101" s="435"/>
      <c r="G1101" s="435"/>
      <c r="H1101" s="435" t="s">
        <v>41</v>
      </c>
      <c r="I1101" s="435" t="s">
        <v>1334</v>
      </c>
      <c r="J1101" s="435" t="s">
        <v>43</v>
      </c>
      <c r="K1101" s="435" t="s">
        <v>43</v>
      </c>
      <c r="L1101" s="435" t="s">
        <v>43</v>
      </c>
      <c r="M1101" s="435" t="s">
        <v>44</v>
      </c>
      <c r="N1101" s="435">
        <v>23.682887999999998</v>
      </c>
      <c r="O1101" s="435">
        <v>97.810101000000003</v>
      </c>
      <c r="P1101" s="435" t="s">
        <v>759</v>
      </c>
      <c r="Q1101" s="435" t="s">
        <v>778</v>
      </c>
      <c r="R1101" s="568">
        <v>36</v>
      </c>
      <c r="S1101" s="568">
        <v>120</v>
      </c>
      <c r="T1101" s="452" t="s">
        <v>803</v>
      </c>
      <c r="U1101" s="440"/>
      <c r="V1101" s="435"/>
      <c r="W1101" s="430" t="s">
        <v>2206</v>
      </c>
    </row>
    <row r="1102" spans="1:23" ht="14.25" customHeight="1">
      <c r="A1102" s="514" t="s">
        <v>700</v>
      </c>
      <c r="B1102" s="453" t="s">
        <v>704</v>
      </c>
      <c r="C1102" s="514" t="s">
        <v>727</v>
      </c>
      <c r="D1102" s="477" t="s">
        <v>2869</v>
      </c>
      <c r="E1102" s="435" t="s">
        <v>1433</v>
      </c>
      <c r="F1102" s="561" t="s">
        <v>1677</v>
      </c>
      <c r="G1102" s="435">
        <v>0</v>
      </c>
      <c r="H1102" s="435" t="s">
        <v>41</v>
      </c>
      <c r="I1102" s="435" t="s">
        <v>1334</v>
      </c>
      <c r="J1102" s="435" t="s">
        <v>43</v>
      </c>
      <c r="K1102" s="435" t="s">
        <v>966</v>
      </c>
      <c r="L1102" s="435" t="s">
        <v>43</v>
      </c>
      <c r="M1102" s="435" t="s">
        <v>44</v>
      </c>
      <c r="N1102" s="435">
        <v>23.447111</v>
      </c>
      <c r="O1102" s="435">
        <v>97.868876999999998</v>
      </c>
      <c r="P1102" s="435" t="s">
        <v>759</v>
      </c>
      <c r="Q1102" s="435" t="s">
        <v>760</v>
      </c>
      <c r="R1102" s="568">
        <v>105</v>
      </c>
      <c r="S1102" s="568">
        <v>642</v>
      </c>
      <c r="T1102" s="452"/>
      <c r="U1102" s="440"/>
      <c r="V1102" s="435"/>
      <c r="W1102" s="430" t="s">
        <v>2207</v>
      </c>
    </row>
    <row r="1103" spans="1:23" ht="14.25" customHeight="1">
      <c r="A1103" s="514" t="s">
        <v>700</v>
      </c>
      <c r="B1103" s="453" t="s">
        <v>704</v>
      </c>
      <c r="C1103" s="514" t="s">
        <v>747</v>
      </c>
      <c r="D1103" s="477" t="s">
        <v>2869</v>
      </c>
      <c r="E1103" s="435" t="s">
        <v>1907</v>
      </c>
      <c r="F1103" s="435" t="s">
        <v>747</v>
      </c>
      <c r="G1103" s="435" t="s">
        <v>747</v>
      </c>
      <c r="H1103" s="435" t="s">
        <v>41</v>
      </c>
      <c r="I1103" s="435" t="s">
        <v>1334</v>
      </c>
      <c r="J1103" s="435" t="s">
        <v>43</v>
      </c>
      <c r="K1103" s="435" t="s">
        <v>43</v>
      </c>
      <c r="L1103" s="435" t="s">
        <v>43</v>
      </c>
      <c r="M1103" s="435" t="s">
        <v>44</v>
      </c>
      <c r="N1103" s="435">
        <v>0</v>
      </c>
      <c r="O1103" s="435">
        <v>0</v>
      </c>
      <c r="P1103" s="435" t="s">
        <v>759</v>
      </c>
      <c r="Q1103" s="435"/>
      <c r="R1103" s="568">
        <v>36</v>
      </c>
      <c r="S1103" s="568">
        <v>192</v>
      </c>
      <c r="T1103" s="452"/>
      <c r="U1103" s="440" t="s">
        <v>1151</v>
      </c>
      <c r="V1103" s="435"/>
      <c r="W1103" s="430" t="s">
        <v>2208</v>
      </c>
    </row>
    <row r="1104" spans="1:23" ht="14.25" customHeight="1">
      <c r="A1104" s="514" t="s">
        <v>700</v>
      </c>
      <c r="B1104" s="453" t="s">
        <v>704</v>
      </c>
      <c r="C1104" s="514" t="s">
        <v>723</v>
      </c>
      <c r="D1104" s="477" t="s">
        <v>2869</v>
      </c>
      <c r="E1104" s="435" t="s">
        <v>1430</v>
      </c>
      <c r="F1104" s="435" t="s">
        <v>1677</v>
      </c>
      <c r="G1104" s="435" t="s">
        <v>1678</v>
      </c>
      <c r="H1104" s="435" t="s">
        <v>41</v>
      </c>
      <c r="I1104" s="435" t="s">
        <v>2703</v>
      </c>
      <c r="J1104" s="435" t="s">
        <v>43</v>
      </c>
      <c r="K1104" s="435" t="s">
        <v>966</v>
      </c>
      <c r="L1104" s="435" t="s">
        <v>43</v>
      </c>
      <c r="M1104" s="435" t="s">
        <v>44</v>
      </c>
      <c r="N1104" s="435">
        <v>23.38503</v>
      </c>
      <c r="O1104" s="435">
        <v>97.837040000000002</v>
      </c>
      <c r="P1104" s="435" t="s">
        <v>759</v>
      </c>
      <c r="Q1104" s="435" t="s">
        <v>778</v>
      </c>
      <c r="R1104" s="568">
        <v>205</v>
      </c>
      <c r="S1104" s="568">
        <v>1053</v>
      </c>
      <c r="T1104" s="452"/>
      <c r="U1104" s="440"/>
      <c r="V1104" s="435" t="s">
        <v>723</v>
      </c>
      <c r="W1104" s="430" t="s">
        <v>2209</v>
      </c>
    </row>
    <row r="1105" spans="1:23" ht="14.25" customHeight="1">
      <c r="A1105" s="514" t="s">
        <v>700</v>
      </c>
      <c r="B1105" s="453" t="s">
        <v>1256</v>
      </c>
      <c r="C1105" s="514" t="s">
        <v>2872</v>
      </c>
      <c r="D1105" s="567"/>
      <c r="E1105" s="435"/>
      <c r="F1105" s="435"/>
      <c r="G1105" s="435"/>
      <c r="H1105" s="435"/>
      <c r="I1105" s="435"/>
      <c r="J1105" s="435" t="s">
        <v>1463</v>
      </c>
      <c r="K1105" s="435" t="s">
        <v>43</v>
      </c>
      <c r="L1105" s="435" t="s">
        <v>774</v>
      </c>
      <c r="M1105" s="435" t="s">
        <v>44</v>
      </c>
      <c r="N1105" s="435"/>
      <c r="O1105" s="435"/>
      <c r="P1105" s="435" t="s">
        <v>759</v>
      </c>
      <c r="Q1105" s="435" t="s">
        <v>2873</v>
      </c>
      <c r="R1105" s="576"/>
      <c r="S1105" s="569"/>
      <c r="T1105" s="452"/>
      <c r="U1105" s="440"/>
      <c r="V1105" s="435"/>
      <c r="W1105" s="568"/>
    </row>
    <row r="1106" spans="1:23" ht="14.25" customHeight="1">
      <c r="A1106" s="514" t="s">
        <v>700</v>
      </c>
      <c r="B1106" s="453" t="s">
        <v>1256</v>
      </c>
      <c r="C1106" s="514" t="s">
        <v>1316</v>
      </c>
      <c r="D1106" s="567" t="s">
        <v>1884</v>
      </c>
      <c r="E1106" s="435"/>
      <c r="F1106" s="435" t="s">
        <v>1885</v>
      </c>
      <c r="G1106" s="435"/>
      <c r="H1106" s="435"/>
      <c r="I1106" s="435"/>
      <c r="J1106" s="435" t="s">
        <v>1463</v>
      </c>
      <c r="K1106" s="435"/>
      <c r="L1106" s="435"/>
      <c r="M1106" s="435"/>
      <c r="N1106" s="435"/>
      <c r="O1106" s="435"/>
      <c r="P1106" s="435" t="s">
        <v>759</v>
      </c>
      <c r="Q1106" s="435"/>
      <c r="R1106" s="576"/>
      <c r="S1106" s="569"/>
      <c r="T1106" s="452"/>
      <c r="U1106" s="440"/>
      <c r="V1106" s="435"/>
      <c r="W1106" s="568"/>
    </row>
    <row r="1107" spans="1:23" ht="14.25" customHeight="1">
      <c r="A1107" s="573" t="s">
        <v>700</v>
      </c>
      <c r="B1107" s="453" t="s">
        <v>1256</v>
      </c>
      <c r="C1107" s="514" t="s">
        <v>2874</v>
      </c>
      <c r="D1107" s="567"/>
      <c r="E1107" s="435"/>
      <c r="F1107" s="435"/>
      <c r="G1107" s="435"/>
      <c r="H1107" s="435"/>
      <c r="I1107" s="561"/>
      <c r="J1107" s="435" t="s">
        <v>1463</v>
      </c>
      <c r="K1107" s="435" t="s">
        <v>43</v>
      </c>
      <c r="L1107" s="435" t="s">
        <v>774</v>
      </c>
      <c r="M1107" s="435" t="s">
        <v>44</v>
      </c>
      <c r="N1107" s="435"/>
      <c r="O1107" s="435"/>
      <c r="P1107" s="435" t="s">
        <v>759</v>
      </c>
      <c r="Q1107" s="435" t="s">
        <v>2873</v>
      </c>
      <c r="R1107" s="576"/>
      <c r="S1107" s="569"/>
      <c r="T1107" s="452">
        <v>43633</v>
      </c>
      <c r="U1107" s="440"/>
      <c r="V1107" s="435"/>
      <c r="W1107" s="568"/>
    </row>
    <row r="1108" spans="1:23" ht="14.25" customHeight="1">
      <c r="A1108" s="573" t="s">
        <v>700</v>
      </c>
      <c r="B1108" s="453" t="s">
        <v>1256</v>
      </c>
      <c r="C1108" s="514" t="s">
        <v>2460</v>
      </c>
      <c r="D1108" s="567"/>
      <c r="E1108" s="435"/>
      <c r="F1108" s="435"/>
      <c r="G1108" s="435"/>
      <c r="H1108" s="435"/>
      <c r="I1108" s="435"/>
      <c r="J1108" s="435" t="s">
        <v>2692</v>
      </c>
      <c r="K1108" s="435" t="s">
        <v>2658</v>
      </c>
      <c r="L1108" s="435" t="s">
        <v>2658</v>
      </c>
      <c r="M1108" s="435" t="s">
        <v>44</v>
      </c>
      <c r="N1108" s="435"/>
      <c r="O1108" s="435"/>
      <c r="P1108" s="435" t="s">
        <v>1989</v>
      </c>
      <c r="Q1108" s="435"/>
      <c r="R1108" s="576"/>
      <c r="S1108" s="569"/>
      <c r="T1108" s="452"/>
      <c r="U1108" s="440"/>
      <c r="V1108" s="435"/>
      <c r="W1108" s="430"/>
    </row>
    <row r="1109" spans="1:23" ht="14.25" customHeight="1">
      <c r="A1109" s="573" t="s">
        <v>700</v>
      </c>
      <c r="B1109" s="453" t="s">
        <v>707</v>
      </c>
      <c r="C1109" s="514" t="s">
        <v>1082</v>
      </c>
      <c r="D1109" s="477" t="s">
        <v>1664</v>
      </c>
      <c r="E1109" s="435"/>
      <c r="F1109" s="435"/>
      <c r="G1109" s="435"/>
      <c r="H1109" s="435"/>
      <c r="I1109" s="435"/>
      <c r="J1109" s="435" t="s">
        <v>796</v>
      </c>
      <c r="K1109" s="435" t="s">
        <v>796</v>
      </c>
      <c r="L1109" s="435" t="s">
        <v>796</v>
      </c>
      <c r="M1109" s="435"/>
      <c r="N1109" s="435"/>
      <c r="O1109" s="435"/>
      <c r="P1109" s="435" t="s">
        <v>797</v>
      </c>
      <c r="Q1109" s="435"/>
      <c r="R1109" s="568"/>
      <c r="S1109" s="568"/>
      <c r="T1109" s="452"/>
      <c r="U1109" s="440"/>
      <c r="V1109" s="435" t="s">
        <v>1083</v>
      </c>
      <c r="W1109" s="430"/>
    </row>
    <row r="1110" spans="1:23" ht="14.25" customHeight="1">
      <c r="A1110" s="573" t="s">
        <v>700</v>
      </c>
      <c r="B1110" s="453" t="s">
        <v>707</v>
      </c>
      <c r="C1110" s="514" t="s">
        <v>745</v>
      </c>
      <c r="D1110" s="477" t="s">
        <v>2267</v>
      </c>
      <c r="E1110" s="435" t="s">
        <v>1335</v>
      </c>
      <c r="F1110" s="561">
        <v>0</v>
      </c>
      <c r="G1110" s="435">
        <v>0</v>
      </c>
      <c r="H1110" s="435"/>
      <c r="I1110" s="435" t="s">
        <v>2140</v>
      </c>
      <c r="J1110" s="435" t="s">
        <v>43</v>
      </c>
      <c r="K1110" s="435" t="s">
        <v>43</v>
      </c>
      <c r="L1110" s="435" t="s">
        <v>758</v>
      </c>
      <c r="M1110" s="435" t="s">
        <v>44</v>
      </c>
      <c r="N1110" s="435"/>
      <c r="O1110" s="435"/>
      <c r="P1110" s="435" t="s">
        <v>759</v>
      </c>
      <c r="Q1110" s="435" t="s">
        <v>760</v>
      </c>
      <c r="R1110" s="568"/>
      <c r="S1110" s="568"/>
      <c r="T1110" s="452"/>
      <c r="U1110" s="440" t="s">
        <v>2706</v>
      </c>
      <c r="V1110" s="435"/>
      <c r="W1110" s="430" t="s">
        <v>2268</v>
      </c>
    </row>
    <row r="1111" spans="1:23" ht="14.25" customHeight="1">
      <c r="A1111" s="573" t="s">
        <v>700</v>
      </c>
      <c r="B1111" s="453" t="s">
        <v>707</v>
      </c>
      <c r="C1111" s="514" t="s">
        <v>733</v>
      </c>
      <c r="D1111" s="437" t="s">
        <v>2869</v>
      </c>
      <c r="E1111" s="435" t="s">
        <v>1426</v>
      </c>
      <c r="F1111" s="435" t="s">
        <v>1694</v>
      </c>
      <c r="G1111" s="435" t="s">
        <v>1714</v>
      </c>
      <c r="H1111" s="435" t="s">
        <v>41</v>
      </c>
      <c r="I1111" s="435" t="s">
        <v>2703</v>
      </c>
      <c r="J1111" s="435" t="s">
        <v>43</v>
      </c>
      <c r="K1111" s="435" t="s">
        <v>43</v>
      </c>
      <c r="L1111" s="435" t="s">
        <v>43</v>
      </c>
      <c r="M1111" s="435" t="s">
        <v>44</v>
      </c>
      <c r="N1111" s="435">
        <v>23.250678000000001</v>
      </c>
      <c r="O1111" s="435">
        <v>97.124403000000001</v>
      </c>
      <c r="P1111" s="435" t="s">
        <v>759</v>
      </c>
      <c r="Q1111" s="435" t="s">
        <v>778</v>
      </c>
      <c r="R1111" s="445">
        <v>29</v>
      </c>
      <c r="S1111" s="439">
        <v>158</v>
      </c>
      <c r="T1111" s="452"/>
      <c r="U1111" s="440"/>
      <c r="V1111" s="435" t="s">
        <v>733</v>
      </c>
      <c r="W1111" s="430" t="s">
        <v>2210</v>
      </c>
    </row>
    <row r="1112" spans="1:23" ht="14.25" customHeight="1">
      <c r="A1112" s="573" t="s">
        <v>700</v>
      </c>
      <c r="B1112" s="453" t="s">
        <v>707</v>
      </c>
      <c r="C1112" s="514" t="s">
        <v>708</v>
      </c>
      <c r="D1112" s="567" t="s">
        <v>2869</v>
      </c>
      <c r="E1112" s="435" t="s">
        <v>1425</v>
      </c>
      <c r="F1112" s="435" t="s">
        <v>1694</v>
      </c>
      <c r="G1112" s="435" t="s">
        <v>1714</v>
      </c>
      <c r="H1112" s="435" t="s">
        <v>41</v>
      </c>
      <c r="I1112" s="561" t="s">
        <v>1334</v>
      </c>
      <c r="J1112" s="435" t="s">
        <v>43</v>
      </c>
      <c r="K1112" s="435" t="s">
        <v>43</v>
      </c>
      <c r="L1112" s="435" t="s">
        <v>43</v>
      </c>
      <c r="M1112" s="435" t="s">
        <v>44</v>
      </c>
      <c r="N1112" s="435">
        <v>23.24661</v>
      </c>
      <c r="O1112" s="435">
        <v>97.116680000000002</v>
      </c>
      <c r="P1112" s="435" t="s">
        <v>759</v>
      </c>
      <c r="Q1112" s="435" t="s">
        <v>778</v>
      </c>
      <c r="R1112" s="576">
        <v>30</v>
      </c>
      <c r="S1112" s="569">
        <v>155</v>
      </c>
      <c r="T1112" s="452"/>
      <c r="U1112" s="440"/>
      <c r="V1112" s="435" t="s">
        <v>708</v>
      </c>
      <c r="W1112" s="430" t="s">
        <v>2211</v>
      </c>
    </row>
    <row r="1113" spans="1:23" ht="14.25" customHeight="1">
      <c r="A1113" s="573" t="s">
        <v>700</v>
      </c>
      <c r="B1113" s="597" t="s">
        <v>710</v>
      </c>
      <c r="C1113" s="514" t="s">
        <v>757</v>
      </c>
      <c r="D1113" s="567" t="s">
        <v>1665</v>
      </c>
      <c r="E1113" s="561" t="s">
        <v>1320</v>
      </c>
      <c r="F1113" s="561" t="s">
        <v>1683</v>
      </c>
      <c r="G1113" s="561" t="s">
        <v>1684</v>
      </c>
      <c r="H1113" s="561"/>
      <c r="I1113" s="561">
        <v>0</v>
      </c>
      <c r="J1113" s="561" t="s">
        <v>43</v>
      </c>
      <c r="K1113" s="561" t="s">
        <v>43</v>
      </c>
      <c r="L1113" s="561" t="s">
        <v>758</v>
      </c>
      <c r="M1113" s="561" t="s">
        <v>44</v>
      </c>
      <c r="N1113" s="561"/>
      <c r="O1113" s="561"/>
      <c r="P1113" s="561" t="s">
        <v>759</v>
      </c>
      <c r="Q1113" s="561" t="s">
        <v>760</v>
      </c>
      <c r="R1113" s="576"/>
      <c r="S1113" s="569"/>
      <c r="T1113" s="588">
        <v>42832</v>
      </c>
      <c r="U1113" s="570"/>
      <c r="V1113" s="561"/>
      <c r="W1113" s="430" t="s">
        <v>2212</v>
      </c>
    </row>
    <row r="1114" spans="1:23" ht="14.25" customHeight="1">
      <c r="A1114" s="573" t="s">
        <v>700</v>
      </c>
      <c r="B1114" s="597" t="s">
        <v>710</v>
      </c>
      <c r="C1114" s="514" t="s">
        <v>761</v>
      </c>
      <c r="D1114" s="567" t="s">
        <v>1665</v>
      </c>
      <c r="E1114" s="561" t="s">
        <v>1321</v>
      </c>
      <c r="F1114" s="561" t="s">
        <v>1683</v>
      </c>
      <c r="G1114" s="561" t="s">
        <v>1685</v>
      </c>
      <c r="H1114" s="561"/>
      <c r="I1114" s="561">
        <v>0</v>
      </c>
      <c r="J1114" s="561" t="s">
        <v>43</v>
      </c>
      <c r="K1114" s="561" t="s">
        <v>43</v>
      </c>
      <c r="L1114" s="561" t="s">
        <v>758</v>
      </c>
      <c r="M1114" s="561" t="s">
        <v>44</v>
      </c>
      <c r="N1114" s="561"/>
      <c r="O1114" s="561"/>
      <c r="P1114" s="561" t="s">
        <v>759</v>
      </c>
      <c r="Q1114" s="561" t="s">
        <v>760</v>
      </c>
      <c r="R1114" s="576"/>
      <c r="S1114" s="569"/>
      <c r="T1114" s="588"/>
      <c r="U1114" s="570"/>
      <c r="V1114" s="561">
        <v>42920</v>
      </c>
      <c r="W1114" s="430" t="s">
        <v>2212</v>
      </c>
    </row>
    <row r="1115" spans="1:23" ht="14.25" customHeight="1">
      <c r="A1115" s="573" t="s">
        <v>700</v>
      </c>
      <c r="B1115" s="597" t="s">
        <v>710</v>
      </c>
      <c r="C1115" s="514" t="s">
        <v>762</v>
      </c>
      <c r="D1115" s="477" t="s">
        <v>1665</v>
      </c>
      <c r="E1115" s="561" t="s">
        <v>1322</v>
      </c>
      <c r="F1115" s="561" t="s">
        <v>1683</v>
      </c>
      <c r="G1115" s="561" t="s">
        <v>1685</v>
      </c>
      <c r="H1115" s="561"/>
      <c r="I1115" s="561">
        <v>0</v>
      </c>
      <c r="J1115" s="561" t="s">
        <v>43</v>
      </c>
      <c r="K1115" s="561" t="s">
        <v>43</v>
      </c>
      <c r="L1115" s="561" t="s">
        <v>758</v>
      </c>
      <c r="M1115" s="561" t="s">
        <v>44</v>
      </c>
      <c r="N1115" s="561"/>
      <c r="O1115" s="561"/>
      <c r="P1115" s="561" t="s">
        <v>759</v>
      </c>
      <c r="Q1115" s="561" t="s">
        <v>760</v>
      </c>
      <c r="R1115" s="568"/>
      <c r="S1115" s="568"/>
      <c r="T1115" s="588"/>
      <c r="U1115" s="570"/>
      <c r="V1115" s="561">
        <v>42920</v>
      </c>
      <c r="W1115" s="430" t="s">
        <v>2212</v>
      </c>
    </row>
    <row r="1116" spans="1:23" ht="14.25" customHeight="1">
      <c r="A1116" s="573" t="s">
        <v>700</v>
      </c>
      <c r="B1116" s="597" t="s">
        <v>710</v>
      </c>
      <c r="C1116" s="514" t="s">
        <v>983</v>
      </c>
      <c r="D1116" s="567" t="s">
        <v>1665</v>
      </c>
      <c r="E1116" s="561" t="s">
        <v>1459</v>
      </c>
      <c r="F1116" s="561" t="s">
        <v>1701</v>
      </c>
      <c r="G1116" s="561" t="s">
        <v>1702</v>
      </c>
      <c r="H1116" s="561"/>
      <c r="I1116" s="561">
        <v>0</v>
      </c>
      <c r="J1116" s="561" t="s">
        <v>43</v>
      </c>
      <c r="K1116" s="561" t="s">
        <v>43</v>
      </c>
      <c r="L1116" s="561" t="s">
        <v>758</v>
      </c>
      <c r="M1116" s="561" t="s">
        <v>44</v>
      </c>
      <c r="N1116" s="561">
        <v>23.917631</v>
      </c>
      <c r="O1116" s="561">
        <v>98.116817999999995</v>
      </c>
      <c r="P1116" s="561" t="s">
        <v>759</v>
      </c>
      <c r="Q1116" s="561" t="s">
        <v>760</v>
      </c>
      <c r="R1116" s="576"/>
      <c r="S1116" s="569"/>
      <c r="T1116" s="588">
        <v>42836</v>
      </c>
      <c r="U1116" s="570"/>
      <c r="V1116" s="561"/>
      <c r="W1116" s="430" t="s">
        <v>2213</v>
      </c>
    </row>
    <row r="1117" spans="1:23" ht="14.25" customHeight="1">
      <c r="A1117" s="573" t="s">
        <v>700</v>
      </c>
      <c r="B1117" s="597" t="s">
        <v>710</v>
      </c>
      <c r="C1117" s="514" t="s">
        <v>740</v>
      </c>
      <c r="D1117" s="567" t="s">
        <v>2869</v>
      </c>
      <c r="E1117" s="561" t="s">
        <v>1623</v>
      </c>
      <c r="F1117" s="561" t="s">
        <v>1856</v>
      </c>
      <c r="G1117" s="561" t="s">
        <v>740</v>
      </c>
      <c r="H1117" s="561" t="s">
        <v>41</v>
      </c>
      <c r="I1117" s="561" t="s">
        <v>2703</v>
      </c>
      <c r="J1117" s="561" t="s">
        <v>43</v>
      </c>
      <c r="K1117" s="561" t="s">
        <v>43</v>
      </c>
      <c r="L1117" s="561" t="s">
        <v>43</v>
      </c>
      <c r="M1117" s="561" t="s">
        <v>44</v>
      </c>
      <c r="N1117" s="561">
        <v>24.08738</v>
      </c>
      <c r="O1117" s="561">
        <v>98.115809999999996</v>
      </c>
      <c r="P1117" s="561" t="s">
        <v>759</v>
      </c>
      <c r="Q1117" s="561" t="s">
        <v>800</v>
      </c>
      <c r="R1117" s="576">
        <v>152</v>
      </c>
      <c r="S1117" s="569">
        <v>788</v>
      </c>
      <c r="T1117" s="588" t="s">
        <v>1081</v>
      </c>
      <c r="U1117" s="570"/>
      <c r="V1117" s="561"/>
      <c r="W1117" s="430" t="s">
        <v>2197</v>
      </c>
    </row>
    <row r="1118" spans="1:23" ht="14.25" customHeight="1">
      <c r="A1118" s="573" t="s">
        <v>700</v>
      </c>
      <c r="B1118" s="597" t="s">
        <v>710</v>
      </c>
      <c r="C1118" s="514" t="s">
        <v>744</v>
      </c>
      <c r="D1118" s="567" t="s">
        <v>1742</v>
      </c>
      <c r="E1118" s="561" t="s">
        <v>1470</v>
      </c>
      <c r="F1118" s="571" t="s">
        <v>740</v>
      </c>
      <c r="G1118" s="561" t="s">
        <v>740</v>
      </c>
      <c r="H1118" s="561"/>
      <c r="I1118" s="561">
        <v>0</v>
      </c>
      <c r="J1118" s="561" t="s">
        <v>43</v>
      </c>
      <c r="K1118" s="561" t="s">
        <v>43</v>
      </c>
      <c r="L1118" s="561" t="s">
        <v>758</v>
      </c>
      <c r="M1118" s="561" t="s">
        <v>44</v>
      </c>
      <c r="N1118" s="561">
        <v>24.08738</v>
      </c>
      <c r="O1118" s="561">
        <v>98.115809999999996</v>
      </c>
      <c r="P1118" s="561" t="s">
        <v>759</v>
      </c>
      <c r="Q1118" s="561" t="s">
        <v>778</v>
      </c>
      <c r="R1118" s="576"/>
      <c r="S1118" s="569"/>
      <c r="T1118" s="588">
        <v>43276</v>
      </c>
      <c r="U1118" s="570" t="s">
        <v>1982</v>
      </c>
      <c r="V1118" s="561" t="s">
        <v>744</v>
      </c>
      <c r="W1118" s="430" t="s">
        <v>1982</v>
      </c>
    </row>
    <row r="1119" spans="1:23" ht="14.25" customHeight="1">
      <c r="A1119" s="573" t="s">
        <v>700</v>
      </c>
      <c r="B1119" s="597" t="s">
        <v>710</v>
      </c>
      <c r="C1119" s="514" t="s">
        <v>751</v>
      </c>
      <c r="D1119" s="567" t="s">
        <v>1665</v>
      </c>
      <c r="E1119" s="561" t="s">
        <v>1329</v>
      </c>
      <c r="F1119" s="561">
        <v>0</v>
      </c>
      <c r="G1119" s="561">
        <v>0</v>
      </c>
      <c r="H1119" s="561"/>
      <c r="I1119" s="561">
        <v>0</v>
      </c>
      <c r="J1119" s="561" t="s">
        <v>43</v>
      </c>
      <c r="K1119" s="561" t="s">
        <v>43</v>
      </c>
      <c r="L1119" s="561" t="s">
        <v>758</v>
      </c>
      <c r="M1119" s="561" t="s">
        <v>44</v>
      </c>
      <c r="N1119" s="561"/>
      <c r="O1119" s="561"/>
      <c r="P1119" s="561" t="s">
        <v>759</v>
      </c>
      <c r="Q1119" s="561" t="s">
        <v>760</v>
      </c>
      <c r="R1119" s="576"/>
      <c r="S1119" s="569"/>
      <c r="T1119" s="588"/>
      <c r="U1119" s="570"/>
      <c r="V1119" s="561">
        <v>42920</v>
      </c>
      <c r="W1119" s="430" t="s">
        <v>2212</v>
      </c>
    </row>
    <row r="1120" spans="1:23" ht="14.25" customHeight="1">
      <c r="A1120" s="573" t="s">
        <v>700</v>
      </c>
      <c r="B1120" s="597" t="s">
        <v>710</v>
      </c>
      <c r="C1120" s="514" t="s">
        <v>768</v>
      </c>
      <c r="D1120" s="567" t="s">
        <v>1665</v>
      </c>
      <c r="E1120" s="561" t="s">
        <v>1330</v>
      </c>
      <c r="F1120" s="561" t="s">
        <v>1683</v>
      </c>
      <c r="G1120" s="561" t="s">
        <v>1685</v>
      </c>
      <c r="H1120" s="561"/>
      <c r="I1120" s="561">
        <v>0</v>
      </c>
      <c r="J1120" s="561" t="s">
        <v>43</v>
      </c>
      <c r="K1120" s="561" t="s">
        <v>43</v>
      </c>
      <c r="L1120" s="561" t="s">
        <v>758</v>
      </c>
      <c r="M1120" s="561" t="s">
        <v>44</v>
      </c>
      <c r="N1120" s="561"/>
      <c r="O1120" s="561"/>
      <c r="P1120" s="561" t="s">
        <v>759</v>
      </c>
      <c r="Q1120" s="561" t="s">
        <v>760</v>
      </c>
      <c r="R1120" s="576"/>
      <c r="S1120" s="569"/>
      <c r="T1120" s="588"/>
      <c r="U1120" s="570"/>
      <c r="V1120" s="585">
        <v>42920</v>
      </c>
      <c r="W1120" s="430" t="s">
        <v>2212</v>
      </c>
    </row>
    <row r="1121" spans="1:23" ht="14.25" customHeight="1">
      <c r="A1121" s="573" t="s">
        <v>700</v>
      </c>
      <c r="B1121" s="597" t="s">
        <v>710</v>
      </c>
      <c r="C1121" s="514" t="s">
        <v>991</v>
      </c>
      <c r="D1121" s="477" t="s">
        <v>1664</v>
      </c>
      <c r="E1121" s="561" t="s">
        <v>1471</v>
      </c>
      <c r="F1121" s="561"/>
      <c r="G1121" s="561"/>
      <c r="H1121" s="561" t="s">
        <v>41</v>
      </c>
      <c r="I1121" s="566" t="s">
        <v>133</v>
      </c>
      <c r="J1121" s="561" t="s">
        <v>43</v>
      </c>
      <c r="K1121" s="561" t="s">
        <v>43</v>
      </c>
      <c r="L1121" s="561" t="s">
        <v>758</v>
      </c>
      <c r="M1121" s="561" t="s">
        <v>776</v>
      </c>
      <c r="N1121" s="561">
        <v>24.101320999999999</v>
      </c>
      <c r="O1121" s="561">
        <v>98.320651999999995</v>
      </c>
      <c r="P1121" s="561" t="s">
        <v>759</v>
      </c>
      <c r="Q1121" s="561"/>
      <c r="R1121" s="568"/>
      <c r="S1121" s="568"/>
      <c r="T1121" s="588"/>
      <c r="U1121" s="570"/>
      <c r="V1121" s="561" t="s">
        <v>992</v>
      </c>
      <c r="W1121" s="430" t="s">
        <v>2214</v>
      </c>
    </row>
    <row r="1122" spans="1:23" ht="14.25" customHeight="1">
      <c r="A1122" s="573" t="s">
        <v>700</v>
      </c>
      <c r="B1122" s="597" t="s">
        <v>710</v>
      </c>
      <c r="C1122" s="514" t="s">
        <v>990</v>
      </c>
      <c r="D1122" s="477" t="s">
        <v>1665</v>
      </c>
      <c r="E1122" s="561" t="s">
        <v>1468</v>
      </c>
      <c r="F1122" s="561" t="s">
        <v>990</v>
      </c>
      <c r="G1122" s="561" t="s">
        <v>990</v>
      </c>
      <c r="H1122" s="561"/>
      <c r="I1122" s="561">
        <v>0</v>
      </c>
      <c r="J1122" s="561" t="s">
        <v>43</v>
      </c>
      <c r="K1122" s="561" t="s">
        <v>43</v>
      </c>
      <c r="L1122" s="561" t="s">
        <v>758</v>
      </c>
      <c r="M1122" s="561" t="s">
        <v>776</v>
      </c>
      <c r="N1122" s="561">
        <v>24.008452999999999</v>
      </c>
      <c r="O1122" s="561">
        <v>98.054946000000001</v>
      </c>
      <c r="P1122" s="561" t="s">
        <v>759</v>
      </c>
      <c r="Q1122" s="561" t="s">
        <v>778</v>
      </c>
      <c r="R1122" s="568"/>
      <c r="S1122" s="568"/>
      <c r="T1122" s="588"/>
      <c r="U1122" s="570"/>
      <c r="V1122" s="561" t="s">
        <v>990</v>
      </c>
      <c r="W1122" s="430" t="s">
        <v>2215</v>
      </c>
    </row>
    <row r="1123" spans="1:23" ht="14.25" customHeight="1">
      <c r="A1123" s="573" t="s">
        <v>700</v>
      </c>
      <c r="B1123" s="597" t="s">
        <v>710</v>
      </c>
      <c r="C1123" s="514" t="s">
        <v>735</v>
      </c>
      <c r="D1123" s="567" t="s">
        <v>2869</v>
      </c>
      <c r="E1123" s="561" t="s">
        <v>1466</v>
      </c>
      <c r="F1123" s="561" t="s">
        <v>1683</v>
      </c>
      <c r="G1123" s="561" t="s">
        <v>1685</v>
      </c>
      <c r="H1123" s="561"/>
      <c r="I1123" s="561" t="s">
        <v>2140</v>
      </c>
      <c r="J1123" s="561" t="s">
        <v>43</v>
      </c>
      <c r="K1123" s="561" t="s">
        <v>43</v>
      </c>
      <c r="L1123" s="561" t="s">
        <v>774</v>
      </c>
      <c r="M1123" s="561" t="s">
        <v>44</v>
      </c>
      <c r="N1123" s="561">
        <v>24.006319999999999</v>
      </c>
      <c r="O1123" s="561">
        <v>97.909400000000005</v>
      </c>
      <c r="P1123" s="561" t="s">
        <v>759</v>
      </c>
      <c r="Q1123" s="561" t="s">
        <v>778</v>
      </c>
      <c r="R1123" s="576">
        <v>40</v>
      </c>
      <c r="S1123" s="569">
        <v>180</v>
      </c>
      <c r="T1123" s="588"/>
      <c r="U1123" s="570"/>
      <c r="V1123" s="561" t="s">
        <v>988</v>
      </c>
      <c r="W1123" s="568" t="s">
        <v>2216</v>
      </c>
    </row>
    <row r="1124" spans="1:23" ht="14.25" customHeight="1">
      <c r="A1124" s="573" t="s">
        <v>700</v>
      </c>
      <c r="B1124" s="597" t="s">
        <v>710</v>
      </c>
      <c r="C1124" s="514" t="s">
        <v>711</v>
      </c>
      <c r="D1124" s="567" t="s">
        <v>2869</v>
      </c>
      <c r="E1124" s="561" t="s">
        <v>1467</v>
      </c>
      <c r="F1124" s="561" t="s">
        <v>1683</v>
      </c>
      <c r="G1124" s="561" t="s">
        <v>1685</v>
      </c>
      <c r="H1124" s="561" t="s">
        <v>41</v>
      </c>
      <c r="I1124" s="561" t="s">
        <v>1334</v>
      </c>
      <c r="J1124" s="561" t="s">
        <v>43</v>
      </c>
      <c r="K1124" s="561" t="s">
        <v>43</v>
      </c>
      <c r="L1124" s="561" t="s">
        <v>43</v>
      </c>
      <c r="M1124" s="561" t="s">
        <v>44</v>
      </c>
      <c r="N1124" s="561">
        <v>24.006789000000001</v>
      </c>
      <c r="O1124" s="561">
        <v>97.911647000000002</v>
      </c>
      <c r="P1124" s="561" t="s">
        <v>759</v>
      </c>
      <c r="Q1124" s="561" t="s">
        <v>778</v>
      </c>
      <c r="R1124" s="576">
        <v>17</v>
      </c>
      <c r="S1124" s="569">
        <v>80</v>
      </c>
      <c r="T1124" s="588"/>
      <c r="U1124" s="570"/>
      <c r="V1124" s="561" t="s">
        <v>989</v>
      </c>
      <c r="W1124" s="430" t="s">
        <v>2217</v>
      </c>
    </row>
    <row r="1125" spans="1:23" ht="14.25" customHeight="1">
      <c r="A1125" s="573" t="s">
        <v>700</v>
      </c>
      <c r="B1125" s="597" t="s">
        <v>710</v>
      </c>
      <c r="C1125" s="514" t="s">
        <v>715</v>
      </c>
      <c r="D1125" s="567" t="s">
        <v>1665</v>
      </c>
      <c r="E1125" s="561" t="s">
        <v>1338</v>
      </c>
      <c r="F1125" s="561" t="s">
        <v>1666</v>
      </c>
      <c r="G1125" s="561" t="s">
        <v>1667</v>
      </c>
      <c r="H1125" s="561"/>
      <c r="I1125" s="561">
        <v>0</v>
      </c>
      <c r="J1125" s="561" t="s">
        <v>43</v>
      </c>
      <c r="K1125" s="561" t="s">
        <v>43</v>
      </c>
      <c r="L1125" s="561" t="s">
        <v>758</v>
      </c>
      <c r="M1125" s="561" t="s">
        <v>776</v>
      </c>
      <c r="N1125" s="561">
        <v>23.933098999999999</v>
      </c>
      <c r="O1125" s="561">
        <v>98.139397000000002</v>
      </c>
      <c r="P1125" s="561" t="s">
        <v>759</v>
      </c>
      <c r="Q1125" s="561" t="s">
        <v>778</v>
      </c>
      <c r="R1125" s="576"/>
      <c r="S1125" s="569"/>
      <c r="T1125" s="588"/>
      <c r="U1125" s="570"/>
      <c r="V1125" s="561" t="s">
        <v>715</v>
      </c>
      <c r="W1125" s="430" t="s">
        <v>2218</v>
      </c>
    </row>
    <row r="1126" spans="1:23" ht="14.25" customHeight="1">
      <c r="A1126" s="573" t="s">
        <v>700</v>
      </c>
      <c r="B1126" s="597" t="s">
        <v>710</v>
      </c>
      <c r="C1126" s="514" t="s">
        <v>984</v>
      </c>
      <c r="D1126" s="567" t="s">
        <v>1665</v>
      </c>
      <c r="E1126" s="561" t="s">
        <v>1462</v>
      </c>
      <c r="F1126" s="566" t="s">
        <v>1703</v>
      </c>
      <c r="G1126" s="561" t="s">
        <v>1704</v>
      </c>
      <c r="H1126" s="561"/>
      <c r="I1126" s="561">
        <v>0</v>
      </c>
      <c r="J1126" s="561" t="s">
        <v>43</v>
      </c>
      <c r="K1126" s="561" t="s">
        <v>43</v>
      </c>
      <c r="L1126" s="561" t="s">
        <v>758</v>
      </c>
      <c r="M1126" s="561" t="s">
        <v>44</v>
      </c>
      <c r="N1126" s="561">
        <v>23.978088</v>
      </c>
      <c r="O1126" s="561">
        <v>98.129380999999995</v>
      </c>
      <c r="P1126" s="561" t="s">
        <v>759</v>
      </c>
      <c r="Q1126" s="561" t="s">
        <v>760</v>
      </c>
      <c r="R1126" s="576"/>
      <c r="S1126" s="569"/>
      <c r="T1126" s="588">
        <v>42836</v>
      </c>
      <c r="U1126" s="570"/>
      <c r="V1126" s="561"/>
      <c r="W1126" s="430" t="s">
        <v>2213</v>
      </c>
    </row>
    <row r="1127" spans="1:23" ht="14.25" customHeight="1">
      <c r="A1127" s="573" t="s">
        <v>700</v>
      </c>
      <c r="B1127" s="597" t="s">
        <v>710</v>
      </c>
      <c r="C1127" s="514" t="s">
        <v>780</v>
      </c>
      <c r="D1127" s="567" t="s">
        <v>1665</v>
      </c>
      <c r="E1127" s="561" t="s">
        <v>1340</v>
      </c>
      <c r="F1127" s="566" t="s">
        <v>1689</v>
      </c>
      <c r="G1127" s="561" t="s">
        <v>1690</v>
      </c>
      <c r="H1127" s="561"/>
      <c r="I1127" s="561">
        <v>0</v>
      </c>
      <c r="J1127" s="561" t="s">
        <v>43</v>
      </c>
      <c r="K1127" s="561" t="s">
        <v>43</v>
      </c>
      <c r="L1127" s="561" t="s">
        <v>758</v>
      </c>
      <c r="M1127" s="561" t="s">
        <v>44</v>
      </c>
      <c r="N1127" s="561"/>
      <c r="O1127" s="561"/>
      <c r="P1127" s="561" t="s">
        <v>759</v>
      </c>
      <c r="Q1127" s="561" t="s">
        <v>760</v>
      </c>
      <c r="R1127" s="576"/>
      <c r="S1127" s="569"/>
      <c r="T1127" s="588">
        <v>42832</v>
      </c>
      <c r="U1127" s="570"/>
      <c r="V1127" s="561"/>
      <c r="W1127" s="430" t="s">
        <v>2212</v>
      </c>
    </row>
    <row r="1128" spans="1:23" ht="14.25" customHeight="1">
      <c r="A1128" s="573" t="s">
        <v>700</v>
      </c>
      <c r="B1128" s="597" t="s">
        <v>710</v>
      </c>
      <c r="C1128" s="514" t="s">
        <v>788</v>
      </c>
      <c r="D1128" s="477" t="s">
        <v>1665</v>
      </c>
      <c r="E1128" s="561" t="s">
        <v>1345</v>
      </c>
      <c r="F1128" s="561" t="s">
        <v>1683</v>
      </c>
      <c r="G1128" s="561" t="s">
        <v>1685</v>
      </c>
      <c r="H1128" s="561"/>
      <c r="I1128" s="566">
        <v>0</v>
      </c>
      <c r="J1128" s="561" t="s">
        <v>43</v>
      </c>
      <c r="K1128" s="561" t="s">
        <v>43</v>
      </c>
      <c r="L1128" s="561" t="s">
        <v>758</v>
      </c>
      <c r="M1128" s="561" t="s">
        <v>44</v>
      </c>
      <c r="N1128" s="561"/>
      <c r="O1128" s="561"/>
      <c r="P1128" s="561" t="s">
        <v>759</v>
      </c>
      <c r="Q1128" s="561" t="s">
        <v>760</v>
      </c>
      <c r="R1128" s="568"/>
      <c r="S1128" s="568"/>
      <c r="T1128" s="588">
        <v>42832</v>
      </c>
      <c r="U1128" s="570"/>
      <c r="V1128" s="566"/>
      <c r="W1128" s="430" t="s">
        <v>2212</v>
      </c>
    </row>
    <row r="1129" spans="1:23" ht="14.25" customHeight="1">
      <c r="A1129" s="573" t="s">
        <v>700</v>
      </c>
      <c r="B1129" s="597" t="s">
        <v>710</v>
      </c>
      <c r="C1129" s="514" t="s">
        <v>790</v>
      </c>
      <c r="D1129" s="567" t="s">
        <v>1665</v>
      </c>
      <c r="E1129" s="561" t="s">
        <v>1347</v>
      </c>
      <c r="F1129" s="561">
        <v>0</v>
      </c>
      <c r="G1129" s="561">
        <v>0</v>
      </c>
      <c r="H1129" s="561"/>
      <c r="I1129" s="561">
        <v>0</v>
      </c>
      <c r="J1129" s="561" t="s">
        <v>43</v>
      </c>
      <c r="K1129" s="561" t="s">
        <v>43</v>
      </c>
      <c r="L1129" s="561" t="s">
        <v>758</v>
      </c>
      <c r="M1129" s="561" t="s">
        <v>44</v>
      </c>
      <c r="N1129" s="561"/>
      <c r="O1129" s="561"/>
      <c r="P1129" s="561" t="s">
        <v>759</v>
      </c>
      <c r="Q1129" s="561" t="s">
        <v>760</v>
      </c>
      <c r="R1129" s="576"/>
      <c r="S1129" s="569"/>
      <c r="T1129" s="588">
        <v>42832</v>
      </c>
      <c r="U1129" s="570"/>
      <c r="V1129" s="566"/>
      <c r="W1129" s="430" t="s">
        <v>2212</v>
      </c>
    </row>
    <row r="1130" spans="1:23" ht="14.25" customHeight="1">
      <c r="A1130" s="573" t="s">
        <v>700</v>
      </c>
      <c r="B1130" s="597" t="s">
        <v>701</v>
      </c>
      <c r="C1130" s="514" t="s">
        <v>746</v>
      </c>
      <c r="D1130" s="477" t="s">
        <v>2869</v>
      </c>
      <c r="E1130" s="561" t="s">
        <v>1440</v>
      </c>
      <c r="F1130" s="561" t="s">
        <v>1698</v>
      </c>
      <c r="G1130" s="561" t="s">
        <v>1698</v>
      </c>
      <c r="H1130" s="561"/>
      <c r="I1130" s="561" t="s">
        <v>2140</v>
      </c>
      <c r="J1130" s="561" t="s">
        <v>43</v>
      </c>
      <c r="K1130" s="561" t="s">
        <v>43</v>
      </c>
      <c r="L1130" s="561" t="s">
        <v>774</v>
      </c>
      <c r="M1130" s="561" t="s">
        <v>44</v>
      </c>
      <c r="N1130" s="561">
        <v>23.611999999999998</v>
      </c>
      <c r="O1130" s="561">
        <v>97.506</v>
      </c>
      <c r="P1130" s="561" t="s">
        <v>759</v>
      </c>
      <c r="Q1130" s="561" t="s">
        <v>760</v>
      </c>
      <c r="R1130" s="568">
        <v>62</v>
      </c>
      <c r="S1130" s="568">
        <v>328</v>
      </c>
      <c r="T1130" s="588"/>
      <c r="U1130" s="570" t="s">
        <v>971</v>
      </c>
      <c r="V1130" s="561"/>
      <c r="W1130" s="430" t="s">
        <v>2219</v>
      </c>
    </row>
    <row r="1131" spans="1:23" ht="14.25" customHeight="1">
      <c r="A1131" s="573" t="s">
        <v>700</v>
      </c>
      <c r="B1131" s="597" t="s">
        <v>701</v>
      </c>
      <c r="C1131" s="514" t="s">
        <v>972</v>
      </c>
      <c r="D1131" s="477" t="s">
        <v>1665</v>
      </c>
      <c r="E1131" s="561" t="s">
        <v>1441</v>
      </c>
      <c r="F1131" s="561" t="s">
        <v>1698</v>
      </c>
      <c r="G1131" s="561" t="s">
        <v>1698</v>
      </c>
      <c r="H1131" s="561"/>
      <c r="I1131" s="561">
        <v>0</v>
      </c>
      <c r="J1131" s="561" t="s">
        <v>43</v>
      </c>
      <c r="K1131" s="561" t="s">
        <v>43</v>
      </c>
      <c r="L1131" s="561" t="s">
        <v>758</v>
      </c>
      <c r="M1131" s="561" t="s">
        <v>44</v>
      </c>
      <c r="N1131" s="561">
        <v>23.611999999999998</v>
      </c>
      <c r="O1131" s="561">
        <v>97.504999999999995</v>
      </c>
      <c r="P1131" s="561" t="s">
        <v>759</v>
      </c>
      <c r="Q1131" s="561" t="s">
        <v>760</v>
      </c>
      <c r="R1131" s="568"/>
      <c r="S1131" s="568"/>
      <c r="T1131" s="588"/>
      <c r="U1131" s="570"/>
      <c r="V1131" s="561"/>
      <c r="W1131" s="430" t="s">
        <v>2220</v>
      </c>
    </row>
    <row r="1132" spans="1:23" ht="14.25" customHeight="1">
      <c r="A1132" s="573" t="s">
        <v>700</v>
      </c>
      <c r="B1132" s="597" t="s">
        <v>701</v>
      </c>
      <c r="C1132" s="514" t="s">
        <v>712</v>
      </c>
      <c r="D1132" s="477" t="s">
        <v>2869</v>
      </c>
      <c r="E1132" s="561" t="s">
        <v>1446</v>
      </c>
      <c r="F1132" s="561" t="s">
        <v>1687</v>
      </c>
      <c r="G1132" s="561" t="s">
        <v>1687</v>
      </c>
      <c r="H1132" s="561" t="s">
        <v>41</v>
      </c>
      <c r="I1132" s="561" t="s">
        <v>2703</v>
      </c>
      <c r="J1132" s="561" t="s">
        <v>43</v>
      </c>
      <c r="K1132" s="561" t="s">
        <v>43</v>
      </c>
      <c r="L1132" s="561" t="s">
        <v>43</v>
      </c>
      <c r="M1132" s="561" t="s">
        <v>44</v>
      </c>
      <c r="N1132" s="561">
        <v>23.821380000000001</v>
      </c>
      <c r="O1132" s="561">
        <v>97.681970000000007</v>
      </c>
      <c r="P1132" s="561" t="s">
        <v>759</v>
      </c>
      <c r="Q1132" s="561" t="s">
        <v>778</v>
      </c>
      <c r="R1132" s="568">
        <v>76</v>
      </c>
      <c r="S1132" s="568">
        <v>385</v>
      </c>
      <c r="T1132" s="588"/>
      <c r="U1132" s="570"/>
      <c r="V1132" s="561" t="s">
        <v>712</v>
      </c>
      <c r="W1132" s="430" t="s">
        <v>2221</v>
      </c>
    </row>
    <row r="1133" spans="1:23" ht="14.25" customHeight="1">
      <c r="A1133" s="573" t="s">
        <v>700</v>
      </c>
      <c r="B1133" s="597" t="s">
        <v>701</v>
      </c>
      <c r="C1133" s="514" t="s">
        <v>748</v>
      </c>
      <c r="D1133" s="477" t="s">
        <v>2869</v>
      </c>
      <c r="E1133" s="561" t="s">
        <v>1449</v>
      </c>
      <c r="F1133" s="561" t="s">
        <v>1687</v>
      </c>
      <c r="G1133" s="561" t="s">
        <v>1687</v>
      </c>
      <c r="H1133" s="561" t="s">
        <v>41</v>
      </c>
      <c r="I1133" s="561" t="s">
        <v>2703</v>
      </c>
      <c r="J1133" s="561" t="s">
        <v>43</v>
      </c>
      <c r="K1133" s="561" t="s">
        <v>43</v>
      </c>
      <c r="L1133" s="561" t="s">
        <v>43</v>
      </c>
      <c r="M1133" s="561" t="s">
        <v>44</v>
      </c>
      <c r="N1133" s="561">
        <v>23.828520000000001</v>
      </c>
      <c r="O1133" s="561">
        <v>97.669557999999995</v>
      </c>
      <c r="P1133" s="561" t="s">
        <v>759</v>
      </c>
      <c r="Q1133" s="561" t="s">
        <v>778</v>
      </c>
      <c r="R1133" s="568">
        <v>64</v>
      </c>
      <c r="S1133" s="568">
        <v>349</v>
      </c>
      <c r="T1133" s="588"/>
      <c r="U1133" s="570"/>
      <c r="V1133" s="561" t="s">
        <v>748</v>
      </c>
      <c r="W1133" s="430" t="s">
        <v>2222</v>
      </c>
    </row>
    <row r="1134" spans="1:23" ht="14.25" customHeight="1">
      <c r="A1134" s="573" t="s">
        <v>700</v>
      </c>
      <c r="B1134" s="597" t="s">
        <v>701</v>
      </c>
      <c r="C1134" s="514" t="s">
        <v>736</v>
      </c>
      <c r="D1134" s="567" t="s">
        <v>2869</v>
      </c>
      <c r="E1134" s="561" t="s">
        <v>1455</v>
      </c>
      <c r="F1134" s="561" t="s">
        <v>1687</v>
      </c>
      <c r="G1134" s="561" t="s">
        <v>1687</v>
      </c>
      <c r="H1134" s="561" t="s">
        <v>41</v>
      </c>
      <c r="I1134" s="561" t="s">
        <v>2703</v>
      </c>
      <c r="J1134" s="561" t="s">
        <v>43</v>
      </c>
      <c r="K1134" s="561" t="s">
        <v>43</v>
      </c>
      <c r="L1134" s="561" t="s">
        <v>43</v>
      </c>
      <c r="M1134" s="561" t="s">
        <v>44</v>
      </c>
      <c r="N1134" s="561">
        <v>23.841646999999998</v>
      </c>
      <c r="O1134" s="561">
        <v>97.700940000000003</v>
      </c>
      <c r="P1134" s="561" t="s">
        <v>759</v>
      </c>
      <c r="Q1134" s="561" t="s">
        <v>778</v>
      </c>
      <c r="R1134" s="576">
        <v>36</v>
      </c>
      <c r="S1134" s="569">
        <v>193</v>
      </c>
      <c r="T1134" s="588"/>
      <c r="U1134" s="570"/>
      <c r="V1134" s="561" t="s">
        <v>979</v>
      </c>
      <c r="W1134" s="568" t="s">
        <v>2223</v>
      </c>
    </row>
    <row r="1135" spans="1:23" ht="14.25" customHeight="1">
      <c r="A1135" s="573" t="s">
        <v>700</v>
      </c>
      <c r="B1135" s="597" t="s">
        <v>701</v>
      </c>
      <c r="C1135" s="514" t="s">
        <v>702</v>
      </c>
      <c r="D1135" s="477" t="s">
        <v>2869</v>
      </c>
      <c r="E1135" s="561" t="s">
        <v>1448</v>
      </c>
      <c r="F1135" s="561" t="s">
        <v>1687</v>
      </c>
      <c r="G1135" s="561" t="s">
        <v>1687</v>
      </c>
      <c r="H1135" s="561" t="s">
        <v>41</v>
      </c>
      <c r="I1135" s="561" t="s">
        <v>1334</v>
      </c>
      <c r="J1135" s="561" t="s">
        <v>43</v>
      </c>
      <c r="K1135" s="561" t="s">
        <v>43</v>
      </c>
      <c r="L1135" s="561" t="s">
        <v>43</v>
      </c>
      <c r="M1135" s="561" t="s">
        <v>44</v>
      </c>
      <c r="N1135" s="561">
        <v>23.828150000000001</v>
      </c>
      <c r="O1135" s="561">
        <v>97.670360000000002</v>
      </c>
      <c r="P1135" s="561" t="s">
        <v>759</v>
      </c>
      <c r="Q1135" s="561" t="s">
        <v>778</v>
      </c>
      <c r="R1135" s="568">
        <v>43</v>
      </c>
      <c r="S1135" s="568">
        <v>218</v>
      </c>
      <c r="T1135" s="588"/>
      <c r="U1135" s="570"/>
      <c r="V1135" s="561" t="s">
        <v>702</v>
      </c>
      <c r="W1135" s="430" t="s">
        <v>2224</v>
      </c>
    </row>
    <row r="1136" spans="1:23" ht="14.25" customHeight="1">
      <c r="A1136" s="573" t="s">
        <v>700</v>
      </c>
      <c r="B1136" s="597" t="s">
        <v>701</v>
      </c>
      <c r="C1136" s="514" t="s">
        <v>777</v>
      </c>
      <c r="D1136" s="477" t="s">
        <v>1665</v>
      </c>
      <c r="E1136" s="561" t="s">
        <v>1337</v>
      </c>
      <c r="F1136" s="561" t="s">
        <v>1687</v>
      </c>
      <c r="G1136" s="561" t="s">
        <v>1687</v>
      </c>
      <c r="H1136" s="561"/>
      <c r="I1136" s="561">
        <v>0</v>
      </c>
      <c r="J1136" s="561" t="s">
        <v>43</v>
      </c>
      <c r="K1136" s="561" t="s">
        <v>43</v>
      </c>
      <c r="L1136" s="561" t="s">
        <v>758</v>
      </c>
      <c r="M1136" s="561" t="s">
        <v>776</v>
      </c>
      <c r="N1136" s="561"/>
      <c r="O1136" s="561"/>
      <c r="P1136" s="561" t="s">
        <v>759</v>
      </c>
      <c r="Q1136" s="561"/>
      <c r="R1136" s="568"/>
      <c r="S1136" s="568"/>
      <c r="T1136" s="588"/>
      <c r="U1136" s="570"/>
      <c r="V1136" s="561" t="s">
        <v>777</v>
      </c>
      <c r="W1136" s="430" t="s">
        <v>2225</v>
      </c>
    </row>
    <row r="1137" spans="1:23" ht="14.25" customHeight="1">
      <c r="A1137" s="573" t="s">
        <v>700</v>
      </c>
      <c r="B1137" s="597" t="s">
        <v>701</v>
      </c>
      <c r="C1137" s="514" t="s">
        <v>738</v>
      </c>
      <c r="D1137" s="567" t="s">
        <v>2869</v>
      </c>
      <c r="E1137" s="561" t="s">
        <v>1454</v>
      </c>
      <c r="F1137" s="561" t="s">
        <v>1778</v>
      </c>
      <c r="G1137" s="561" t="s">
        <v>1767</v>
      </c>
      <c r="H1137" s="561" t="s">
        <v>41</v>
      </c>
      <c r="I1137" s="561" t="s">
        <v>2703</v>
      </c>
      <c r="J1137" s="561" t="s">
        <v>43</v>
      </c>
      <c r="K1137" s="561" t="s">
        <v>43</v>
      </c>
      <c r="L1137" s="561" t="s">
        <v>43</v>
      </c>
      <c r="M1137" s="561" t="s">
        <v>44</v>
      </c>
      <c r="N1137" s="561">
        <v>23.838190000000001</v>
      </c>
      <c r="O1137" s="561">
        <v>97.709879999999998</v>
      </c>
      <c r="P1137" s="561" t="s">
        <v>759</v>
      </c>
      <c r="Q1137" s="561" t="s">
        <v>778</v>
      </c>
      <c r="R1137" s="576">
        <v>114</v>
      </c>
      <c r="S1137" s="569">
        <v>545</v>
      </c>
      <c r="T1137" s="588"/>
      <c r="U1137" s="570"/>
      <c r="V1137" s="561" t="s">
        <v>978</v>
      </c>
      <c r="W1137" s="568" t="s">
        <v>2226</v>
      </c>
    </row>
    <row r="1138" spans="1:23" ht="14.25" customHeight="1">
      <c r="A1138" s="573" t="s">
        <v>700</v>
      </c>
      <c r="B1138" s="597" t="s">
        <v>721</v>
      </c>
      <c r="C1138" s="514" t="s">
        <v>728</v>
      </c>
      <c r="D1138" s="477" t="s">
        <v>2869</v>
      </c>
      <c r="E1138" s="561" t="s">
        <v>1423</v>
      </c>
      <c r="F1138" s="561" t="s">
        <v>1691</v>
      </c>
      <c r="G1138" s="561" t="s">
        <v>1692</v>
      </c>
      <c r="H1138" s="561" t="s">
        <v>41</v>
      </c>
      <c r="I1138" s="561" t="s">
        <v>1334</v>
      </c>
      <c r="J1138" s="561" t="s">
        <v>43</v>
      </c>
      <c r="K1138" s="561" t="s">
        <v>43</v>
      </c>
      <c r="L1138" s="561" t="s">
        <v>43</v>
      </c>
      <c r="M1138" s="561" t="s">
        <v>44</v>
      </c>
      <c r="N1138" s="561">
        <v>23.099304</v>
      </c>
      <c r="O1138" s="561">
        <v>97.400671000000003</v>
      </c>
      <c r="P1138" s="561" t="s">
        <v>759</v>
      </c>
      <c r="Q1138" s="561" t="s">
        <v>924</v>
      </c>
      <c r="R1138" s="568">
        <v>61</v>
      </c>
      <c r="S1138" s="568">
        <v>279</v>
      </c>
      <c r="T1138" s="588">
        <v>42983</v>
      </c>
      <c r="U1138" s="570"/>
      <c r="V1138" s="561"/>
      <c r="W1138" s="430" t="s">
        <v>2227</v>
      </c>
    </row>
    <row r="1139" spans="1:23" ht="14.25" customHeight="1">
      <c r="A1139" s="573" t="s">
        <v>700</v>
      </c>
      <c r="B1139" s="597" t="s">
        <v>721</v>
      </c>
      <c r="C1139" s="514" t="s">
        <v>1104</v>
      </c>
      <c r="D1139" s="567" t="s">
        <v>1664</v>
      </c>
      <c r="E1139" s="561"/>
      <c r="F1139" s="561"/>
      <c r="G1139" s="561"/>
      <c r="H1139" s="561"/>
      <c r="I1139" s="561"/>
      <c r="J1139" s="561" t="s">
        <v>1463</v>
      </c>
      <c r="K1139" s="561" t="s">
        <v>43</v>
      </c>
      <c r="L1139" s="561" t="s">
        <v>43</v>
      </c>
      <c r="M1139" s="561" t="s">
        <v>44</v>
      </c>
      <c r="N1139" s="561"/>
      <c r="O1139" s="561"/>
      <c r="P1139" s="561" t="s">
        <v>759</v>
      </c>
      <c r="Q1139" s="561" t="s">
        <v>778</v>
      </c>
      <c r="R1139" s="576"/>
      <c r="S1139" s="569"/>
      <c r="T1139" s="588">
        <v>42747</v>
      </c>
      <c r="U1139" s="570"/>
      <c r="V1139" s="561"/>
      <c r="W1139" s="568"/>
    </row>
    <row r="1140" spans="1:23" ht="14.25" customHeight="1">
      <c r="A1140" s="573" t="s">
        <v>700</v>
      </c>
      <c r="B1140" s="597" t="s">
        <v>721</v>
      </c>
      <c r="C1140" s="514" t="s">
        <v>729</v>
      </c>
      <c r="D1140" s="477" t="s">
        <v>2869</v>
      </c>
      <c r="E1140" s="561" t="s">
        <v>1333</v>
      </c>
      <c r="F1140" s="566" t="s">
        <v>1691</v>
      </c>
      <c r="G1140" s="561" t="s">
        <v>1692</v>
      </c>
      <c r="H1140" s="561" t="s">
        <v>41</v>
      </c>
      <c r="I1140" s="561" t="s">
        <v>1334</v>
      </c>
      <c r="J1140" s="561" t="s">
        <v>43</v>
      </c>
      <c r="K1140" s="561" t="s">
        <v>43</v>
      </c>
      <c r="L1140" s="561" t="s">
        <v>43</v>
      </c>
      <c r="M1140" s="561" t="s">
        <v>44</v>
      </c>
      <c r="N1140" s="561">
        <v>0</v>
      </c>
      <c r="O1140" s="561">
        <v>0</v>
      </c>
      <c r="P1140" s="561" t="s">
        <v>759</v>
      </c>
      <c r="Q1140" s="561" t="s">
        <v>760</v>
      </c>
      <c r="R1140" s="568">
        <v>28</v>
      </c>
      <c r="S1140" s="568">
        <v>144</v>
      </c>
      <c r="T1140" s="588"/>
      <c r="U1140" s="570"/>
      <c r="V1140" s="561"/>
      <c r="W1140" s="430" t="s">
        <v>2227</v>
      </c>
    </row>
    <row r="1141" spans="1:23" ht="14.25" customHeight="1">
      <c r="A1141" s="573" t="s">
        <v>700</v>
      </c>
      <c r="B1141" s="597" t="s">
        <v>721</v>
      </c>
      <c r="C1141" s="514" t="s">
        <v>1954</v>
      </c>
      <c r="D1141" s="567"/>
      <c r="E1141" s="561"/>
      <c r="F1141" s="561"/>
      <c r="G1141" s="561"/>
      <c r="H1141" s="561"/>
      <c r="I1141" s="561"/>
      <c r="J1141" s="561" t="s">
        <v>1463</v>
      </c>
      <c r="K1141" s="561" t="s">
        <v>43</v>
      </c>
      <c r="L1141" s="561" t="s">
        <v>43</v>
      </c>
      <c r="M1141" s="561" t="s">
        <v>44</v>
      </c>
      <c r="N1141" s="561"/>
      <c r="O1141" s="561"/>
      <c r="P1141" s="561" t="s">
        <v>759</v>
      </c>
      <c r="Q1141" s="561" t="s">
        <v>1946</v>
      </c>
      <c r="R1141" s="576"/>
      <c r="S1141" s="569"/>
      <c r="T1141" s="588">
        <v>43270</v>
      </c>
      <c r="U1141" s="570"/>
      <c r="V1141" s="561"/>
      <c r="W1141" s="568"/>
    </row>
    <row r="1142" spans="1:23" ht="14.25" customHeight="1">
      <c r="A1142" s="573" t="s">
        <v>700</v>
      </c>
      <c r="B1142" s="597" t="s">
        <v>721</v>
      </c>
      <c r="C1142" s="514" t="s">
        <v>732</v>
      </c>
      <c r="D1142" s="567" t="s">
        <v>2869</v>
      </c>
      <c r="E1142" s="561" t="s">
        <v>1422</v>
      </c>
      <c r="F1142" s="561" t="s">
        <v>1691</v>
      </c>
      <c r="G1142" s="561" t="s">
        <v>1692</v>
      </c>
      <c r="H1142" s="561" t="s">
        <v>41</v>
      </c>
      <c r="I1142" s="561" t="s">
        <v>2703</v>
      </c>
      <c r="J1142" s="561" t="s">
        <v>43</v>
      </c>
      <c r="K1142" s="561" t="s">
        <v>43</v>
      </c>
      <c r="L1142" s="561" t="s">
        <v>43</v>
      </c>
      <c r="M1142" s="561" t="s">
        <v>44</v>
      </c>
      <c r="N1142" s="561">
        <v>23.094290000000001</v>
      </c>
      <c r="O1142" s="561">
        <v>97.404089999999997</v>
      </c>
      <c r="P1142" s="561" t="s">
        <v>759</v>
      </c>
      <c r="Q1142" s="561" t="s">
        <v>778</v>
      </c>
      <c r="R1142" s="576">
        <v>38</v>
      </c>
      <c r="S1142" s="569">
        <v>159</v>
      </c>
      <c r="T1142" s="588"/>
      <c r="U1142" s="570"/>
      <c r="V1142" s="561" t="s">
        <v>732</v>
      </c>
      <c r="W1142" s="430" t="s">
        <v>2228</v>
      </c>
    </row>
    <row r="1143" spans="1:23" ht="14.25" customHeight="1">
      <c r="A1143" s="573" t="s">
        <v>700</v>
      </c>
      <c r="B1143" s="597" t="s">
        <v>721</v>
      </c>
      <c r="C1143" s="514" t="s">
        <v>963</v>
      </c>
      <c r="D1143" s="567" t="s">
        <v>1665</v>
      </c>
      <c r="E1143" s="561" t="s">
        <v>1421</v>
      </c>
      <c r="F1143" s="561" t="s">
        <v>1691</v>
      </c>
      <c r="G1143" s="561" t="s">
        <v>1692</v>
      </c>
      <c r="H1143" s="561"/>
      <c r="I1143" s="561">
        <v>0</v>
      </c>
      <c r="J1143" s="561" t="s">
        <v>43</v>
      </c>
      <c r="K1143" s="561" t="s">
        <v>43</v>
      </c>
      <c r="L1143" s="561" t="s">
        <v>758</v>
      </c>
      <c r="M1143" s="561" t="s">
        <v>44</v>
      </c>
      <c r="N1143" s="561">
        <v>23.088058</v>
      </c>
      <c r="O1143" s="561">
        <v>97.398989</v>
      </c>
      <c r="P1143" s="561" t="s">
        <v>771</v>
      </c>
      <c r="Q1143" s="561" t="s">
        <v>778</v>
      </c>
      <c r="R1143" s="576"/>
      <c r="S1143" s="569"/>
      <c r="T1143" s="588"/>
      <c r="U1143" s="570"/>
      <c r="V1143" s="561" t="s">
        <v>785</v>
      </c>
      <c r="W1143" s="430" t="s">
        <v>2229</v>
      </c>
    </row>
    <row r="1144" spans="1:23" ht="14.25" customHeight="1">
      <c r="A1144" s="573" t="s">
        <v>700</v>
      </c>
      <c r="B1144" s="597" t="s">
        <v>721</v>
      </c>
      <c r="C1144" s="514" t="s">
        <v>781</v>
      </c>
      <c r="D1144" s="567" t="s">
        <v>1665</v>
      </c>
      <c r="E1144" s="561" t="s">
        <v>1341</v>
      </c>
      <c r="F1144" s="561" t="s">
        <v>1691</v>
      </c>
      <c r="G1144" s="561" t="s">
        <v>1692</v>
      </c>
      <c r="H1144" s="561"/>
      <c r="I1144" s="561">
        <v>0</v>
      </c>
      <c r="J1144" s="561" t="s">
        <v>43</v>
      </c>
      <c r="K1144" s="561" t="s">
        <v>43</v>
      </c>
      <c r="L1144" s="561" t="s">
        <v>758</v>
      </c>
      <c r="M1144" s="561" t="s">
        <v>44</v>
      </c>
      <c r="N1144" s="561"/>
      <c r="O1144" s="561"/>
      <c r="P1144" s="561" t="s">
        <v>759</v>
      </c>
      <c r="Q1144" s="561" t="s">
        <v>760</v>
      </c>
      <c r="R1144" s="576"/>
      <c r="S1144" s="569"/>
      <c r="T1144" s="588">
        <v>43019</v>
      </c>
      <c r="U1144" s="570" t="s">
        <v>782</v>
      </c>
      <c r="V1144" s="561"/>
      <c r="W1144" s="568" t="s">
        <v>782</v>
      </c>
    </row>
    <row r="1145" spans="1:23" ht="14.25" customHeight="1">
      <c r="A1145" s="569" t="s">
        <v>700</v>
      </c>
      <c r="B1145" s="597" t="s">
        <v>721</v>
      </c>
      <c r="C1145" s="514" t="s">
        <v>783</v>
      </c>
      <c r="D1145" s="477" t="s">
        <v>1665</v>
      </c>
      <c r="E1145" s="561" t="s">
        <v>1342</v>
      </c>
      <c r="F1145" s="561" t="s">
        <v>1691</v>
      </c>
      <c r="G1145" s="561" t="s">
        <v>1692</v>
      </c>
      <c r="H1145" s="561"/>
      <c r="I1145" s="566">
        <v>0</v>
      </c>
      <c r="J1145" s="561" t="s">
        <v>43</v>
      </c>
      <c r="K1145" s="561" t="s">
        <v>43</v>
      </c>
      <c r="L1145" s="561" t="s">
        <v>758</v>
      </c>
      <c r="M1145" s="561" t="s">
        <v>44</v>
      </c>
      <c r="N1145" s="561"/>
      <c r="O1145" s="561"/>
      <c r="P1145" s="561" t="s">
        <v>759</v>
      </c>
      <c r="Q1145" s="561" t="s">
        <v>760</v>
      </c>
      <c r="R1145" s="568"/>
      <c r="S1145" s="568"/>
      <c r="T1145" s="588">
        <v>42927</v>
      </c>
      <c r="U1145" s="570" t="s">
        <v>784</v>
      </c>
      <c r="V1145" s="561"/>
      <c r="W1145" s="430" t="s">
        <v>782</v>
      </c>
    </row>
    <row r="1146" spans="1:23" ht="14.25" customHeight="1">
      <c r="A1146" s="569" t="s">
        <v>700</v>
      </c>
      <c r="B1146" s="597" t="s">
        <v>721</v>
      </c>
      <c r="C1146" s="514" t="s">
        <v>785</v>
      </c>
      <c r="D1146" s="567" t="s">
        <v>1665</v>
      </c>
      <c r="E1146" s="561" t="s">
        <v>1343</v>
      </c>
      <c r="F1146" s="561" t="s">
        <v>1691</v>
      </c>
      <c r="G1146" s="561" t="s">
        <v>1692</v>
      </c>
      <c r="H1146" s="561"/>
      <c r="I1146" s="561">
        <v>0</v>
      </c>
      <c r="J1146" s="561" t="s">
        <v>43</v>
      </c>
      <c r="K1146" s="561" t="s">
        <v>43</v>
      </c>
      <c r="L1146" s="561" t="s">
        <v>758</v>
      </c>
      <c r="M1146" s="561" t="s">
        <v>44</v>
      </c>
      <c r="N1146" s="561"/>
      <c r="O1146" s="561"/>
      <c r="P1146" s="561" t="s">
        <v>759</v>
      </c>
      <c r="Q1146" s="561" t="s">
        <v>760</v>
      </c>
      <c r="R1146" s="576"/>
      <c r="S1146" s="569"/>
      <c r="T1146" s="588">
        <v>42927</v>
      </c>
      <c r="U1146" s="570" t="s">
        <v>786</v>
      </c>
      <c r="V1146" s="561"/>
      <c r="W1146" s="430" t="s">
        <v>2218</v>
      </c>
    </row>
    <row r="1147" spans="1:23" ht="14.25" customHeight="1">
      <c r="A1147" s="569" t="s">
        <v>700</v>
      </c>
      <c r="B1147" s="597" t="s">
        <v>721</v>
      </c>
      <c r="C1147" s="514" t="s">
        <v>722</v>
      </c>
      <c r="D1147" s="567" t="s">
        <v>2869</v>
      </c>
      <c r="E1147" s="561" t="s">
        <v>1420</v>
      </c>
      <c r="F1147" s="561" t="s">
        <v>1767</v>
      </c>
      <c r="G1147" s="561" t="s">
        <v>1768</v>
      </c>
      <c r="H1147" s="561"/>
      <c r="I1147" s="561" t="s">
        <v>2140</v>
      </c>
      <c r="J1147" s="561" t="s">
        <v>43</v>
      </c>
      <c r="K1147" s="561" t="s">
        <v>43</v>
      </c>
      <c r="L1147" s="561" t="s">
        <v>774</v>
      </c>
      <c r="M1147" s="561" t="s">
        <v>44</v>
      </c>
      <c r="N1147" s="561">
        <v>22.765999999999998</v>
      </c>
      <c r="O1147" s="561">
        <v>97.358999999999995</v>
      </c>
      <c r="P1147" s="561" t="s">
        <v>759</v>
      </c>
      <c r="Q1147" s="561" t="s">
        <v>760</v>
      </c>
      <c r="R1147" s="576">
        <v>6</v>
      </c>
      <c r="S1147" s="569">
        <v>27</v>
      </c>
      <c r="T1147" s="588"/>
      <c r="U1147" s="570" t="s">
        <v>962</v>
      </c>
      <c r="V1147" s="561"/>
      <c r="W1147" s="568" t="s">
        <v>2230</v>
      </c>
    </row>
    <row r="1148" spans="1:23" ht="14.25" customHeight="1">
      <c r="A1148" s="569" t="s">
        <v>700</v>
      </c>
      <c r="B1148" s="597" t="s">
        <v>721</v>
      </c>
      <c r="C1148" s="514" t="s">
        <v>964</v>
      </c>
      <c r="D1148" s="567" t="s">
        <v>1664</v>
      </c>
      <c r="E1148" s="561" t="s">
        <v>1424</v>
      </c>
      <c r="F1148" s="566"/>
      <c r="G1148" s="561"/>
      <c r="H1148" s="561"/>
      <c r="I1148" s="561">
        <v>0</v>
      </c>
      <c r="J1148" s="561" t="s">
        <v>43</v>
      </c>
      <c r="K1148" s="561" t="s">
        <v>43</v>
      </c>
      <c r="L1148" s="561" t="s">
        <v>758</v>
      </c>
      <c r="M1148" s="561" t="s">
        <v>44</v>
      </c>
      <c r="N1148" s="561">
        <v>23.099304</v>
      </c>
      <c r="O1148" s="561">
        <v>97.400671000000003</v>
      </c>
      <c r="P1148" s="561" t="s">
        <v>759</v>
      </c>
      <c r="Q1148" s="561" t="s">
        <v>760</v>
      </c>
      <c r="R1148" s="576"/>
      <c r="S1148" s="569"/>
      <c r="T1148" s="588">
        <v>42747</v>
      </c>
      <c r="U1148" s="570" t="s">
        <v>965</v>
      </c>
      <c r="V1148" s="561"/>
      <c r="W1148" s="568" t="s">
        <v>2231</v>
      </c>
    </row>
    <row r="1149" spans="1:23" ht="14.25" customHeight="1">
      <c r="A1149" s="569" t="s">
        <v>700</v>
      </c>
      <c r="B1149" s="597" t="s">
        <v>721</v>
      </c>
      <c r="C1149" s="514" t="s">
        <v>1146</v>
      </c>
      <c r="D1149" s="567" t="s">
        <v>1664</v>
      </c>
      <c r="E1149" s="561"/>
      <c r="F1149" s="561"/>
      <c r="G1149" s="561"/>
      <c r="H1149" s="561"/>
      <c r="I1149" s="561"/>
      <c r="J1149" s="561" t="s">
        <v>1463</v>
      </c>
      <c r="K1149" s="561" t="s">
        <v>43</v>
      </c>
      <c r="L1149" s="561" t="s">
        <v>758</v>
      </c>
      <c r="M1149" s="561" t="s">
        <v>44</v>
      </c>
      <c r="N1149" s="561"/>
      <c r="O1149" s="561"/>
      <c r="P1149" s="561" t="s">
        <v>759</v>
      </c>
      <c r="Q1149" s="561" t="s">
        <v>778</v>
      </c>
      <c r="R1149" s="576"/>
      <c r="S1149" s="569"/>
      <c r="T1149" s="588">
        <v>42747</v>
      </c>
      <c r="U1149" s="570"/>
      <c r="V1149" s="561"/>
      <c r="W1149" s="568"/>
    </row>
    <row r="1150" spans="1:23" ht="14.25" customHeight="1">
      <c r="A1150" s="569" t="s">
        <v>700</v>
      </c>
      <c r="B1150" s="597" t="s">
        <v>1274</v>
      </c>
      <c r="C1150" s="514" t="s">
        <v>2252</v>
      </c>
      <c r="D1150" s="567"/>
      <c r="E1150" s="561"/>
      <c r="F1150" s="561"/>
      <c r="G1150" s="561"/>
      <c r="H1150" s="561"/>
      <c r="I1150" s="561"/>
      <c r="J1150" s="561" t="s">
        <v>2692</v>
      </c>
      <c r="K1150" s="561" t="s">
        <v>2658</v>
      </c>
      <c r="L1150" s="561" t="s">
        <v>2658</v>
      </c>
      <c r="M1150" s="561" t="s">
        <v>44</v>
      </c>
      <c r="N1150" s="561"/>
      <c r="O1150" s="561"/>
      <c r="P1150" s="561" t="s">
        <v>1989</v>
      </c>
      <c r="Q1150" s="561" t="s">
        <v>924</v>
      </c>
      <c r="R1150" s="576"/>
      <c r="S1150" s="569"/>
      <c r="T1150" s="588">
        <v>43392</v>
      </c>
      <c r="U1150" s="570"/>
      <c r="V1150" s="566"/>
      <c r="W1150" s="568"/>
    </row>
    <row r="1151" spans="1:23" ht="14.25" customHeight="1">
      <c r="A1151" s="618" t="s">
        <v>700</v>
      </c>
      <c r="B1151" s="619" t="s">
        <v>1274</v>
      </c>
      <c r="C1151" s="620" t="s">
        <v>1124</v>
      </c>
      <c r="D1151" s="567" t="s">
        <v>1664</v>
      </c>
      <c r="E1151" s="621"/>
      <c r="F1151" s="621"/>
      <c r="G1151" s="621"/>
      <c r="H1151" s="621"/>
      <c r="I1151" s="621"/>
      <c r="J1151" s="621" t="s">
        <v>1463</v>
      </c>
      <c r="K1151" s="621" t="s">
        <v>43</v>
      </c>
      <c r="L1151" s="621" t="s">
        <v>758</v>
      </c>
      <c r="M1151" s="621" t="s">
        <v>44</v>
      </c>
      <c r="N1151" s="621"/>
      <c r="O1151" s="621"/>
      <c r="P1151" s="621" t="s">
        <v>759</v>
      </c>
      <c r="Q1151" s="621" t="s">
        <v>778</v>
      </c>
      <c r="R1151" s="622"/>
      <c r="S1151" s="618"/>
      <c r="T1151" s="623">
        <v>42747</v>
      </c>
      <c r="U1151" s="622"/>
      <c r="V1151" s="621"/>
      <c r="W1151" s="568"/>
    </row>
    <row r="1152" spans="1:23" ht="14.25" customHeight="1">
      <c r="A1152" s="618" t="s">
        <v>700</v>
      </c>
      <c r="B1152" s="619" t="s">
        <v>1277</v>
      </c>
      <c r="C1152" s="620" t="s">
        <v>1317</v>
      </c>
      <c r="D1152" s="567" t="s">
        <v>1884</v>
      </c>
      <c r="E1152" s="621"/>
      <c r="F1152" s="621"/>
      <c r="G1152" s="621"/>
      <c r="H1152" s="621"/>
      <c r="I1152" s="621"/>
      <c r="J1152" s="621" t="s">
        <v>1463</v>
      </c>
      <c r="K1152" s="621" t="s">
        <v>43</v>
      </c>
      <c r="L1152" s="621" t="s">
        <v>774</v>
      </c>
      <c r="M1152" s="621" t="s">
        <v>2018</v>
      </c>
      <c r="N1152" s="621"/>
      <c r="O1152" s="621"/>
      <c r="P1152" s="621" t="s">
        <v>759</v>
      </c>
      <c r="Q1152" s="621"/>
      <c r="R1152" s="622"/>
      <c r="S1152" s="618"/>
      <c r="T1152" s="623">
        <v>43298</v>
      </c>
      <c r="U1152" s="622"/>
      <c r="V1152" s="621"/>
      <c r="W1152" s="568"/>
    </row>
  </sheetData>
  <conditionalFormatting sqref="V226">
    <cfRule type="duplicateValues" dxfId="511" priority="35"/>
  </conditionalFormatting>
  <conditionalFormatting sqref="V951">
    <cfRule type="duplicateValues" dxfId="510" priority="34"/>
  </conditionalFormatting>
  <conditionalFormatting sqref="V996">
    <cfRule type="duplicateValues" dxfId="509" priority="33"/>
  </conditionalFormatting>
  <conditionalFormatting sqref="V1120">
    <cfRule type="duplicateValues" dxfId="508" priority="32"/>
  </conditionalFormatting>
  <conditionalFormatting sqref="C844">
    <cfRule type="duplicateValues" dxfId="507" priority="30"/>
  </conditionalFormatting>
  <conditionalFormatting sqref="E844">
    <cfRule type="duplicateValues" dxfId="506" priority="31"/>
  </conditionalFormatting>
  <conditionalFormatting sqref="C851">
    <cfRule type="duplicateValues" dxfId="505" priority="28"/>
  </conditionalFormatting>
  <conditionalFormatting sqref="E851">
    <cfRule type="duplicateValues" dxfId="504" priority="29"/>
  </conditionalFormatting>
  <conditionalFormatting sqref="C845">
    <cfRule type="duplicateValues" dxfId="503" priority="26"/>
  </conditionalFormatting>
  <conditionalFormatting sqref="E845">
    <cfRule type="duplicateValues" dxfId="502" priority="27"/>
  </conditionalFormatting>
  <conditionalFormatting sqref="C846">
    <cfRule type="duplicateValues" dxfId="501" priority="24"/>
  </conditionalFormatting>
  <conditionalFormatting sqref="E846">
    <cfRule type="duplicateValues" dxfId="500" priority="25"/>
  </conditionalFormatting>
  <conditionalFormatting sqref="C874">
    <cfRule type="duplicateValues" dxfId="499" priority="22"/>
  </conditionalFormatting>
  <conditionalFormatting sqref="E874">
    <cfRule type="duplicateValues" dxfId="498" priority="23"/>
  </conditionalFormatting>
  <conditionalFormatting sqref="C876">
    <cfRule type="duplicateValues" dxfId="497" priority="20"/>
  </conditionalFormatting>
  <conditionalFormatting sqref="E876">
    <cfRule type="duplicateValues" dxfId="496" priority="21"/>
  </conditionalFormatting>
  <conditionalFormatting sqref="C877">
    <cfRule type="duplicateValues" dxfId="495" priority="18"/>
  </conditionalFormatting>
  <conditionalFormatting sqref="E877">
    <cfRule type="duplicateValues" dxfId="494" priority="19"/>
  </conditionalFormatting>
  <conditionalFormatting sqref="C688">
    <cfRule type="duplicateValues" dxfId="493" priority="16"/>
  </conditionalFormatting>
  <conditionalFormatting sqref="E688">
    <cfRule type="duplicateValues" dxfId="492" priority="17"/>
  </conditionalFormatting>
  <conditionalFormatting sqref="C685">
    <cfRule type="duplicateValues" dxfId="491" priority="14"/>
  </conditionalFormatting>
  <conditionalFormatting sqref="E685">
    <cfRule type="duplicateValues" dxfId="490" priority="15"/>
  </conditionalFormatting>
  <conditionalFormatting sqref="C686">
    <cfRule type="duplicateValues" dxfId="489" priority="12"/>
  </conditionalFormatting>
  <conditionalFormatting sqref="E686">
    <cfRule type="duplicateValues" dxfId="488" priority="13"/>
  </conditionalFormatting>
  <conditionalFormatting sqref="C687">
    <cfRule type="duplicateValues" dxfId="487" priority="10"/>
  </conditionalFormatting>
  <conditionalFormatting sqref="E687">
    <cfRule type="duplicateValues" dxfId="486" priority="11"/>
  </conditionalFormatting>
  <conditionalFormatting sqref="C722">
    <cfRule type="duplicateValues" dxfId="485" priority="8"/>
  </conditionalFormatting>
  <conditionalFormatting sqref="E722">
    <cfRule type="duplicateValues" dxfId="484" priority="9"/>
  </conditionalFormatting>
  <conditionalFormatting sqref="C737">
    <cfRule type="duplicateValues" dxfId="483" priority="6"/>
  </conditionalFormatting>
  <conditionalFormatting sqref="E737">
    <cfRule type="duplicateValues" dxfId="482" priority="7"/>
  </conditionalFormatting>
  <conditionalFormatting sqref="C738">
    <cfRule type="duplicateValues" dxfId="481" priority="4"/>
  </conditionalFormatting>
  <conditionalFormatting sqref="E738">
    <cfRule type="duplicateValues" dxfId="480" priority="5"/>
  </conditionalFormatting>
  <conditionalFormatting sqref="C798">
    <cfRule type="duplicateValues" dxfId="479" priority="2"/>
  </conditionalFormatting>
  <conditionalFormatting sqref="E1152">
    <cfRule type="duplicateValues" dxfId="478" priority="3"/>
  </conditionalFormatting>
  <conditionalFormatting sqref="C847:C850 C3:C684 C852:C873 C875 C878:C1144 C689:C721 C723:C736 C739:C797 C799:C843">
    <cfRule type="duplicateValues" dxfId="477" priority="12243"/>
  </conditionalFormatting>
  <conditionalFormatting sqref="E847:E850 E3:E684 E852:E873 E875 E878:E1144 E689:E721 E723:E736 E739:E797 E799:E843">
    <cfRule type="duplicateValues" dxfId="476" priority="12253"/>
  </conditionalFormatting>
  <conditionalFormatting sqref="C3:C1152">
    <cfRule type="duplicateValues" dxfId="475" priority="12291"/>
  </conditionalFormatting>
  <dataValidations count="1">
    <dataValidation type="list" allowBlank="1" showInputMessage="1" showErrorMessage="1" sqref="C774" xr:uid="{00000000-0002-0000-0300-000001000000}">
      <formula1>OFFSET(Township_start,MATCH(B774,Township_list, 0),1, COUNTIF(Township_list,B774),1)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30DCB-08BE-47BB-8F9F-0197E6D565FD}">
  <sheetPr>
    <tabColor rgb="FF92D050"/>
  </sheetPr>
  <dimension ref="A1:F46"/>
  <sheetViews>
    <sheetView zoomScale="110" zoomScaleNormal="110" zoomScaleSheetLayoutView="50" workbookViewId="0">
      <pane xSplit="1" ySplit="2" topLeftCell="B36" activePane="bottomRight" state="frozen"/>
      <selection activeCell="F61" sqref="F61"/>
      <selection pane="topRight" activeCell="F61" sqref="F61"/>
      <selection pane="bottomLeft" activeCell="F61" sqref="F61"/>
      <selection pane="bottomRight" activeCell="B39" sqref="B39:B40"/>
    </sheetView>
  </sheetViews>
  <sheetFormatPr defaultColWidth="8" defaultRowHeight="45" customHeight="1"/>
  <cols>
    <col min="1" max="1" width="7.625" style="297" bestFit="1" customWidth="1"/>
    <col min="2" max="2" width="42.75" style="320" bestFit="1" customWidth="1"/>
    <col min="3" max="4" width="11.625" style="320" customWidth="1"/>
    <col min="5" max="5" width="61.5" style="320" bestFit="1" customWidth="1"/>
    <col min="6" max="6" width="57.375" style="628" bestFit="1" customWidth="1"/>
    <col min="7" max="16378" width="8" style="296"/>
    <col min="16379" max="16384" width="21.25" style="296" customWidth="1"/>
  </cols>
  <sheetData>
    <row r="1" spans="1:6" ht="45" customHeight="1">
      <c r="A1" s="860"/>
      <c r="B1" s="860"/>
      <c r="C1" s="860"/>
      <c r="D1" s="860"/>
      <c r="E1" s="860"/>
    </row>
    <row r="2" spans="1:6" s="300" customFormat="1" ht="45" customHeight="1">
      <c r="A2" s="298" t="s">
        <v>46</v>
      </c>
      <c r="B2" s="299" t="s">
        <v>2314</v>
      </c>
      <c r="C2" s="299" t="s">
        <v>2315</v>
      </c>
      <c r="D2" s="299" t="s">
        <v>2875</v>
      </c>
      <c r="E2" s="299" t="s">
        <v>47</v>
      </c>
      <c r="F2" s="211" t="s">
        <v>2383</v>
      </c>
    </row>
    <row r="3" spans="1:6" ht="45" customHeight="1">
      <c r="A3" s="301" t="s">
        <v>0</v>
      </c>
      <c r="B3" s="302" t="s">
        <v>2318</v>
      </c>
      <c r="C3" s="302" t="s">
        <v>14</v>
      </c>
      <c r="D3" s="302"/>
      <c r="E3" s="303"/>
      <c r="F3" s="629"/>
    </row>
    <row r="4" spans="1:6" ht="62.45" customHeight="1">
      <c r="A4" s="301" t="s">
        <v>1</v>
      </c>
      <c r="B4" s="302" t="s">
        <v>2320</v>
      </c>
      <c r="C4" s="302" t="s">
        <v>14</v>
      </c>
      <c r="D4" s="302"/>
      <c r="E4" s="303" t="s">
        <v>2321</v>
      </c>
      <c r="F4" s="629"/>
    </row>
    <row r="5" spans="1:6" ht="45" customHeight="1">
      <c r="A5" s="301" t="s">
        <v>2</v>
      </c>
      <c r="B5" s="302" t="s">
        <v>2322</v>
      </c>
      <c r="C5" s="302" t="s">
        <v>14</v>
      </c>
      <c r="D5" s="302"/>
      <c r="E5" s="303" t="s">
        <v>2323</v>
      </c>
      <c r="F5" s="629"/>
    </row>
    <row r="6" spans="1:6" ht="45" customHeight="1">
      <c r="A6" s="301" t="s">
        <v>3</v>
      </c>
      <c r="B6" s="302" t="s">
        <v>2324</v>
      </c>
      <c r="C6" s="302" t="s">
        <v>16</v>
      </c>
      <c r="D6" s="302"/>
      <c r="E6" s="303" t="s">
        <v>2467</v>
      </c>
      <c r="F6" s="629"/>
    </row>
    <row r="7" spans="1:6" ht="45" customHeight="1">
      <c r="A7" s="301" t="s">
        <v>4</v>
      </c>
      <c r="B7" s="302" t="s">
        <v>20</v>
      </c>
      <c r="C7" s="302" t="s">
        <v>14</v>
      </c>
      <c r="D7" s="302"/>
      <c r="E7" s="303" t="s">
        <v>2325</v>
      </c>
      <c r="F7" s="629"/>
    </row>
    <row r="8" spans="1:6" ht="45" customHeight="1">
      <c r="A8" s="301" t="s">
        <v>1152</v>
      </c>
      <c r="B8" s="302" t="s">
        <v>21</v>
      </c>
      <c r="C8" s="302" t="s">
        <v>14</v>
      </c>
      <c r="D8" s="302"/>
      <c r="E8" s="303" t="s">
        <v>2325</v>
      </c>
      <c r="F8" s="629"/>
    </row>
    <row r="9" spans="1:6" ht="45" customHeight="1">
      <c r="A9" s="301" t="s">
        <v>5</v>
      </c>
      <c r="B9" s="302" t="s">
        <v>2326</v>
      </c>
      <c r="C9" s="302" t="s">
        <v>2461</v>
      </c>
      <c r="D9" s="302"/>
      <c r="E9" s="303" t="s">
        <v>2327</v>
      </c>
      <c r="F9" s="629"/>
    </row>
    <row r="10" spans="1:6" ht="15">
      <c r="A10" s="301" t="s">
        <v>6</v>
      </c>
      <c r="B10" s="302" t="s">
        <v>2943</v>
      </c>
      <c r="C10" s="302" t="s">
        <v>14</v>
      </c>
      <c r="D10" s="302"/>
      <c r="E10" s="303" t="s">
        <v>2329</v>
      </c>
      <c r="F10" s="629"/>
    </row>
    <row r="11" spans="1:6" ht="15">
      <c r="A11" s="301" t="s">
        <v>50</v>
      </c>
      <c r="B11" s="302" t="s">
        <v>23</v>
      </c>
      <c r="C11" s="302" t="s">
        <v>15</v>
      </c>
      <c r="D11" s="302"/>
      <c r="E11" s="303" t="s">
        <v>2375</v>
      </c>
      <c r="F11" s="629"/>
    </row>
    <row r="12" spans="1:6" ht="15">
      <c r="A12" s="301" t="s">
        <v>51</v>
      </c>
      <c r="B12" s="302" t="s">
        <v>1903</v>
      </c>
      <c r="C12" s="302" t="s">
        <v>15</v>
      </c>
      <c r="D12" s="302"/>
      <c r="E12" s="303" t="s">
        <v>2375</v>
      </c>
      <c r="F12" s="629"/>
    </row>
    <row r="13" spans="1:6" ht="15">
      <c r="A13" s="301" t="s">
        <v>54</v>
      </c>
      <c r="B13" s="302" t="s">
        <v>2330</v>
      </c>
      <c r="C13" s="302" t="s">
        <v>17</v>
      </c>
      <c r="D13" s="302"/>
      <c r="E13" s="303" t="s">
        <v>2331</v>
      </c>
      <c r="F13" s="629"/>
    </row>
    <row r="14" spans="1:6" ht="15">
      <c r="A14" s="301" t="s">
        <v>56</v>
      </c>
      <c r="B14" s="302" t="s">
        <v>2332</v>
      </c>
      <c r="C14" s="302" t="s">
        <v>17</v>
      </c>
      <c r="D14" s="302"/>
      <c r="E14" s="303" t="s">
        <v>2333</v>
      </c>
      <c r="F14" s="629"/>
    </row>
    <row r="15" spans="1:6" ht="15">
      <c r="A15" s="301" t="s">
        <v>58</v>
      </c>
      <c r="B15" s="302" t="s">
        <v>2944</v>
      </c>
      <c r="C15" s="302" t="s">
        <v>15</v>
      </c>
      <c r="D15" s="302"/>
      <c r="E15" s="303"/>
      <c r="F15" s="629"/>
    </row>
    <row r="16" spans="1:6" ht="38.25">
      <c r="A16" s="301" t="s">
        <v>112</v>
      </c>
      <c r="B16" s="302" t="s">
        <v>2945</v>
      </c>
      <c r="C16" s="302" t="s">
        <v>15</v>
      </c>
      <c r="D16" s="302"/>
      <c r="E16" s="303" t="s">
        <v>2484</v>
      </c>
      <c r="F16" s="629"/>
    </row>
    <row r="17" spans="1:6" ht="38.25" customHeight="1">
      <c r="A17" s="304" t="s">
        <v>113</v>
      </c>
      <c r="B17" s="624" t="s">
        <v>2887</v>
      </c>
      <c r="C17" s="215" t="s">
        <v>15</v>
      </c>
      <c r="D17" s="215" t="s">
        <v>2876</v>
      </c>
      <c r="E17" s="282" t="s">
        <v>2881</v>
      </c>
      <c r="F17" s="861" t="s">
        <v>2337</v>
      </c>
    </row>
    <row r="18" spans="1:6" ht="38.25">
      <c r="A18" s="304" t="s">
        <v>60</v>
      </c>
      <c r="B18" s="624" t="s">
        <v>2886</v>
      </c>
      <c r="C18" s="215" t="s">
        <v>15</v>
      </c>
      <c r="D18" s="215" t="s">
        <v>2876</v>
      </c>
      <c r="E18" s="282" t="s">
        <v>2882</v>
      </c>
      <c r="F18" s="862"/>
    </row>
    <row r="19" spans="1:6" ht="45" customHeight="1">
      <c r="A19" s="304" t="s">
        <v>59</v>
      </c>
      <c r="B19" s="624" t="s">
        <v>2880</v>
      </c>
      <c r="C19" s="215" t="s">
        <v>15</v>
      </c>
      <c r="D19" s="215" t="s">
        <v>2908</v>
      </c>
      <c r="E19" s="282" t="s">
        <v>2883</v>
      </c>
      <c r="F19" s="862"/>
    </row>
    <row r="20" spans="1:6" ht="38.25" customHeight="1">
      <c r="A20" s="304" t="s">
        <v>61</v>
      </c>
      <c r="B20" s="624" t="s">
        <v>2885</v>
      </c>
      <c r="C20" s="215" t="s">
        <v>15</v>
      </c>
      <c r="D20" s="215" t="s">
        <v>2876</v>
      </c>
      <c r="E20" s="282" t="s">
        <v>2946</v>
      </c>
      <c r="F20" s="862"/>
    </row>
    <row r="21" spans="1:6" ht="38.25" customHeight="1">
      <c r="A21" s="304" t="s">
        <v>1153</v>
      </c>
      <c r="B21" s="215" t="s">
        <v>2890</v>
      </c>
      <c r="C21" s="215" t="s">
        <v>15</v>
      </c>
      <c r="D21" s="215" t="s">
        <v>2876</v>
      </c>
      <c r="E21" s="282" t="s">
        <v>2884</v>
      </c>
      <c r="F21" s="862"/>
    </row>
    <row r="22" spans="1:6" ht="45" customHeight="1">
      <c r="A22" s="304" t="s">
        <v>63</v>
      </c>
      <c r="B22" s="281" t="s">
        <v>2877</v>
      </c>
      <c r="C22" s="215" t="s">
        <v>16</v>
      </c>
      <c r="D22" s="215"/>
      <c r="E22" s="282"/>
      <c r="F22" s="863"/>
    </row>
    <row r="23" spans="1:6" ht="51" customHeight="1">
      <c r="A23" s="308" t="s">
        <v>64</v>
      </c>
      <c r="B23" s="227" t="s">
        <v>2889</v>
      </c>
      <c r="C23" s="227" t="s">
        <v>15</v>
      </c>
      <c r="D23" s="227" t="s">
        <v>2876</v>
      </c>
      <c r="E23" s="309"/>
      <c r="F23" s="864" t="s">
        <v>2342</v>
      </c>
    </row>
    <row r="24" spans="1:6" ht="25.5">
      <c r="A24" s="308" t="s">
        <v>65</v>
      </c>
      <c r="B24" s="227" t="s">
        <v>2888</v>
      </c>
      <c r="C24" s="227" t="s">
        <v>2335</v>
      </c>
      <c r="D24" s="227" t="s">
        <v>2876</v>
      </c>
      <c r="E24" s="309"/>
      <c r="F24" s="865"/>
    </row>
    <row r="25" spans="1:6" ht="15">
      <c r="A25" s="308" t="s">
        <v>66</v>
      </c>
      <c r="B25" s="227" t="s">
        <v>2891</v>
      </c>
      <c r="C25" s="227" t="s">
        <v>15</v>
      </c>
      <c r="D25" s="227" t="s">
        <v>2876</v>
      </c>
      <c r="E25" s="309"/>
      <c r="F25" s="865"/>
    </row>
    <row r="26" spans="1:6" ht="33" customHeight="1">
      <c r="A26" s="308" t="s">
        <v>1154</v>
      </c>
      <c r="B26" s="227" t="s">
        <v>2892</v>
      </c>
      <c r="C26" s="227" t="s">
        <v>15</v>
      </c>
      <c r="D26" s="227" t="s">
        <v>2876</v>
      </c>
      <c r="E26" s="309"/>
      <c r="F26" s="865"/>
    </row>
    <row r="27" spans="1:6" ht="33" customHeight="1">
      <c r="A27" s="308" t="s">
        <v>67</v>
      </c>
      <c r="B27" s="227" t="s">
        <v>2894</v>
      </c>
      <c r="C27" s="227" t="s">
        <v>15</v>
      </c>
      <c r="D27" s="227" t="s">
        <v>2876</v>
      </c>
      <c r="E27" s="309"/>
      <c r="F27" s="865"/>
    </row>
    <row r="28" spans="1:6" ht="33" customHeight="1">
      <c r="A28" s="308" t="s">
        <v>68</v>
      </c>
      <c r="B28" s="227" t="s">
        <v>2893</v>
      </c>
      <c r="C28" s="227" t="s">
        <v>15</v>
      </c>
      <c r="D28" s="227" t="s">
        <v>2876</v>
      </c>
      <c r="E28" s="309"/>
      <c r="F28" s="865"/>
    </row>
    <row r="29" spans="1:6" ht="33" customHeight="1">
      <c r="A29" s="308" t="s">
        <v>69</v>
      </c>
      <c r="B29" s="227" t="s">
        <v>2895</v>
      </c>
      <c r="C29" s="227" t="s">
        <v>15</v>
      </c>
      <c r="D29" s="227" t="s">
        <v>2876</v>
      </c>
      <c r="E29" s="309"/>
      <c r="F29" s="865"/>
    </row>
    <row r="30" spans="1:6" ht="25.5">
      <c r="A30" s="308" t="s">
        <v>70</v>
      </c>
      <c r="B30" s="312" t="s">
        <v>2878</v>
      </c>
      <c r="C30" s="312" t="s">
        <v>16</v>
      </c>
      <c r="D30" s="312"/>
      <c r="E30" s="309"/>
      <c r="F30" s="866"/>
    </row>
    <row r="31" spans="1:6" ht="45" customHeight="1">
      <c r="A31" s="313" t="s">
        <v>1304</v>
      </c>
      <c r="B31" s="314" t="s">
        <v>2896</v>
      </c>
      <c r="C31" s="314" t="s">
        <v>15</v>
      </c>
      <c r="D31" s="284" t="s">
        <v>2876</v>
      </c>
      <c r="E31" s="316" t="s">
        <v>2947</v>
      </c>
      <c r="F31" s="867" t="s">
        <v>2362</v>
      </c>
    </row>
    <row r="32" spans="1:6" ht="45" customHeight="1">
      <c r="A32" s="313" t="s">
        <v>1305</v>
      </c>
      <c r="B32" s="314" t="s">
        <v>2897</v>
      </c>
      <c r="C32" s="314" t="s">
        <v>15</v>
      </c>
      <c r="D32" s="284" t="s">
        <v>2876</v>
      </c>
      <c r="E32" s="316" t="s">
        <v>2948</v>
      </c>
      <c r="F32" s="868"/>
    </row>
    <row r="33" spans="1:6" ht="45" customHeight="1">
      <c r="A33" s="313" t="s">
        <v>1306</v>
      </c>
      <c r="B33" s="314" t="s">
        <v>2898</v>
      </c>
      <c r="C33" s="314" t="s">
        <v>15</v>
      </c>
      <c r="D33" s="284" t="s">
        <v>2876</v>
      </c>
      <c r="E33" s="316" t="s">
        <v>2949</v>
      </c>
      <c r="F33" s="868"/>
    </row>
    <row r="34" spans="1:6" ht="45" customHeight="1">
      <c r="A34" s="313" t="s">
        <v>1307</v>
      </c>
      <c r="B34" s="314" t="s">
        <v>2899</v>
      </c>
      <c r="C34" s="314" t="s">
        <v>15</v>
      </c>
      <c r="D34" s="284" t="s">
        <v>2876</v>
      </c>
      <c r="E34" s="316" t="s">
        <v>2950</v>
      </c>
      <c r="F34" s="868"/>
    </row>
    <row r="35" spans="1:6" ht="45" customHeight="1">
      <c r="A35" s="313" t="s">
        <v>1308</v>
      </c>
      <c r="B35" s="314" t="s">
        <v>2900</v>
      </c>
      <c r="C35" s="314" t="s">
        <v>15</v>
      </c>
      <c r="D35" s="284" t="s">
        <v>2876</v>
      </c>
      <c r="E35" s="316" t="s">
        <v>2900</v>
      </c>
      <c r="F35" s="868"/>
    </row>
    <row r="36" spans="1:6" ht="45" customHeight="1">
      <c r="A36" s="313" t="s">
        <v>1309</v>
      </c>
      <c r="B36" s="314" t="s">
        <v>2901</v>
      </c>
      <c r="C36" s="314" t="s">
        <v>15</v>
      </c>
      <c r="D36" s="284" t="s">
        <v>2876</v>
      </c>
      <c r="E36" s="316" t="s">
        <v>2901</v>
      </c>
      <c r="F36" s="868"/>
    </row>
    <row r="37" spans="1:6" ht="15">
      <c r="A37" s="313" t="s">
        <v>1310</v>
      </c>
      <c r="B37" s="625" t="s">
        <v>2933</v>
      </c>
      <c r="C37" s="314" t="s">
        <v>15</v>
      </c>
      <c r="D37" s="284" t="s">
        <v>2876</v>
      </c>
      <c r="E37" s="316" t="s">
        <v>2902</v>
      </c>
      <c r="F37" s="868"/>
    </row>
    <row r="38" spans="1:6" ht="45" customHeight="1">
      <c r="A38" s="313" t="s">
        <v>1311</v>
      </c>
      <c r="B38" s="314" t="s">
        <v>2903</v>
      </c>
      <c r="C38" s="314" t="s">
        <v>15</v>
      </c>
      <c r="D38" s="284" t="s">
        <v>2876</v>
      </c>
      <c r="E38" s="316" t="s">
        <v>2903</v>
      </c>
      <c r="F38" s="868"/>
    </row>
    <row r="39" spans="1:6" ht="45" customHeight="1">
      <c r="A39" s="313" t="s">
        <v>1312</v>
      </c>
      <c r="B39" s="756" t="s">
        <v>2996</v>
      </c>
      <c r="C39" s="314" t="s">
        <v>15</v>
      </c>
      <c r="D39" s="284" t="s">
        <v>2876</v>
      </c>
      <c r="E39" s="318"/>
      <c r="F39" s="868"/>
    </row>
    <row r="40" spans="1:6" ht="45" customHeight="1">
      <c r="A40" s="313" t="s">
        <v>1313</v>
      </c>
      <c r="B40" s="756" t="s">
        <v>2997</v>
      </c>
      <c r="C40" s="314" t="s">
        <v>15</v>
      </c>
      <c r="D40" s="284" t="s">
        <v>2876</v>
      </c>
      <c r="E40" s="318"/>
      <c r="F40" s="868"/>
    </row>
    <row r="41" spans="1:6" ht="45" customHeight="1">
      <c r="A41" s="313" t="s">
        <v>1985</v>
      </c>
      <c r="B41" s="317" t="s">
        <v>2879</v>
      </c>
      <c r="C41" s="317" t="s">
        <v>16</v>
      </c>
      <c r="D41" s="317"/>
      <c r="E41" s="318"/>
      <c r="F41" s="869"/>
    </row>
    <row r="42" spans="1:6" ht="45" customHeight="1">
      <c r="A42" s="627" t="s">
        <v>1986</v>
      </c>
      <c r="B42" s="626" t="s">
        <v>2907</v>
      </c>
      <c r="C42" s="626" t="s">
        <v>55</v>
      </c>
      <c r="D42" s="626"/>
      <c r="E42" s="626" t="s">
        <v>2904</v>
      </c>
      <c r="F42" s="630"/>
    </row>
    <row r="43" spans="1:6" ht="45" customHeight="1">
      <c r="A43" s="627" t="s">
        <v>2234</v>
      </c>
      <c r="B43" s="626" t="s">
        <v>2906</v>
      </c>
      <c r="C43" s="626" t="s">
        <v>55</v>
      </c>
      <c r="D43" s="626"/>
      <c r="E43" s="626" t="s">
        <v>2905</v>
      </c>
      <c r="F43" s="630"/>
    </row>
    <row r="46" spans="1:6" ht="45" customHeight="1">
      <c r="B46" s="319"/>
    </row>
  </sheetData>
  <autoFilter ref="A2:F41" xr:uid="{00000000-0009-0000-0000-000004000000}"/>
  <mergeCells count="4">
    <mergeCell ref="A1:E1"/>
    <mergeCell ref="F17:F22"/>
    <mergeCell ref="F23:F30"/>
    <mergeCell ref="F31:F41"/>
  </mergeCells>
  <pageMargins left="0.25" right="0.25" top="0" bottom="0" header="0.3" footer="0.3"/>
  <pageSetup scale="60" orientation="portrait" r:id="rId1"/>
  <rowBreaks count="1" manualBreakCount="1">
    <brk id="19"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125" style="297" customWidth="1"/>
    <col min="2" max="2" width="40.25" style="327" customWidth="1"/>
    <col min="3" max="3" width="11.625" style="320" customWidth="1"/>
    <col min="4" max="4" width="16.625" style="320" hidden="1" customWidth="1"/>
    <col min="5" max="5" width="13.25" style="320" bestFit="1" customWidth="1"/>
    <col min="6" max="6" width="65.25" style="326" customWidth="1"/>
    <col min="7" max="7" width="21.125" style="208" customWidth="1"/>
    <col min="8" max="8" width="20.875" style="208" customWidth="1"/>
    <col min="9" max="9" width="57.375" style="207" bestFit="1" customWidth="1"/>
    <col min="10" max="16384" width="8" style="321"/>
  </cols>
  <sheetData>
    <row r="1" spans="1:9" ht="45" customHeight="1">
      <c r="A1" s="870"/>
      <c r="B1" s="870"/>
      <c r="C1" s="870"/>
      <c r="D1" s="870"/>
      <c r="E1" s="870"/>
      <c r="F1" s="870"/>
      <c r="G1" s="206" t="s">
        <v>45</v>
      </c>
      <c r="H1" s="206" t="s">
        <v>45</v>
      </c>
    </row>
    <row r="2" spans="1:9" s="322" customFormat="1" ht="56.25" customHeight="1">
      <c r="A2" s="298" t="s">
        <v>46</v>
      </c>
      <c r="B2" s="273" t="s">
        <v>2314</v>
      </c>
      <c r="C2" s="299" t="s">
        <v>2315</v>
      </c>
      <c r="D2" s="299" t="s">
        <v>2316</v>
      </c>
      <c r="E2" s="299" t="s">
        <v>2317</v>
      </c>
      <c r="F2" s="299" t="s">
        <v>47</v>
      </c>
      <c r="G2" s="209" t="s">
        <v>48</v>
      </c>
      <c r="H2" s="210" t="s">
        <v>49</v>
      </c>
      <c r="I2" s="211" t="s">
        <v>2383</v>
      </c>
    </row>
    <row r="3" spans="1:9" ht="36" customHeight="1">
      <c r="A3" s="301" t="s">
        <v>0</v>
      </c>
      <c r="B3" s="272" t="s">
        <v>2385</v>
      </c>
      <c r="C3" s="302" t="s">
        <v>14</v>
      </c>
      <c r="D3" s="302"/>
      <c r="E3" s="302" t="s">
        <v>2319</v>
      </c>
      <c r="F3" s="270" t="s">
        <v>2385</v>
      </c>
      <c r="G3" s="212"/>
      <c r="H3" s="213"/>
      <c r="I3" s="214"/>
    </row>
    <row r="4" spans="1:9" ht="36" customHeight="1">
      <c r="A4" s="301" t="s">
        <v>1</v>
      </c>
      <c r="B4" s="272" t="s">
        <v>2386</v>
      </c>
      <c r="C4" s="302" t="s">
        <v>14</v>
      </c>
      <c r="D4" s="302"/>
      <c r="E4" s="302" t="s">
        <v>2319</v>
      </c>
      <c r="F4" s="270" t="s">
        <v>2470</v>
      </c>
      <c r="G4" s="212"/>
      <c r="H4" s="213"/>
      <c r="I4" s="214"/>
    </row>
    <row r="5" spans="1:9" ht="36" customHeight="1">
      <c r="A5" s="301" t="s">
        <v>2</v>
      </c>
      <c r="B5" s="272" t="s">
        <v>2387</v>
      </c>
      <c r="C5" s="302" t="s">
        <v>14</v>
      </c>
      <c r="D5" s="302"/>
      <c r="E5" s="302" t="s">
        <v>2319</v>
      </c>
      <c r="F5" s="270" t="s">
        <v>2387</v>
      </c>
      <c r="G5" s="212"/>
      <c r="H5" s="213"/>
      <c r="I5" s="214"/>
    </row>
    <row r="6" spans="1:9" ht="36" customHeight="1">
      <c r="A6" s="301" t="s">
        <v>3</v>
      </c>
      <c r="B6" s="272" t="s">
        <v>2388</v>
      </c>
      <c r="C6" s="302" t="s">
        <v>16</v>
      </c>
      <c r="D6" s="302"/>
      <c r="E6" s="302" t="s">
        <v>2319</v>
      </c>
      <c r="F6" s="270" t="s">
        <v>2469</v>
      </c>
      <c r="G6" s="212"/>
      <c r="H6" s="213"/>
      <c r="I6" s="214"/>
    </row>
    <row r="7" spans="1:9" ht="36" customHeight="1">
      <c r="A7" s="301" t="s">
        <v>4</v>
      </c>
      <c r="B7" s="272" t="s">
        <v>2389</v>
      </c>
      <c r="C7" s="302" t="s">
        <v>14</v>
      </c>
      <c r="D7" s="302"/>
      <c r="E7" s="302" t="s">
        <v>2319</v>
      </c>
      <c r="F7" s="270" t="s">
        <v>2389</v>
      </c>
      <c r="G7" s="212"/>
      <c r="H7" s="213"/>
      <c r="I7" s="214"/>
    </row>
    <row r="8" spans="1:9" ht="36" customHeight="1">
      <c r="A8" s="301" t="s">
        <v>1152</v>
      </c>
      <c r="B8" s="272" t="s">
        <v>2390</v>
      </c>
      <c r="C8" s="302" t="s">
        <v>14</v>
      </c>
      <c r="D8" s="302"/>
      <c r="E8" s="302" t="s">
        <v>2319</v>
      </c>
      <c r="F8" s="270" t="s">
        <v>2390</v>
      </c>
      <c r="G8" s="212"/>
      <c r="H8" s="213"/>
      <c r="I8" s="214"/>
    </row>
    <row r="9" spans="1:9" ht="45" customHeight="1">
      <c r="A9" s="301" t="s">
        <v>5</v>
      </c>
      <c r="B9" s="272" t="s">
        <v>2391</v>
      </c>
      <c r="C9" s="302" t="s">
        <v>2461</v>
      </c>
      <c r="D9" s="302"/>
      <c r="E9" s="302" t="s">
        <v>2319</v>
      </c>
      <c r="F9" s="270" t="s">
        <v>2391</v>
      </c>
      <c r="G9" s="212"/>
      <c r="H9" s="213"/>
      <c r="I9" s="214"/>
    </row>
    <row r="10" spans="1:9" ht="45" customHeight="1">
      <c r="A10" s="301" t="s">
        <v>6</v>
      </c>
      <c r="B10" s="272" t="s">
        <v>2392</v>
      </c>
      <c r="C10" s="302" t="s">
        <v>14</v>
      </c>
      <c r="D10" s="302"/>
      <c r="E10" s="302" t="s">
        <v>2319</v>
      </c>
      <c r="F10" s="270" t="s">
        <v>2392</v>
      </c>
      <c r="G10" s="212"/>
      <c r="H10" s="213"/>
      <c r="I10" s="214"/>
    </row>
    <row r="11" spans="1:9" ht="37.5" customHeight="1">
      <c r="A11" s="301" t="s">
        <v>50</v>
      </c>
      <c r="B11" s="272" t="s">
        <v>2434</v>
      </c>
      <c r="C11" s="302" t="s">
        <v>15</v>
      </c>
      <c r="D11" s="302"/>
      <c r="E11" s="302" t="s">
        <v>2319</v>
      </c>
      <c r="F11" s="270" t="s">
        <v>2471</v>
      </c>
      <c r="G11" s="212"/>
      <c r="H11" s="213"/>
      <c r="I11" s="214"/>
    </row>
    <row r="12" spans="1:9" ht="37.5" customHeight="1">
      <c r="A12" s="301" t="s">
        <v>51</v>
      </c>
      <c r="B12" s="272" t="s">
        <v>2433</v>
      </c>
      <c r="C12" s="302" t="s">
        <v>15</v>
      </c>
      <c r="D12" s="302"/>
      <c r="E12" s="302" t="s">
        <v>2319</v>
      </c>
      <c r="F12" s="270" t="s">
        <v>2472</v>
      </c>
      <c r="G12" s="212"/>
      <c r="H12" s="213"/>
      <c r="I12" s="214"/>
    </row>
    <row r="13" spans="1:9" ht="37.5" customHeight="1">
      <c r="A13" s="301" t="s">
        <v>54</v>
      </c>
      <c r="B13" s="272" t="s">
        <v>2393</v>
      </c>
      <c r="C13" s="302" t="s">
        <v>17</v>
      </c>
      <c r="D13" s="302"/>
      <c r="E13" s="302" t="s">
        <v>2319</v>
      </c>
      <c r="F13" s="270" t="s">
        <v>2393</v>
      </c>
      <c r="G13" s="212"/>
      <c r="H13" s="213"/>
      <c r="I13" s="214"/>
    </row>
    <row r="14" spans="1:9" ht="37.5" customHeight="1">
      <c r="A14" s="301" t="s">
        <v>56</v>
      </c>
      <c r="B14" s="272" t="s">
        <v>2394</v>
      </c>
      <c r="C14" s="302" t="s">
        <v>17</v>
      </c>
      <c r="D14" s="302"/>
      <c r="E14" s="302" t="s">
        <v>2319</v>
      </c>
      <c r="F14" s="270" t="s">
        <v>2394</v>
      </c>
      <c r="G14" s="212"/>
      <c r="H14" s="213"/>
      <c r="I14" s="214"/>
    </row>
    <row r="15" spans="1:9" ht="45" customHeight="1">
      <c r="A15" s="301" t="s">
        <v>58</v>
      </c>
      <c r="B15" s="272" t="s">
        <v>2491</v>
      </c>
      <c r="C15" s="302" t="s">
        <v>15</v>
      </c>
      <c r="D15" s="302"/>
      <c r="E15" s="302" t="s">
        <v>2459</v>
      </c>
      <c r="F15" s="270" t="s">
        <v>2491</v>
      </c>
      <c r="G15" s="212"/>
      <c r="H15" s="213"/>
      <c r="I15" s="214"/>
    </row>
    <row r="16" spans="1:9" ht="45" customHeight="1">
      <c r="A16" s="301" t="s">
        <v>112</v>
      </c>
      <c r="B16" s="272" t="s">
        <v>1987</v>
      </c>
      <c r="C16" s="302" t="s">
        <v>15</v>
      </c>
      <c r="D16" s="302"/>
      <c r="E16" s="302" t="s">
        <v>296</v>
      </c>
      <c r="F16" s="270" t="s">
        <v>2395</v>
      </c>
      <c r="G16" s="212"/>
      <c r="H16" s="213"/>
      <c r="I16" s="214"/>
    </row>
    <row r="17" spans="1:9" ht="45" customHeight="1">
      <c r="A17" s="301" t="s">
        <v>113</v>
      </c>
      <c r="B17" s="272" t="s">
        <v>2396</v>
      </c>
      <c r="C17" s="302" t="s">
        <v>15</v>
      </c>
      <c r="D17" s="302"/>
      <c r="E17" s="302" t="s">
        <v>296</v>
      </c>
      <c r="F17" s="270" t="s">
        <v>2397</v>
      </c>
      <c r="G17" s="212"/>
      <c r="H17" s="213"/>
      <c r="I17" s="214"/>
    </row>
    <row r="18" spans="1:9" ht="40.5">
      <c r="A18" s="301" t="s">
        <v>60</v>
      </c>
      <c r="B18" s="272" t="s">
        <v>2398</v>
      </c>
      <c r="C18" s="302" t="s">
        <v>15</v>
      </c>
      <c r="D18" s="302" t="s">
        <v>2483</v>
      </c>
      <c r="E18" s="302" t="s">
        <v>2319</v>
      </c>
      <c r="F18" s="270" t="s">
        <v>2399</v>
      </c>
      <c r="G18" s="212"/>
      <c r="H18" s="213"/>
      <c r="I18" s="214"/>
    </row>
    <row r="19" spans="1:9" ht="45" customHeight="1">
      <c r="A19" s="301" t="s">
        <v>59</v>
      </c>
      <c r="B19" s="272" t="s">
        <v>2400</v>
      </c>
      <c r="C19" s="302" t="s">
        <v>2335</v>
      </c>
      <c r="D19" s="302"/>
      <c r="E19" s="302" t="s">
        <v>2319</v>
      </c>
      <c r="F19" s="270" t="s">
        <v>2473</v>
      </c>
      <c r="G19" s="212"/>
      <c r="H19" s="213"/>
      <c r="I19" s="214"/>
    </row>
    <row r="20" spans="1:9" ht="36" customHeight="1">
      <c r="A20" s="301" t="s">
        <v>61</v>
      </c>
      <c r="B20" s="272" t="s">
        <v>2401</v>
      </c>
      <c r="C20" s="302" t="s">
        <v>15</v>
      </c>
      <c r="D20" s="302"/>
      <c r="E20" s="302" t="s">
        <v>2319</v>
      </c>
      <c r="F20" s="270" t="s">
        <v>2475</v>
      </c>
      <c r="G20" s="212"/>
      <c r="H20" s="213"/>
      <c r="I20" s="214"/>
    </row>
    <row r="21" spans="1:9" ht="35.25" customHeight="1">
      <c r="A21" s="301" t="s">
        <v>1153</v>
      </c>
      <c r="B21" s="272" t="s">
        <v>2402</v>
      </c>
      <c r="C21" s="302" t="s">
        <v>15</v>
      </c>
      <c r="D21" s="302"/>
      <c r="E21" s="302" t="s">
        <v>2319</v>
      </c>
      <c r="F21" s="270" t="s">
        <v>2474</v>
      </c>
      <c r="G21" s="212"/>
      <c r="H21" s="213"/>
      <c r="I21" s="214"/>
    </row>
    <row r="22" spans="1:9" ht="52.5" customHeight="1">
      <c r="A22" s="304" t="s">
        <v>63</v>
      </c>
      <c r="B22" s="262" t="s">
        <v>2462</v>
      </c>
      <c r="C22" s="215" t="s">
        <v>15</v>
      </c>
      <c r="D22" s="215"/>
      <c r="E22" s="215" t="s">
        <v>2319</v>
      </c>
      <c r="F22" s="260" t="s">
        <v>2476</v>
      </c>
      <c r="G22" s="216" t="s">
        <v>57</v>
      </c>
      <c r="H22" s="217" t="s">
        <v>57</v>
      </c>
      <c r="I22" s="218" t="s">
        <v>2337</v>
      </c>
    </row>
    <row r="23" spans="1:9" ht="45" customHeight="1">
      <c r="A23" s="304" t="s">
        <v>64</v>
      </c>
      <c r="B23" s="262" t="s">
        <v>2439</v>
      </c>
      <c r="C23" s="215" t="s">
        <v>15</v>
      </c>
      <c r="D23" s="215"/>
      <c r="E23" s="215" t="s">
        <v>2319</v>
      </c>
      <c r="F23" s="260" t="s">
        <v>2439</v>
      </c>
      <c r="G23" s="212"/>
      <c r="H23" s="213"/>
      <c r="I23" s="214"/>
    </row>
    <row r="24" spans="1:9" ht="45" customHeight="1">
      <c r="A24" s="304" t="s">
        <v>65</v>
      </c>
      <c r="B24" s="262" t="s">
        <v>2440</v>
      </c>
      <c r="C24" s="215" t="s">
        <v>15</v>
      </c>
      <c r="D24" s="215"/>
      <c r="E24" s="215" t="s">
        <v>2319</v>
      </c>
      <c r="F24" s="263" t="s">
        <v>2441</v>
      </c>
      <c r="G24" s="212"/>
      <c r="H24" s="213"/>
      <c r="I24" s="214"/>
    </row>
    <row r="25" spans="1:9" ht="60.75">
      <c r="A25" s="304" t="s">
        <v>66</v>
      </c>
      <c r="B25" s="264" t="s">
        <v>2492</v>
      </c>
      <c r="C25" s="219" t="s">
        <v>15</v>
      </c>
      <c r="D25" s="215"/>
      <c r="E25" s="219" t="s">
        <v>2319</v>
      </c>
      <c r="F25" s="261" t="s">
        <v>2463</v>
      </c>
      <c r="G25" s="216" t="s">
        <v>57</v>
      </c>
      <c r="H25" s="217" t="s">
        <v>57</v>
      </c>
      <c r="I25" s="218" t="s">
        <v>2337</v>
      </c>
    </row>
    <row r="26" spans="1:9" ht="54" customHeight="1">
      <c r="A26" s="304" t="s">
        <v>68</v>
      </c>
      <c r="B26" s="262" t="s">
        <v>2464</v>
      </c>
      <c r="C26" s="219" t="s">
        <v>15</v>
      </c>
      <c r="D26" s="215"/>
      <c r="E26" s="219" t="s">
        <v>2319</v>
      </c>
      <c r="F26" s="263" t="s">
        <v>2427</v>
      </c>
      <c r="G26" s="212"/>
      <c r="H26" s="213"/>
      <c r="I26" s="214"/>
    </row>
    <row r="27" spans="1:9" ht="90">
      <c r="A27" s="304" t="s">
        <v>1154</v>
      </c>
      <c r="B27" s="264" t="s">
        <v>2493</v>
      </c>
      <c r="C27" s="219" t="s">
        <v>15</v>
      </c>
      <c r="D27" s="215"/>
      <c r="E27" s="219" t="s">
        <v>2319</v>
      </c>
      <c r="F27" s="264" t="s">
        <v>2493</v>
      </c>
      <c r="G27" s="212"/>
      <c r="H27" s="213"/>
      <c r="I27" s="214"/>
    </row>
    <row r="28" spans="1:9" ht="90">
      <c r="A28" s="304" t="s">
        <v>67</v>
      </c>
      <c r="B28" s="262" t="s">
        <v>2494</v>
      </c>
      <c r="C28" s="219" t="s">
        <v>15</v>
      </c>
      <c r="D28" s="215"/>
      <c r="E28" s="219" t="s">
        <v>2319</v>
      </c>
      <c r="F28" s="262" t="s">
        <v>2494</v>
      </c>
      <c r="G28" s="212"/>
      <c r="H28" s="213"/>
      <c r="I28" s="214"/>
    </row>
    <row r="29" spans="1:9" ht="55.5" customHeight="1">
      <c r="A29" s="304" t="s">
        <v>69</v>
      </c>
      <c r="B29" s="264" t="s">
        <v>2477</v>
      </c>
      <c r="C29" s="219" t="s">
        <v>2485</v>
      </c>
      <c r="D29" s="219" t="s">
        <v>2458</v>
      </c>
      <c r="E29" s="219" t="s">
        <v>2319</v>
      </c>
      <c r="F29" s="261" t="s">
        <v>2428</v>
      </c>
      <c r="G29" s="216" t="s">
        <v>57</v>
      </c>
      <c r="H29" s="216" t="s">
        <v>57</v>
      </c>
      <c r="I29" s="218" t="s">
        <v>2337</v>
      </c>
    </row>
    <row r="30" spans="1:9" ht="51.75" customHeight="1">
      <c r="A30" s="304" t="s">
        <v>70</v>
      </c>
      <c r="B30" s="264" t="s">
        <v>2482</v>
      </c>
      <c r="C30" s="219" t="s">
        <v>2485</v>
      </c>
      <c r="D30" s="219"/>
      <c r="E30" s="219" t="s">
        <v>2319</v>
      </c>
      <c r="F30" s="261" t="s">
        <v>2442</v>
      </c>
      <c r="G30" s="285"/>
      <c r="H30" s="213"/>
      <c r="I30" s="214"/>
    </row>
    <row r="31" spans="1:9" ht="69" customHeight="1">
      <c r="A31" s="304" t="s">
        <v>1304</v>
      </c>
      <c r="B31" s="264" t="s">
        <v>2495</v>
      </c>
      <c r="C31" s="219" t="s">
        <v>2485</v>
      </c>
      <c r="D31" s="219"/>
      <c r="E31" s="219" t="s">
        <v>2319</v>
      </c>
      <c r="F31" s="261" t="s">
        <v>2443</v>
      </c>
      <c r="G31" s="286"/>
      <c r="H31" s="276"/>
      <c r="I31" s="277"/>
    </row>
    <row r="32" spans="1:9" s="324" customFormat="1" ht="61.9" customHeight="1">
      <c r="A32" s="323" t="s">
        <v>1305</v>
      </c>
      <c r="B32" s="264" t="s">
        <v>2403</v>
      </c>
      <c r="C32" s="219" t="s">
        <v>2435</v>
      </c>
      <c r="D32" s="215" t="s">
        <v>2486</v>
      </c>
      <c r="E32" s="219" t="s">
        <v>2459</v>
      </c>
      <c r="F32" s="263" t="s">
        <v>2404</v>
      </c>
      <c r="G32" s="278" t="s">
        <v>57</v>
      </c>
      <c r="H32" s="279" t="s">
        <v>57</v>
      </c>
      <c r="I32" s="280" t="s">
        <v>2337</v>
      </c>
    </row>
    <row r="33" spans="1:9" s="324" customFormat="1" ht="60.75" customHeight="1">
      <c r="A33" s="323" t="s">
        <v>1306</v>
      </c>
      <c r="B33" s="264" t="s">
        <v>2456</v>
      </c>
      <c r="C33" s="287" t="s">
        <v>15</v>
      </c>
      <c r="D33" s="215" t="s">
        <v>2336</v>
      </c>
      <c r="E33" s="287" t="s">
        <v>296</v>
      </c>
      <c r="F33" s="283" t="s">
        <v>2405</v>
      </c>
      <c r="G33" s="278" t="s">
        <v>2338</v>
      </c>
      <c r="H33" s="279" t="s">
        <v>2338</v>
      </c>
      <c r="I33" s="280" t="s">
        <v>2337</v>
      </c>
    </row>
    <row r="34" spans="1:9" s="324" customFormat="1" ht="61.5" customHeight="1">
      <c r="A34" s="323" t="s">
        <v>1307</v>
      </c>
      <c r="B34" s="264" t="s">
        <v>2496</v>
      </c>
      <c r="C34" s="287" t="s">
        <v>2435</v>
      </c>
      <c r="D34" s="215" t="s">
        <v>2336</v>
      </c>
      <c r="E34" s="287" t="s">
        <v>2319</v>
      </c>
      <c r="F34" s="283" t="s">
        <v>2497</v>
      </c>
      <c r="G34" s="278" t="s">
        <v>2338</v>
      </c>
      <c r="H34" s="279" t="s">
        <v>2339</v>
      </c>
      <c r="I34" s="280" t="s">
        <v>2337</v>
      </c>
    </row>
    <row r="35" spans="1:9" s="324" customFormat="1" ht="61.5" customHeight="1">
      <c r="A35" s="323" t="s">
        <v>1308</v>
      </c>
      <c r="B35" s="264" t="s">
        <v>2498</v>
      </c>
      <c r="C35" s="305" t="s">
        <v>15</v>
      </c>
      <c r="D35" s="306"/>
      <c r="E35" s="307" t="s">
        <v>296</v>
      </c>
      <c r="F35" s="264" t="s">
        <v>2498</v>
      </c>
      <c r="G35" s="220"/>
      <c r="H35" s="221"/>
      <c r="I35" s="232"/>
    </row>
    <row r="36" spans="1:9" s="324" customFormat="1" ht="55.15" customHeight="1">
      <c r="A36" s="323" t="s">
        <v>1309</v>
      </c>
      <c r="B36" s="264" t="s">
        <v>2499</v>
      </c>
      <c r="C36" s="307" t="s">
        <v>15</v>
      </c>
      <c r="D36" s="307"/>
      <c r="E36" s="307" t="s">
        <v>296</v>
      </c>
      <c r="F36" s="283" t="s">
        <v>2500</v>
      </c>
      <c r="G36" s="220"/>
      <c r="H36" s="221"/>
      <c r="I36" s="232"/>
    </row>
    <row r="37" spans="1:9" s="324" customFormat="1" ht="45" customHeight="1">
      <c r="A37" s="323" t="s">
        <v>1310</v>
      </c>
      <c r="B37" s="264" t="s">
        <v>2445</v>
      </c>
      <c r="C37" s="222" t="s">
        <v>15</v>
      </c>
      <c r="D37" s="222"/>
      <c r="E37" s="222" t="s">
        <v>2319</v>
      </c>
      <c r="F37" s="283" t="s">
        <v>2446</v>
      </c>
      <c r="G37" s="212"/>
      <c r="H37" s="213"/>
      <c r="I37" s="214"/>
    </row>
    <row r="38" spans="1:9" s="324" customFormat="1" ht="54">
      <c r="A38" s="323" t="s">
        <v>1311</v>
      </c>
      <c r="B38" s="264" t="s">
        <v>2444</v>
      </c>
      <c r="C38" s="222" t="s">
        <v>15</v>
      </c>
      <c r="D38" s="222"/>
      <c r="E38" s="222" t="s">
        <v>2319</v>
      </c>
      <c r="F38" s="283" t="s">
        <v>2444</v>
      </c>
      <c r="G38" s="212"/>
      <c r="H38" s="213"/>
      <c r="I38" s="214"/>
    </row>
    <row r="39" spans="1:9" s="324" customFormat="1" ht="45" customHeight="1">
      <c r="A39" s="323" t="s">
        <v>1312</v>
      </c>
      <c r="B39" s="264" t="s">
        <v>2449</v>
      </c>
      <c r="C39" s="223" t="s">
        <v>15</v>
      </c>
      <c r="D39" s="223"/>
      <c r="E39" s="222" t="s">
        <v>2319</v>
      </c>
      <c r="F39" s="283" t="s">
        <v>2447</v>
      </c>
      <c r="G39" s="212"/>
      <c r="H39" s="213"/>
      <c r="I39" s="214"/>
    </row>
    <row r="40" spans="1:9" s="324" customFormat="1" ht="62.45" customHeight="1">
      <c r="A40" s="323" t="s">
        <v>1313</v>
      </c>
      <c r="B40" s="264" t="s">
        <v>2450</v>
      </c>
      <c r="C40" s="223" t="s">
        <v>15</v>
      </c>
      <c r="D40" s="223"/>
      <c r="E40" s="222" t="s">
        <v>2319</v>
      </c>
      <c r="F40" s="283" t="s">
        <v>2448</v>
      </c>
      <c r="G40" s="212"/>
      <c r="H40" s="213"/>
      <c r="I40" s="214"/>
    </row>
    <row r="41" spans="1:9" ht="45" customHeight="1">
      <c r="A41" s="323" t="s">
        <v>1985</v>
      </c>
      <c r="B41" s="264" t="s">
        <v>2501</v>
      </c>
      <c r="C41" s="219" t="s">
        <v>15</v>
      </c>
      <c r="D41" s="219"/>
      <c r="E41" s="222" t="s">
        <v>2459</v>
      </c>
      <c r="F41" s="283" t="s">
        <v>2502</v>
      </c>
      <c r="G41" s="212"/>
      <c r="H41" s="213"/>
      <c r="I41" s="214"/>
    </row>
    <row r="42" spans="1:9" ht="45" customHeight="1">
      <c r="A42" s="323" t="s">
        <v>1986</v>
      </c>
      <c r="B42" s="264" t="s">
        <v>2503</v>
      </c>
      <c r="C42" s="281" t="s">
        <v>15</v>
      </c>
      <c r="D42" s="219"/>
      <c r="E42" s="222" t="s">
        <v>2459</v>
      </c>
      <c r="F42" s="283" t="s">
        <v>2504</v>
      </c>
      <c r="G42" s="212"/>
      <c r="H42" s="213"/>
      <c r="I42" s="214"/>
    </row>
    <row r="43" spans="1:9" ht="47.25" customHeight="1">
      <c r="A43" s="323" t="s">
        <v>2234</v>
      </c>
      <c r="B43" s="264" t="s">
        <v>2406</v>
      </c>
      <c r="C43" s="281" t="s">
        <v>16</v>
      </c>
      <c r="D43" s="281"/>
      <c r="E43" s="281" t="s">
        <v>2319</v>
      </c>
      <c r="F43" s="283" t="s">
        <v>2406</v>
      </c>
      <c r="G43" s="212"/>
      <c r="H43" s="213"/>
      <c r="I43" s="214"/>
    </row>
    <row r="44" spans="1:9" ht="87.6" customHeight="1">
      <c r="A44" s="308" t="s">
        <v>2343</v>
      </c>
      <c r="B44" s="265" t="s">
        <v>2478</v>
      </c>
      <c r="C44" s="227" t="s">
        <v>15</v>
      </c>
      <c r="D44" s="227"/>
      <c r="E44" s="227" t="s">
        <v>2319</v>
      </c>
      <c r="F44" s="266" t="s">
        <v>2457</v>
      </c>
      <c r="G44" s="224" t="s">
        <v>2340</v>
      </c>
      <c r="H44" s="225" t="s">
        <v>2341</v>
      </c>
      <c r="I44" s="226" t="s">
        <v>2342</v>
      </c>
    </row>
    <row r="45" spans="1:9" ht="51">
      <c r="A45" s="308" t="s">
        <v>2344</v>
      </c>
      <c r="B45" s="265" t="s">
        <v>2505</v>
      </c>
      <c r="C45" s="227" t="s">
        <v>15</v>
      </c>
      <c r="D45" s="227"/>
      <c r="E45" s="227" t="s">
        <v>2319</v>
      </c>
      <c r="F45" s="266" t="s">
        <v>2479</v>
      </c>
      <c r="G45" s="224" t="s">
        <v>2340</v>
      </c>
      <c r="H45" s="225" t="s">
        <v>2341</v>
      </c>
      <c r="I45" s="226" t="s">
        <v>2342</v>
      </c>
    </row>
    <row r="46" spans="1:9" ht="45" customHeight="1">
      <c r="A46" s="308" t="s">
        <v>2345</v>
      </c>
      <c r="B46" s="265" t="s">
        <v>2506</v>
      </c>
      <c r="C46" s="227" t="s">
        <v>16</v>
      </c>
      <c r="D46" s="227"/>
      <c r="E46" s="227" t="s">
        <v>2319</v>
      </c>
      <c r="F46" s="266" t="s">
        <v>2507</v>
      </c>
      <c r="G46" s="212"/>
      <c r="H46" s="213"/>
      <c r="I46" s="214"/>
    </row>
    <row r="47" spans="1:9" ht="72.75" customHeight="1">
      <c r="A47" s="308" t="s">
        <v>2346</v>
      </c>
      <c r="B47" s="265" t="s">
        <v>2508</v>
      </c>
      <c r="C47" s="227" t="s">
        <v>15</v>
      </c>
      <c r="D47" s="227"/>
      <c r="E47" s="227" t="s">
        <v>2319</v>
      </c>
      <c r="F47" s="266" t="s">
        <v>2509</v>
      </c>
      <c r="G47" s="212"/>
      <c r="H47" s="213"/>
      <c r="I47" s="214"/>
    </row>
    <row r="48" spans="1:9" ht="94.5" customHeight="1">
      <c r="A48" s="308" t="s">
        <v>2348</v>
      </c>
      <c r="B48" s="265" t="s">
        <v>2510</v>
      </c>
      <c r="C48" s="227" t="s">
        <v>15</v>
      </c>
      <c r="D48" s="227"/>
      <c r="E48" s="227" t="s">
        <v>2319</v>
      </c>
      <c r="F48" s="266" t="s">
        <v>2511</v>
      </c>
      <c r="G48" s="212"/>
      <c r="H48" s="213"/>
      <c r="I48" s="214"/>
    </row>
    <row r="49" spans="1:9" ht="54" customHeight="1">
      <c r="A49" s="308" t="s">
        <v>2349</v>
      </c>
      <c r="B49" s="265" t="s">
        <v>2451</v>
      </c>
      <c r="C49" s="227" t="s">
        <v>15</v>
      </c>
      <c r="D49" s="227"/>
      <c r="E49" s="227" t="s">
        <v>2319</v>
      </c>
      <c r="F49" s="266" t="s">
        <v>2452</v>
      </c>
      <c r="G49" s="224" t="s">
        <v>2347</v>
      </c>
      <c r="H49" s="225" t="s">
        <v>62</v>
      </c>
      <c r="I49" s="226" t="s">
        <v>2342</v>
      </c>
    </row>
    <row r="50" spans="1:9" ht="51">
      <c r="A50" s="308" t="s">
        <v>2350</v>
      </c>
      <c r="B50" s="265" t="s">
        <v>2454</v>
      </c>
      <c r="C50" s="310" t="s">
        <v>2485</v>
      </c>
      <c r="D50" s="310"/>
      <c r="E50" s="310" t="s">
        <v>296</v>
      </c>
      <c r="F50" s="266" t="s">
        <v>2453</v>
      </c>
      <c r="G50" s="224" t="s">
        <v>2340</v>
      </c>
      <c r="H50" s="225" t="s">
        <v>62</v>
      </c>
      <c r="I50" s="226" t="s">
        <v>2342</v>
      </c>
    </row>
    <row r="51" spans="1:9" ht="40.5">
      <c r="A51" s="308" t="s">
        <v>2351</v>
      </c>
      <c r="B51" s="265" t="s">
        <v>2455</v>
      </c>
      <c r="C51" s="227" t="s">
        <v>15</v>
      </c>
      <c r="D51" s="227"/>
      <c r="E51" s="227" t="s">
        <v>296</v>
      </c>
      <c r="F51" s="266" t="s">
        <v>2407</v>
      </c>
      <c r="G51" s="212"/>
      <c r="H51" s="213"/>
      <c r="I51" s="214"/>
    </row>
    <row r="52" spans="1:9" ht="61.9" customHeight="1">
      <c r="A52" s="308" t="s">
        <v>2352</v>
      </c>
      <c r="B52" s="267" t="s">
        <v>2408</v>
      </c>
      <c r="C52" s="227" t="s">
        <v>2438</v>
      </c>
      <c r="D52" s="311"/>
      <c r="E52" s="311" t="s">
        <v>2319</v>
      </c>
      <c r="F52" s="266" t="s">
        <v>2409</v>
      </c>
      <c r="G52" s="212"/>
      <c r="H52" s="213"/>
      <c r="I52" s="214"/>
    </row>
    <row r="53" spans="1:9" ht="63" customHeight="1">
      <c r="A53" s="308" t="s">
        <v>2353</v>
      </c>
      <c r="B53" s="267" t="s">
        <v>2429</v>
      </c>
      <c r="C53" s="227" t="s">
        <v>2437</v>
      </c>
      <c r="D53" s="312"/>
      <c r="E53" s="312" t="s">
        <v>2319</v>
      </c>
      <c r="F53" s="266" t="s">
        <v>2410</v>
      </c>
      <c r="G53" s="212"/>
      <c r="H53" s="213"/>
      <c r="I53" s="214"/>
    </row>
    <row r="54" spans="1:9" ht="34.5" customHeight="1">
      <c r="A54" s="308" t="s">
        <v>2354</v>
      </c>
      <c r="B54" s="267" t="s">
        <v>2411</v>
      </c>
      <c r="C54" s="312" t="s">
        <v>15</v>
      </c>
      <c r="D54" s="312"/>
      <c r="E54" s="312" t="s">
        <v>2319</v>
      </c>
      <c r="F54" s="266" t="s">
        <v>2412</v>
      </c>
      <c r="G54" s="212"/>
      <c r="H54" s="213"/>
      <c r="I54" s="214"/>
    </row>
    <row r="55" spans="1:9" ht="45" customHeight="1">
      <c r="A55" s="308" t="s">
        <v>2355</v>
      </c>
      <c r="B55" s="267" t="s">
        <v>2413</v>
      </c>
      <c r="C55" s="312" t="s">
        <v>15</v>
      </c>
      <c r="D55" s="312"/>
      <c r="E55" s="312" t="s">
        <v>2319</v>
      </c>
      <c r="F55" s="266" t="s">
        <v>2414</v>
      </c>
      <c r="G55" s="212"/>
      <c r="H55" s="213"/>
      <c r="I55" s="214"/>
    </row>
    <row r="56" spans="1:9" ht="51">
      <c r="A56" s="308" t="s">
        <v>2356</v>
      </c>
      <c r="B56" s="267" t="s">
        <v>2512</v>
      </c>
      <c r="C56" s="312" t="s">
        <v>15</v>
      </c>
      <c r="D56" s="312"/>
      <c r="E56" s="312" t="s">
        <v>2459</v>
      </c>
      <c r="F56" s="266" t="s">
        <v>2513</v>
      </c>
      <c r="G56" s="224" t="s">
        <v>2340</v>
      </c>
      <c r="H56" s="225" t="s">
        <v>62</v>
      </c>
      <c r="I56" s="226" t="s">
        <v>2342</v>
      </c>
    </row>
    <row r="57" spans="1:9" ht="41.25" customHeight="1">
      <c r="A57" s="308" t="s">
        <v>2357</v>
      </c>
      <c r="B57" s="267" t="s">
        <v>2415</v>
      </c>
      <c r="C57" s="312" t="s">
        <v>16</v>
      </c>
      <c r="D57" s="312"/>
      <c r="E57" s="312" t="s">
        <v>2319</v>
      </c>
      <c r="F57" s="266" t="s">
        <v>2416</v>
      </c>
      <c r="G57" s="212"/>
      <c r="H57" s="213"/>
      <c r="I57" s="214"/>
    </row>
    <row r="58" spans="1:9" ht="40.5">
      <c r="A58" s="313" t="s">
        <v>2358</v>
      </c>
      <c r="B58" s="268" t="s">
        <v>2417</v>
      </c>
      <c r="C58" s="314" t="s">
        <v>15</v>
      </c>
      <c r="D58" s="314"/>
      <c r="E58" s="314" t="s">
        <v>2487</v>
      </c>
      <c r="F58" s="271" t="s">
        <v>2418</v>
      </c>
      <c r="G58" s="212"/>
      <c r="H58" s="213"/>
      <c r="I58" s="214"/>
    </row>
    <row r="59" spans="1:9" ht="36">
      <c r="A59" s="313" t="s">
        <v>2359</v>
      </c>
      <c r="B59" s="268" t="s">
        <v>2480</v>
      </c>
      <c r="C59" s="314" t="s">
        <v>15</v>
      </c>
      <c r="D59" s="314"/>
      <c r="E59" s="314" t="s">
        <v>2487</v>
      </c>
      <c r="F59" s="271" t="s">
        <v>2480</v>
      </c>
      <c r="G59" s="212"/>
      <c r="H59" s="213"/>
      <c r="I59" s="214"/>
    </row>
    <row r="60" spans="1:9" ht="36">
      <c r="A60" s="313" t="s">
        <v>2363</v>
      </c>
      <c r="B60" s="268" t="s">
        <v>2419</v>
      </c>
      <c r="C60" s="315" t="s">
        <v>15</v>
      </c>
      <c r="D60" s="315"/>
      <c r="E60" s="315" t="s">
        <v>296</v>
      </c>
      <c r="F60" s="271" t="s">
        <v>2419</v>
      </c>
      <c r="G60" s="212"/>
      <c r="H60" s="213"/>
      <c r="I60" s="214"/>
    </row>
    <row r="61" spans="1:9" ht="56.45" customHeight="1">
      <c r="A61" s="313" t="s">
        <v>2364</v>
      </c>
      <c r="B61" s="268" t="s">
        <v>2420</v>
      </c>
      <c r="C61" s="315" t="s">
        <v>15</v>
      </c>
      <c r="D61" s="315"/>
      <c r="E61" s="314" t="s">
        <v>2487</v>
      </c>
      <c r="F61" s="271" t="s">
        <v>2421</v>
      </c>
      <c r="G61" s="212"/>
      <c r="H61" s="213"/>
      <c r="I61" s="214"/>
    </row>
    <row r="62" spans="1:9" ht="56.45" customHeight="1">
      <c r="A62" s="313" t="s">
        <v>2366</v>
      </c>
      <c r="B62" s="268" t="s">
        <v>2481</v>
      </c>
      <c r="C62" s="315" t="s">
        <v>15</v>
      </c>
      <c r="D62" s="315"/>
      <c r="E62" s="314" t="s">
        <v>2487</v>
      </c>
      <c r="F62" s="271" t="s">
        <v>2481</v>
      </c>
      <c r="G62" s="212"/>
      <c r="H62" s="213"/>
      <c r="I62" s="214"/>
    </row>
    <row r="63" spans="1:9" ht="56.45" customHeight="1">
      <c r="A63" s="313" t="s">
        <v>2368</v>
      </c>
      <c r="B63" s="269" t="s">
        <v>2430</v>
      </c>
      <c r="C63" s="315" t="s">
        <v>15</v>
      </c>
      <c r="D63" s="315"/>
      <c r="E63" s="315" t="s">
        <v>2319</v>
      </c>
      <c r="F63" s="271" t="s">
        <v>2431</v>
      </c>
      <c r="G63" s="228" t="s">
        <v>2360</v>
      </c>
      <c r="H63" s="229" t="s">
        <v>2361</v>
      </c>
      <c r="I63" s="230" t="s">
        <v>2362</v>
      </c>
    </row>
    <row r="64" spans="1:9" ht="51" customHeight="1">
      <c r="A64" s="313" t="s">
        <v>2369</v>
      </c>
      <c r="B64" s="269" t="s">
        <v>2432</v>
      </c>
      <c r="C64" s="315" t="s">
        <v>15</v>
      </c>
      <c r="D64" s="315"/>
      <c r="E64" s="315" t="s">
        <v>2319</v>
      </c>
      <c r="F64" s="271" t="s">
        <v>2422</v>
      </c>
      <c r="G64" s="228" t="s">
        <v>2360</v>
      </c>
      <c r="H64" s="229" t="s">
        <v>2360</v>
      </c>
      <c r="I64" s="230" t="s">
        <v>2362</v>
      </c>
    </row>
    <row r="65" spans="1:9" ht="44.25" customHeight="1">
      <c r="A65" s="313" t="s">
        <v>2370</v>
      </c>
      <c r="B65" s="269" t="s">
        <v>2423</v>
      </c>
      <c r="C65" s="284" t="s">
        <v>15</v>
      </c>
      <c r="D65" s="284"/>
      <c r="E65" s="315" t="s">
        <v>2319</v>
      </c>
      <c r="F65" s="271" t="s">
        <v>2423</v>
      </c>
      <c r="G65" s="231" t="s">
        <v>2365</v>
      </c>
      <c r="H65" s="229" t="s">
        <v>62</v>
      </c>
      <c r="I65" s="230" t="s">
        <v>2362</v>
      </c>
    </row>
    <row r="66" spans="1:9" ht="64.5" customHeight="1">
      <c r="A66" s="313" t="s">
        <v>2465</v>
      </c>
      <c r="B66" s="269" t="s">
        <v>2424</v>
      </c>
      <c r="C66" s="284" t="s">
        <v>15</v>
      </c>
      <c r="D66" s="284"/>
      <c r="E66" s="315" t="s">
        <v>2319</v>
      </c>
      <c r="F66" s="271" t="s">
        <v>2424</v>
      </c>
      <c r="G66" s="231" t="s">
        <v>2367</v>
      </c>
      <c r="H66" s="229" t="s">
        <v>62</v>
      </c>
      <c r="I66" s="230" t="s">
        <v>2362</v>
      </c>
    </row>
    <row r="67" spans="1:9" ht="45" customHeight="1">
      <c r="A67" s="313" t="s">
        <v>2466</v>
      </c>
      <c r="B67" s="269" t="s">
        <v>2425</v>
      </c>
      <c r="C67" s="284" t="s">
        <v>2436</v>
      </c>
      <c r="D67" s="284"/>
      <c r="E67" s="284" t="s">
        <v>2459</v>
      </c>
      <c r="F67" s="271" t="s">
        <v>2425</v>
      </c>
      <c r="G67" s="212"/>
      <c r="H67" s="213"/>
      <c r="I67" s="214"/>
    </row>
    <row r="68" spans="1:9" ht="72">
      <c r="A68" s="313" t="s">
        <v>2488</v>
      </c>
      <c r="B68" s="269" t="s">
        <v>2514</v>
      </c>
      <c r="C68" s="284" t="s">
        <v>15</v>
      </c>
      <c r="D68" s="284"/>
      <c r="E68" s="284" t="s">
        <v>2459</v>
      </c>
      <c r="F68" s="271" t="s">
        <v>2514</v>
      </c>
      <c r="G68" s="212"/>
      <c r="H68" s="213"/>
      <c r="I68" s="214"/>
    </row>
    <row r="69" spans="1:9" ht="36">
      <c r="A69" s="313" t="s">
        <v>2489</v>
      </c>
      <c r="B69" s="269" t="s">
        <v>2515</v>
      </c>
      <c r="C69" s="317" t="s">
        <v>55</v>
      </c>
      <c r="D69" s="317"/>
      <c r="E69" s="284" t="s">
        <v>296</v>
      </c>
      <c r="F69" s="271" t="s">
        <v>2515</v>
      </c>
      <c r="G69" s="220"/>
      <c r="H69" s="221"/>
      <c r="I69" s="232"/>
    </row>
    <row r="70" spans="1:9" ht="54.75" customHeight="1">
      <c r="A70" s="313" t="s">
        <v>2490</v>
      </c>
      <c r="B70" s="269" t="s">
        <v>2426</v>
      </c>
      <c r="C70" s="317" t="s">
        <v>16</v>
      </c>
      <c r="D70" s="317"/>
      <c r="E70" s="317" t="s">
        <v>2319</v>
      </c>
      <c r="F70" s="271" t="s">
        <v>2426</v>
      </c>
      <c r="G70" s="220"/>
      <c r="H70" s="221"/>
      <c r="I70" s="232"/>
    </row>
    <row r="74" spans="1:9" ht="45" customHeight="1">
      <c r="B74" s="325" t="s">
        <v>1638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9CFF7-5548-4056-B5C9-5FD0F029EB6E}">
  <sheetPr>
    <tabColor rgb="FF92D050"/>
  </sheetPr>
  <dimension ref="A1:F11"/>
  <sheetViews>
    <sheetView view="pageBreakPreview" zoomScale="89" zoomScaleNormal="85" zoomScaleSheetLayoutView="89" workbookViewId="0">
      <selection activeCell="D3" sqref="D3"/>
    </sheetView>
  </sheetViews>
  <sheetFormatPr defaultColWidth="6.75" defaultRowHeight="15.75"/>
  <cols>
    <col min="1" max="1" width="10.75" style="233" customWidth="1"/>
    <col min="2" max="2" width="39.375" style="233" customWidth="1"/>
    <col min="3" max="3" width="19" style="233" customWidth="1"/>
    <col min="4" max="4" width="63.5" style="233" customWidth="1"/>
    <col min="5" max="5" width="40.875" style="235" customWidth="1"/>
    <col min="6" max="16384" width="6.75" style="235"/>
  </cols>
  <sheetData>
    <row r="1" spans="1:6">
      <c r="B1" s="234" t="s">
        <v>2371</v>
      </c>
      <c r="C1" s="234"/>
      <c r="D1" s="234"/>
    </row>
    <row r="2" spans="1:6" ht="39">
      <c r="A2" s="236" t="s">
        <v>71</v>
      </c>
      <c r="B2" s="236" t="s">
        <v>2372</v>
      </c>
      <c r="C2" s="236" t="s">
        <v>72</v>
      </c>
      <c r="D2" s="236" t="s">
        <v>73</v>
      </c>
      <c r="E2" s="236" t="s">
        <v>1303</v>
      </c>
    </row>
    <row r="3" spans="1:6" ht="156">
      <c r="A3" s="237" t="s">
        <v>1314</v>
      </c>
      <c r="B3" s="237" t="s">
        <v>2373</v>
      </c>
      <c r="C3" s="237" t="s">
        <v>2935</v>
      </c>
      <c r="D3" s="238" t="s">
        <v>2936</v>
      </c>
      <c r="E3" s="237" t="s">
        <v>2937</v>
      </c>
    </row>
    <row r="4" spans="1:6" ht="117">
      <c r="A4" s="239" t="s">
        <v>1315</v>
      </c>
      <c r="B4" s="239" t="s">
        <v>2374</v>
      </c>
      <c r="C4" s="239" t="s">
        <v>2938</v>
      </c>
      <c r="D4" s="239" t="s">
        <v>2939</v>
      </c>
      <c r="E4" s="239" t="s">
        <v>2940</v>
      </c>
    </row>
    <row r="5" spans="1:6" ht="220.9" customHeight="1">
      <c r="A5" s="240" t="s">
        <v>1631</v>
      </c>
      <c r="B5" s="240" t="s">
        <v>2516</v>
      </c>
      <c r="C5" s="240" t="s">
        <v>2941</v>
      </c>
      <c r="D5" s="240" t="s">
        <v>2942</v>
      </c>
      <c r="E5" s="240"/>
    </row>
    <row r="6" spans="1:6">
      <c r="E6" s="233"/>
    </row>
    <row r="7" spans="1:6">
      <c r="E7" s="233"/>
    </row>
    <row r="8" spans="1:6" s="233" customFormat="1">
      <c r="F8" s="241"/>
    </row>
    <row r="9" spans="1:6" s="233" customFormat="1"/>
    <row r="10" spans="1:6">
      <c r="E10" s="233"/>
    </row>
    <row r="11" spans="1:6">
      <c r="E11" s="233"/>
    </row>
  </sheetData>
  <pageMargins left="0" right="0" top="0.5" bottom="0.5" header="0.3" footer="0.3"/>
  <pageSetup scale="64"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95"/>
  <sheetViews>
    <sheetView showGridLines="0" topLeftCell="A52" zoomScale="80" zoomScaleNormal="80" workbookViewId="0">
      <selection activeCell="I74" sqref="I74"/>
    </sheetView>
  </sheetViews>
  <sheetFormatPr defaultColWidth="9" defaultRowHeight="15.75"/>
  <cols>
    <col min="1" max="1" width="9.625" style="58" customWidth="1"/>
    <col min="2" max="2" width="17.125" style="58" customWidth="1"/>
    <col min="3" max="3" width="41.125" style="58" customWidth="1"/>
    <col min="4" max="5" width="25.25" style="58" customWidth="1"/>
    <col min="6" max="6" width="27.875" style="58" customWidth="1"/>
    <col min="7" max="7" width="16.375" style="58" customWidth="1"/>
    <col min="8" max="8" width="17.875" style="58" customWidth="1"/>
    <col min="9" max="9" width="13.375" style="58" customWidth="1"/>
    <col min="10" max="12" width="9.625" style="58" customWidth="1"/>
    <col min="13" max="13" width="14.25" style="58" customWidth="1"/>
    <col min="14" max="15" width="17" style="58" customWidth="1"/>
    <col min="16" max="16" width="9.625" style="58" customWidth="1"/>
    <col min="17" max="17" width="13.25" style="58" customWidth="1"/>
    <col min="18" max="18" width="17.125" style="58" customWidth="1"/>
    <col min="19" max="19" width="19" style="58" customWidth="1"/>
    <col min="20" max="21" width="16.125" style="58" customWidth="1"/>
    <col min="22" max="22" width="21.625" style="58" customWidth="1"/>
    <col min="23" max="23" width="19.25" style="58" bestFit="1" customWidth="1"/>
    <col min="24" max="24" width="9.625" style="58" customWidth="1"/>
    <col min="25" max="25" width="30.125" style="58" bestFit="1" customWidth="1"/>
    <col min="26" max="26" width="10.75" style="58" bestFit="1" customWidth="1"/>
    <col min="27" max="37" width="9.25" style="58" customWidth="1"/>
    <col min="38" max="38" width="16.625" style="58" customWidth="1"/>
    <col min="39" max="39" width="16.875" style="58" customWidth="1"/>
    <col min="40" max="40" width="9.25" style="58" customWidth="1"/>
    <col min="41" max="41" width="24.5" style="58" customWidth="1"/>
    <col min="42" max="42" width="22.375" style="58" customWidth="1"/>
    <col min="43" max="43" width="19.25" style="58" bestFit="1" customWidth="1"/>
    <col min="44" max="44" width="9.25" style="58" customWidth="1"/>
    <col min="45" max="45" width="23" style="58" customWidth="1"/>
    <col min="46" max="46" width="9.25" style="58" customWidth="1"/>
    <col min="47" max="47" width="10.375" style="58" customWidth="1"/>
    <col min="48" max="16384" width="9" style="58"/>
  </cols>
  <sheetData>
    <row r="1" spans="2:35">
      <c r="D1" s="180"/>
      <c r="M1"/>
      <c r="N1"/>
      <c r="O1"/>
      <c r="P1"/>
      <c r="Q1"/>
      <c r="R1"/>
      <c r="S1"/>
      <c r="T1"/>
      <c r="U1"/>
      <c r="V1"/>
      <c r="W1"/>
    </row>
    <row r="2" spans="2:35">
      <c r="M2"/>
      <c r="N2"/>
      <c r="O2"/>
      <c r="P2"/>
      <c r="Q2"/>
      <c r="S2"/>
      <c r="T2"/>
      <c r="U2"/>
      <c r="V2"/>
      <c r="W2"/>
    </row>
    <row r="3" spans="2:35">
      <c r="B3" s="793" t="s">
        <v>18</v>
      </c>
      <c r="C3" s="779" t="s">
        <v>2381</v>
      </c>
      <c r="M3" s="778" t="s">
        <v>33</v>
      </c>
      <c r="N3" s="779" t="s">
        <v>33</v>
      </c>
      <c r="Q3"/>
      <c r="R3"/>
      <c r="S3" s="778" t="s">
        <v>33</v>
      </c>
      <c r="T3" s="779" t="s">
        <v>33</v>
      </c>
      <c r="V3"/>
      <c r="W3"/>
      <c r="X3"/>
      <c r="Y3" s="778" t="s">
        <v>33</v>
      </c>
      <c r="Z3" s="779" t="s">
        <v>33</v>
      </c>
      <c r="AE3" s="778" t="s">
        <v>33</v>
      </c>
      <c r="AF3" s="779" t="s">
        <v>33</v>
      </c>
    </row>
    <row r="4" spans="2:35">
      <c r="B4" s="778" t="s">
        <v>33</v>
      </c>
      <c r="C4" s="779" t="s">
        <v>33</v>
      </c>
      <c r="M4" s="778" t="s">
        <v>20</v>
      </c>
      <c r="N4" s="779" t="s">
        <v>1895</v>
      </c>
      <c r="Q4"/>
      <c r="S4" s="778" t="s">
        <v>20</v>
      </c>
      <c r="T4" s="779" t="s">
        <v>1895</v>
      </c>
      <c r="V4"/>
      <c r="Y4" s="778" t="s">
        <v>20</v>
      </c>
      <c r="Z4" s="779" t="s">
        <v>1895</v>
      </c>
      <c r="AE4" s="778" t="s">
        <v>20</v>
      </c>
      <c r="AF4" s="779" t="s">
        <v>1895</v>
      </c>
    </row>
    <row r="5" spans="2:35">
      <c r="B5" s="778" t="s">
        <v>126</v>
      </c>
      <c r="C5" s="779" t="s">
        <v>796</v>
      </c>
      <c r="I5" s="59"/>
      <c r="J5" s="59"/>
      <c r="K5" s="59"/>
      <c r="L5" s="59"/>
      <c r="M5" s="778" t="s">
        <v>126</v>
      </c>
      <c r="N5" s="779" t="s">
        <v>796</v>
      </c>
      <c r="Q5"/>
      <c r="S5" s="778" t="s">
        <v>126</v>
      </c>
      <c r="T5" s="779" t="s">
        <v>1641</v>
      </c>
      <c r="V5"/>
      <c r="Y5" s="778" t="s">
        <v>126</v>
      </c>
      <c r="Z5" s="779" t="s">
        <v>796</v>
      </c>
      <c r="AE5" s="778" t="s">
        <v>126</v>
      </c>
      <c r="AF5" s="779" t="s">
        <v>1641</v>
      </c>
    </row>
    <row r="6" spans="2:35">
      <c r="M6"/>
      <c r="N6"/>
      <c r="O6" t="s">
        <v>2684</v>
      </c>
      <c r="P6"/>
      <c r="Q6"/>
      <c r="S6"/>
      <c r="T6"/>
      <c r="U6" t="s">
        <v>2121</v>
      </c>
      <c r="V6"/>
      <c r="Y6"/>
      <c r="Z6"/>
      <c r="AA6" t="s">
        <v>2122</v>
      </c>
      <c r="AE6" s="431"/>
      <c r="AF6" s="431"/>
      <c r="AG6" s="431" t="s">
        <v>2685</v>
      </c>
    </row>
    <row r="7" spans="2:35" ht="63">
      <c r="B7" s="792" t="s">
        <v>1640</v>
      </c>
      <c r="C7" s="796" t="s">
        <v>1660</v>
      </c>
      <c r="D7" s="797" t="s">
        <v>2531</v>
      </c>
      <c r="E7" s="799" t="s">
        <v>2532</v>
      </c>
      <c r="F7" s="801" t="s">
        <v>2533</v>
      </c>
      <c r="G7" s="803" t="s">
        <v>3010</v>
      </c>
      <c r="H7" s="803" t="s">
        <v>2964</v>
      </c>
      <c r="I7"/>
      <c r="J7"/>
      <c r="K7" s="431"/>
      <c r="M7" s="779"/>
      <c r="N7" s="782" t="s">
        <v>1660</v>
      </c>
      <c r="O7" s="783" t="s">
        <v>2531</v>
      </c>
      <c r="P7" s="779" t="s">
        <v>2532</v>
      </c>
      <c r="Q7" s="779" t="s">
        <v>2533</v>
      </c>
      <c r="S7" s="779"/>
      <c r="T7" s="782" t="s">
        <v>1660</v>
      </c>
      <c r="U7" s="783" t="s">
        <v>2531</v>
      </c>
      <c r="V7" s="779" t="s">
        <v>2532</v>
      </c>
      <c r="W7" s="779" t="s">
        <v>2533</v>
      </c>
      <c r="Y7" s="779"/>
      <c r="Z7" s="782" t="s">
        <v>1660</v>
      </c>
      <c r="AA7" s="783" t="s">
        <v>2531</v>
      </c>
      <c r="AB7" s="779" t="s">
        <v>2532</v>
      </c>
      <c r="AC7" s="779" t="s">
        <v>2533</v>
      </c>
      <c r="AE7" s="779"/>
      <c r="AF7" s="782" t="s">
        <v>1660</v>
      </c>
      <c r="AG7" s="783" t="s">
        <v>2531</v>
      </c>
      <c r="AH7" s="779" t="s">
        <v>2532</v>
      </c>
      <c r="AI7" s="779" t="s">
        <v>2533</v>
      </c>
    </row>
    <row r="8" spans="2:35">
      <c r="B8" s="784" t="s">
        <v>2687</v>
      </c>
      <c r="C8" s="795">
        <v>232523</v>
      </c>
      <c r="D8" s="794">
        <v>53588</v>
      </c>
      <c r="E8" s="798">
        <v>17120</v>
      </c>
      <c r="F8" s="800">
        <v>17135</v>
      </c>
      <c r="G8" s="802">
        <v>8961</v>
      </c>
      <c r="H8" s="802">
        <v>98922</v>
      </c>
      <c r="I8"/>
      <c r="J8"/>
      <c r="K8" s="431"/>
      <c r="M8" s="779" t="s">
        <v>2380</v>
      </c>
      <c r="N8" s="780">
        <v>226799</v>
      </c>
      <c r="O8" s="781">
        <v>45912</v>
      </c>
      <c r="P8" s="781">
        <v>10669</v>
      </c>
      <c r="Q8" s="781">
        <v>14937</v>
      </c>
      <c r="S8" s="779" t="s">
        <v>1642</v>
      </c>
      <c r="T8" s="780"/>
      <c r="U8" s="781"/>
      <c r="V8" s="781"/>
      <c r="W8" s="781"/>
      <c r="Y8" s="779" t="s">
        <v>2380</v>
      </c>
      <c r="Z8" s="780">
        <v>226799</v>
      </c>
      <c r="AA8" s="781">
        <v>45912</v>
      </c>
      <c r="AB8" s="781">
        <v>10669</v>
      </c>
      <c r="AC8" s="781">
        <v>14937</v>
      </c>
      <c r="AE8" s="779" t="s">
        <v>1642</v>
      </c>
      <c r="AF8" s="780"/>
      <c r="AG8" s="781"/>
      <c r="AH8" s="781"/>
      <c r="AI8" s="781"/>
    </row>
    <row r="9" spans="2:35">
      <c r="B9" s="784" t="s">
        <v>2686</v>
      </c>
      <c r="C9" s="795">
        <v>155331</v>
      </c>
      <c r="D9" s="794">
        <v>27546</v>
      </c>
      <c r="E9" s="798">
        <v>9428</v>
      </c>
      <c r="F9" s="800">
        <v>98982</v>
      </c>
      <c r="G9" s="802">
        <v>98982</v>
      </c>
      <c r="H9" s="802">
        <v>7509</v>
      </c>
      <c r="I9"/>
      <c r="J9"/>
      <c r="K9" s="431"/>
      <c r="M9" s="779" t="s">
        <v>2381</v>
      </c>
      <c r="N9" s="780">
        <v>387854</v>
      </c>
      <c r="O9" s="781">
        <v>81134</v>
      </c>
      <c r="P9" s="781">
        <v>26548</v>
      </c>
      <c r="Q9" s="781">
        <v>116117</v>
      </c>
      <c r="S9"/>
      <c r="T9"/>
      <c r="U9"/>
      <c r="V9"/>
      <c r="W9"/>
      <c r="Y9" s="779" t="s">
        <v>2381</v>
      </c>
      <c r="Z9" s="780">
        <v>387854</v>
      </c>
      <c r="AA9" s="781">
        <v>81134</v>
      </c>
      <c r="AB9" s="781">
        <v>26548</v>
      </c>
      <c r="AC9" s="781">
        <v>116117</v>
      </c>
      <c r="AE9"/>
      <c r="AF9"/>
      <c r="AG9"/>
      <c r="AH9"/>
      <c r="AI9"/>
    </row>
    <row r="10" spans="2:35">
      <c r="B10" s="784" t="s">
        <v>1642</v>
      </c>
      <c r="C10" s="795">
        <v>387854</v>
      </c>
      <c r="D10" s="794">
        <v>81134</v>
      </c>
      <c r="E10" s="798">
        <v>26548</v>
      </c>
      <c r="F10" s="800">
        <v>116117</v>
      </c>
      <c r="G10" s="802">
        <v>107943</v>
      </c>
      <c r="H10" s="802">
        <v>106431</v>
      </c>
      <c r="I10"/>
      <c r="J10"/>
      <c r="M10" s="779" t="s">
        <v>1642</v>
      </c>
      <c r="N10" s="780">
        <v>614653</v>
      </c>
      <c r="O10" s="791">
        <v>127046</v>
      </c>
      <c r="P10" s="781">
        <v>37217</v>
      </c>
      <c r="Q10" s="781">
        <v>131054</v>
      </c>
      <c r="R10"/>
      <c r="S10"/>
      <c r="T10"/>
      <c r="U10"/>
      <c r="W10"/>
      <c r="X10"/>
      <c r="Y10" s="779" t="s">
        <v>1642</v>
      </c>
      <c r="Z10" s="780">
        <v>614653</v>
      </c>
      <c r="AA10" s="781">
        <v>127046</v>
      </c>
      <c r="AB10" s="781">
        <v>37217</v>
      </c>
      <c r="AC10" s="781">
        <v>131054</v>
      </c>
    </row>
    <row r="11" spans="2:35">
      <c r="B11"/>
      <c r="C11"/>
      <c r="D11"/>
      <c r="E11"/>
      <c r="F11"/>
      <c r="G11"/>
      <c r="H11"/>
      <c r="I11"/>
      <c r="J11"/>
      <c r="M11"/>
      <c r="N11"/>
      <c r="O11"/>
      <c r="P11"/>
      <c r="R11"/>
      <c r="S11"/>
      <c r="T11"/>
      <c r="U11"/>
      <c r="W11"/>
      <c r="X11"/>
      <c r="Y11"/>
      <c r="Z11"/>
    </row>
    <row r="12" spans="2:35">
      <c r="C12" s="169"/>
      <c r="D12" s="465">
        <f>GETPIVOTDATA(" HRP1",$B$7)+GETPIVOTDATA(" HRP2",$B$7)+GETPIVOTDATA(" HRP3",$B$7)</f>
        <v>223799</v>
      </c>
      <c r="E12" s="169"/>
      <c r="F12" s="169"/>
      <c r="M12"/>
      <c r="N12"/>
      <c r="O12"/>
      <c r="P12"/>
      <c r="R12"/>
      <c r="S12"/>
      <c r="T12"/>
      <c r="U12"/>
      <c r="W12"/>
      <c r="X12"/>
      <c r="Y12"/>
      <c r="Z12"/>
    </row>
    <row r="13" spans="2:35" ht="16.5" thickBot="1">
      <c r="C13" s="169"/>
      <c r="D13" s="466">
        <f>D1+D12</f>
        <v>223799</v>
      </c>
      <c r="E13" s="169"/>
      <c r="F13" s="169"/>
    </row>
    <row r="14" spans="2:35" ht="32.25" thickBot="1">
      <c r="G14" s="61"/>
      <c r="J14" s="152" t="s">
        <v>1921</v>
      </c>
      <c r="K14" s="153"/>
      <c r="L14" s="871" t="s">
        <v>1922</v>
      </c>
      <c r="M14" s="871"/>
      <c r="N14" s="872"/>
    </row>
    <row r="15" spans="2:35" ht="60" customHeight="1">
      <c r="C15" s="87" t="s">
        <v>1643</v>
      </c>
      <c r="D15" s="88" t="s">
        <v>1644</v>
      </c>
      <c r="E15" s="88" t="s">
        <v>1645</v>
      </c>
      <c r="F15" s="89" t="s">
        <v>2961</v>
      </c>
      <c r="G15" s="90" t="s">
        <v>2962</v>
      </c>
      <c r="H15" s="90" t="s">
        <v>2008</v>
      </c>
      <c r="I15" s="90" t="s">
        <v>2009</v>
      </c>
      <c r="J15" s="84" t="s">
        <v>1646</v>
      </c>
      <c r="K15" s="85" t="s">
        <v>1647</v>
      </c>
      <c r="L15" s="85" t="s">
        <v>1648</v>
      </c>
      <c r="M15" s="85" t="s">
        <v>1649</v>
      </c>
      <c r="N15" s="86" t="s">
        <v>1650</v>
      </c>
      <c r="O15" s="90" t="s">
        <v>1652</v>
      </c>
    </row>
    <row r="16" spans="2:35" ht="25.5" customHeight="1">
      <c r="C16" s="884" t="s">
        <v>2373</v>
      </c>
      <c r="D16" s="665" t="s">
        <v>2687</v>
      </c>
      <c r="E16" s="666">
        <f>391005-128141</f>
        <v>262864</v>
      </c>
      <c r="F16" s="666">
        <f>254472-111059</f>
        <v>143413</v>
      </c>
      <c r="G16" s="667">
        <f>GETPIVOTDATA(" HRP1",$B$7,"State","Central Rakhine")</f>
        <v>53588</v>
      </c>
      <c r="H16" s="668">
        <f t="shared" ref="H16:H26" si="0">G16/F16</f>
        <v>0.37366208084343816</v>
      </c>
      <c r="I16" s="668">
        <f t="shared" ref="I16:I22" si="1">1-H16</f>
        <v>0.6263379191565619</v>
      </c>
      <c r="J16" s="669">
        <f t="shared" ref="J16:J22" si="2">G16*0.45</f>
        <v>24114.600000000002</v>
      </c>
      <c r="K16" s="666">
        <f t="shared" ref="K16:K22" si="3">G16*0.55</f>
        <v>29473.4</v>
      </c>
      <c r="L16" s="666">
        <f t="shared" ref="L16:L22" si="4">G16*0.35</f>
        <v>18755.8</v>
      </c>
      <c r="M16" s="666">
        <f t="shared" ref="M16:M22" si="5">G16*0.4</f>
        <v>21435.200000000001</v>
      </c>
      <c r="N16" s="667">
        <f t="shared" ref="N16:N22" si="6">G16*0.25</f>
        <v>13397</v>
      </c>
      <c r="O16" s="667">
        <f t="shared" ref="O16:O22" si="7">F16-G16</f>
        <v>89825</v>
      </c>
    </row>
    <row r="17" spans="2:15" ht="42.75" customHeight="1">
      <c r="C17" s="885"/>
      <c r="D17" s="670" t="s">
        <v>2686</v>
      </c>
      <c r="E17" s="671">
        <v>324000</v>
      </c>
      <c r="F17" s="671">
        <f>76000+40064</f>
        <v>116064</v>
      </c>
      <c r="G17" s="672">
        <f>GETPIVOTDATA(" HRP1",$B$7,"State","Northern Rakhine")</f>
        <v>27546</v>
      </c>
      <c r="H17" s="673">
        <f t="shared" si="0"/>
        <v>0.23733457402812241</v>
      </c>
      <c r="I17" s="673">
        <f>1-H17</f>
        <v>0.76266542597187759</v>
      </c>
      <c r="J17" s="674">
        <f>G17*0.45</f>
        <v>12395.7</v>
      </c>
      <c r="K17" s="671">
        <f>G17*0.55</f>
        <v>15150.300000000001</v>
      </c>
      <c r="L17" s="671">
        <f>G17*0.35</f>
        <v>9641.0999999999985</v>
      </c>
      <c r="M17" s="671">
        <f>G17*0.4</f>
        <v>11018.400000000001</v>
      </c>
      <c r="N17" s="672">
        <f>G17*0.25</f>
        <v>6886.5</v>
      </c>
      <c r="O17" s="672">
        <f>F17-G17</f>
        <v>88518</v>
      </c>
    </row>
    <row r="18" spans="2:15" ht="42.75" customHeight="1">
      <c r="C18" s="886"/>
      <c r="D18" s="663" t="s">
        <v>1904</v>
      </c>
      <c r="E18" s="664">
        <f>SUM(E16:E17)</f>
        <v>586864</v>
      </c>
      <c r="F18" s="664">
        <f>SUM(F16:F17)</f>
        <v>259477</v>
      </c>
      <c r="G18" s="664">
        <f>SUM(G16:G17)</f>
        <v>81134</v>
      </c>
      <c r="H18" s="664">
        <f t="shared" si="0"/>
        <v>0.31268281967187844</v>
      </c>
      <c r="I18" s="664">
        <f>1-H18</f>
        <v>0.6873171803281215</v>
      </c>
      <c r="J18" s="664">
        <f>G18*0.45</f>
        <v>36510.300000000003</v>
      </c>
      <c r="K18" s="664">
        <f>G18*0.55</f>
        <v>44623.700000000004</v>
      </c>
      <c r="L18" s="664">
        <f>G18*0.35</f>
        <v>28396.899999999998</v>
      </c>
      <c r="M18" s="664">
        <f>G18*0.4</f>
        <v>32453.600000000002</v>
      </c>
      <c r="N18" s="664">
        <f>G18*0.25</f>
        <v>20283.5</v>
      </c>
      <c r="O18" s="664">
        <f>F18-G18</f>
        <v>178343</v>
      </c>
    </row>
    <row r="19" spans="2:15" ht="25.5" customHeight="1">
      <c r="C19" s="881" t="s">
        <v>2374</v>
      </c>
      <c r="D19" s="675" t="s">
        <v>2687</v>
      </c>
      <c r="E19" s="676">
        <v>262864</v>
      </c>
      <c r="F19" s="676">
        <f>254472-111059</f>
        <v>143413</v>
      </c>
      <c r="G19" s="677">
        <f>GETPIVOTDATA(" HRP2",$B$7,"State","Central Rakhine")</f>
        <v>17120</v>
      </c>
      <c r="H19" s="678">
        <f t="shared" si="0"/>
        <v>0.11937550989101406</v>
      </c>
      <c r="I19" s="678">
        <f t="shared" si="1"/>
        <v>0.88062449010898591</v>
      </c>
      <c r="J19" s="679">
        <f t="shared" si="2"/>
        <v>7704</v>
      </c>
      <c r="K19" s="676">
        <f t="shared" si="3"/>
        <v>9416</v>
      </c>
      <c r="L19" s="676">
        <f t="shared" si="4"/>
        <v>5992</v>
      </c>
      <c r="M19" s="676">
        <f t="shared" si="5"/>
        <v>6848</v>
      </c>
      <c r="N19" s="680">
        <f t="shared" si="6"/>
        <v>4280</v>
      </c>
      <c r="O19" s="680">
        <f t="shared" si="7"/>
        <v>126293</v>
      </c>
    </row>
    <row r="20" spans="2:15" ht="25.5" customHeight="1">
      <c r="C20" s="882"/>
      <c r="D20" s="681" t="s">
        <v>2686</v>
      </c>
      <c r="E20" s="682">
        <v>324000</v>
      </c>
      <c r="F20" s="682">
        <f>76000+40064</f>
        <v>116064</v>
      </c>
      <c r="G20" s="683">
        <f>GETPIVOTDATA(" HRP2",$B$7,"State","Northern Rakhine")</f>
        <v>9428</v>
      </c>
      <c r="H20" s="684">
        <f t="shared" si="0"/>
        <v>8.1231044940722363E-2</v>
      </c>
      <c r="I20" s="684">
        <f>1-H20</f>
        <v>0.91876895505927769</v>
      </c>
      <c r="J20" s="685">
        <f>G20*0.45</f>
        <v>4242.6000000000004</v>
      </c>
      <c r="K20" s="682">
        <f>G20*0.55</f>
        <v>5185.4000000000005</v>
      </c>
      <c r="L20" s="682">
        <f>G20*0.35</f>
        <v>3299.7999999999997</v>
      </c>
      <c r="M20" s="682">
        <f>G20*0.4</f>
        <v>3771.2000000000003</v>
      </c>
      <c r="N20" s="686">
        <f>G20*0.25</f>
        <v>2357</v>
      </c>
      <c r="O20" s="686">
        <f>F20-G20</f>
        <v>106636</v>
      </c>
    </row>
    <row r="21" spans="2:15" ht="25.5" customHeight="1">
      <c r="C21" s="883"/>
      <c r="D21" s="698" t="s">
        <v>1904</v>
      </c>
      <c r="E21" s="699">
        <f>SUM(E19:E20)</f>
        <v>586864</v>
      </c>
      <c r="F21" s="699">
        <f>SUM(F19:F20)</f>
        <v>259477</v>
      </c>
      <c r="G21" s="699">
        <f>SUM(G19:G20)</f>
        <v>26548</v>
      </c>
      <c r="H21" s="700">
        <f t="shared" si="0"/>
        <v>0.1023134998477707</v>
      </c>
      <c r="I21" s="700">
        <f>1-H21</f>
        <v>0.89768650015222928</v>
      </c>
      <c r="J21" s="701">
        <f>G21*0.45</f>
        <v>11946.6</v>
      </c>
      <c r="K21" s="699">
        <f>G21*0.55</f>
        <v>14601.400000000001</v>
      </c>
      <c r="L21" s="699">
        <f>G21*0.35</f>
        <v>9291.7999999999993</v>
      </c>
      <c r="M21" s="699">
        <f>G21*0.4</f>
        <v>10619.2</v>
      </c>
      <c r="N21" s="702">
        <f>G21*0.25</f>
        <v>6637</v>
      </c>
      <c r="O21" s="702">
        <f>F21-G21</f>
        <v>232929</v>
      </c>
    </row>
    <row r="22" spans="2:15" ht="25.5" customHeight="1">
      <c r="C22" s="887" t="s">
        <v>2516</v>
      </c>
      <c r="D22" s="687" t="s">
        <v>2687</v>
      </c>
      <c r="E22" s="688">
        <v>262864</v>
      </c>
      <c r="F22" s="688">
        <f>254472-111059</f>
        <v>143413</v>
      </c>
      <c r="G22" s="689">
        <f>GETPIVOTDATA(" HRP3",$B$7,"State","Central Rakhine")+63865</f>
        <v>81000</v>
      </c>
      <c r="H22" s="690">
        <f t="shared" si="0"/>
        <v>0.56480235404042867</v>
      </c>
      <c r="I22" s="690">
        <f t="shared" si="1"/>
        <v>0.43519764595957133</v>
      </c>
      <c r="J22" s="691">
        <f t="shared" si="2"/>
        <v>36450</v>
      </c>
      <c r="K22" s="688">
        <f t="shared" si="3"/>
        <v>44550</v>
      </c>
      <c r="L22" s="688">
        <f t="shared" si="4"/>
        <v>28350</v>
      </c>
      <c r="M22" s="688">
        <f t="shared" si="5"/>
        <v>32400</v>
      </c>
      <c r="N22" s="692">
        <f t="shared" si="6"/>
        <v>20250</v>
      </c>
      <c r="O22" s="692">
        <f t="shared" si="7"/>
        <v>62413</v>
      </c>
    </row>
    <row r="23" spans="2:15" ht="31.5" customHeight="1">
      <c r="C23" s="888"/>
      <c r="D23" s="687" t="s">
        <v>2686</v>
      </c>
      <c r="E23" s="688">
        <v>324000</v>
      </c>
      <c r="F23" s="688">
        <f>76000+40064</f>
        <v>116064</v>
      </c>
      <c r="G23" s="689">
        <f>GETPIVOTDATA(" HRP3",$B$7,"State","Northern Rakhine")</f>
        <v>98982</v>
      </c>
      <c r="H23" s="690">
        <f t="shared" si="0"/>
        <v>0.85282258064516125</v>
      </c>
      <c r="I23" s="690">
        <f t="shared" ref="I23:I30" si="8">1-H23</f>
        <v>0.14717741935483875</v>
      </c>
      <c r="J23" s="691">
        <f>G23*0.45</f>
        <v>44541.9</v>
      </c>
      <c r="K23" s="688">
        <f>G23*0.55</f>
        <v>54440.100000000006</v>
      </c>
      <c r="L23" s="688">
        <f>G23*0.35</f>
        <v>34643.699999999997</v>
      </c>
      <c r="M23" s="688">
        <f>G23*0.4</f>
        <v>39592.800000000003</v>
      </c>
      <c r="N23" s="692">
        <f>G23*0.25</f>
        <v>24745.5</v>
      </c>
      <c r="O23" s="692">
        <f>F23-G23</f>
        <v>17082</v>
      </c>
    </row>
    <row r="24" spans="2:15" ht="31.5" customHeight="1">
      <c r="C24" s="889"/>
      <c r="D24" s="703" t="s">
        <v>1904</v>
      </c>
      <c r="E24" s="706">
        <f>SUM(E22:E23)</f>
        <v>586864</v>
      </c>
      <c r="F24" s="706">
        <f>SUM(F22:F23)</f>
        <v>259477</v>
      </c>
      <c r="G24" s="706">
        <f>SUM(G22:G23)</f>
        <v>179982</v>
      </c>
      <c r="H24" s="704">
        <f t="shared" si="0"/>
        <v>0.69363373246954452</v>
      </c>
      <c r="I24" s="704">
        <f t="shared" si="8"/>
        <v>0.30636626753045548</v>
      </c>
      <c r="J24" s="705">
        <f>G24*0.45</f>
        <v>80991.900000000009</v>
      </c>
      <c r="K24" s="706">
        <f>G24*0.55</f>
        <v>98990.1</v>
      </c>
      <c r="L24" s="706">
        <f>G24*0.35</f>
        <v>62993.7</v>
      </c>
      <c r="M24" s="706">
        <f>G24*0.4</f>
        <v>71992.800000000003</v>
      </c>
      <c r="N24" s="707">
        <f>G24*0.25</f>
        <v>44995.5</v>
      </c>
      <c r="O24" s="707">
        <f>F24-G24</f>
        <v>79495</v>
      </c>
    </row>
    <row r="25" spans="2:15" ht="31.5" customHeight="1">
      <c r="B25" s="894" t="s">
        <v>2965</v>
      </c>
      <c r="C25" s="890" t="s">
        <v>2690</v>
      </c>
      <c r="D25" s="693" t="s">
        <v>2687</v>
      </c>
      <c r="E25" s="711">
        <v>262864</v>
      </c>
      <c r="F25" s="711">
        <f>254472-111059</f>
        <v>143413</v>
      </c>
      <c r="G25" s="695">
        <f>GETPIVOTDATA(" # People received regular supply of hygiene items",$B$7,"State","Central Rakhine")+63865</f>
        <v>72826</v>
      </c>
      <c r="H25" s="696">
        <f t="shared" si="0"/>
        <v>0.50780612636232425</v>
      </c>
      <c r="I25" s="696">
        <f t="shared" si="8"/>
        <v>0.49219387363767575</v>
      </c>
      <c r="J25" s="697">
        <f>G25*0.45</f>
        <v>32771.700000000004</v>
      </c>
      <c r="K25" s="694">
        <f>G25*0.55</f>
        <v>40054.300000000003</v>
      </c>
      <c r="L25" s="694">
        <f>G25*0.35</f>
        <v>25489.1</v>
      </c>
      <c r="M25" s="694">
        <f>G25*0.4</f>
        <v>29130.400000000001</v>
      </c>
      <c r="N25" s="695">
        <f>G25*0.25</f>
        <v>18206.5</v>
      </c>
      <c r="O25" s="695">
        <f>F25-G25</f>
        <v>70587</v>
      </c>
    </row>
    <row r="26" spans="2:15">
      <c r="B26" s="894"/>
      <c r="C26" s="891"/>
      <c r="D26" s="693" t="s">
        <v>2686</v>
      </c>
      <c r="E26" s="711">
        <v>324000</v>
      </c>
      <c r="F26" s="711">
        <f>76000+40064</f>
        <v>116064</v>
      </c>
      <c r="G26" s="695">
        <f>GETPIVOTDATA(" # People received regular supply of hygiene items",$B$7,"State","Northern Rakhine")</f>
        <v>98982</v>
      </c>
      <c r="H26" s="696">
        <f t="shared" si="0"/>
        <v>0.85282258064516125</v>
      </c>
      <c r="I26" s="696">
        <f t="shared" si="8"/>
        <v>0.14717741935483875</v>
      </c>
      <c r="J26" s="697">
        <f>G26*0.45</f>
        <v>44541.9</v>
      </c>
      <c r="K26" s="694">
        <f>G26*0.55</f>
        <v>54440.100000000006</v>
      </c>
      <c r="L26" s="694">
        <f>G26*0.35</f>
        <v>34643.699999999997</v>
      </c>
      <c r="M26" s="694">
        <f>G26*0.4</f>
        <v>39592.800000000003</v>
      </c>
      <c r="N26" s="695">
        <f>G26*0.25</f>
        <v>24745.5</v>
      </c>
      <c r="O26" s="695">
        <f>F26-G26</f>
        <v>17082</v>
      </c>
    </row>
    <row r="27" spans="2:15">
      <c r="B27" s="894"/>
      <c r="C27" s="893"/>
      <c r="D27" s="708" t="s">
        <v>1904</v>
      </c>
      <c r="E27" s="709">
        <f>SUM(E25:E26)</f>
        <v>586864</v>
      </c>
      <c r="F27" s="709">
        <f>SUM(F25:F26)</f>
        <v>259477</v>
      </c>
      <c r="G27" s="709">
        <f>SUM(G25:G26)</f>
        <v>171808</v>
      </c>
      <c r="H27" s="710">
        <f>G27/F27</f>
        <v>0.66213190379108744</v>
      </c>
      <c r="I27" s="710">
        <f t="shared" si="8"/>
        <v>0.33786809620891256</v>
      </c>
      <c r="J27" s="709"/>
      <c r="K27" s="709"/>
      <c r="L27" s="709"/>
      <c r="M27" s="709"/>
      <c r="N27" s="709"/>
      <c r="O27" s="709"/>
    </row>
    <row r="28" spans="2:15">
      <c r="B28" s="894"/>
      <c r="C28" s="890" t="s">
        <v>2963</v>
      </c>
      <c r="D28" s="693" t="s">
        <v>2687</v>
      </c>
      <c r="E28" s="711"/>
      <c r="F28" s="711">
        <v>50226</v>
      </c>
      <c r="G28" s="695">
        <f>GETPIVOTDATA("  #of students in school",$B$7,"State","Central Rakhine")</f>
        <v>98922</v>
      </c>
      <c r="H28" s="696">
        <f>G28/F28</f>
        <v>1.9695376896428145</v>
      </c>
      <c r="I28" s="696">
        <f t="shared" si="8"/>
        <v>-0.9695376896428145</v>
      </c>
      <c r="J28" s="697">
        <f>G28*0.45</f>
        <v>44514.9</v>
      </c>
      <c r="K28" s="694">
        <f>G28*0.55</f>
        <v>54407.100000000006</v>
      </c>
      <c r="L28" s="694">
        <f>G28*0.35</f>
        <v>34622.699999999997</v>
      </c>
      <c r="M28" s="694">
        <f>G28*0.4</f>
        <v>39568.800000000003</v>
      </c>
      <c r="N28" s="695">
        <f>G28*0.25</f>
        <v>24730.5</v>
      </c>
      <c r="O28" s="695">
        <f>F28-G28</f>
        <v>-48696</v>
      </c>
    </row>
    <row r="29" spans="2:15">
      <c r="B29" s="894"/>
      <c r="C29" s="891"/>
      <c r="D29" s="693" t="s">
        <v>2686</v>
      </c>
      <c r="E29" s="711"/>
      <c r="F29" s="711">
        <v>11670</v>
      </c>
      <c r="G29" s="695">
        <f>GETPIVOTDATA("  #of students in school",$B$7,"State","Northern Rakhine")+44128</f>
        <v>51637</v>
      </c>
      <c r="H29" s="696">
        <f>G29/F29</f>
        <v>4.4247643530419882</v>
      </c>
      <c r="I29" s="696">
        <f t="shared" si="8"/>
        <v>-3.4247643530419882</v>
      </c>
      <c r="J29" s="697">
        <f>G29*0.45</f>
        <v>23236.65</v>
      </c>
      <c r="K29" s="694">
        <f>G29*0.55</f>
        <v>28400.350000000002</v>
      </c>
      <c r="L29" s="694">
        <f>G29*0.35</f>
        <v>18072.949999999997</v>
      </c>
      <c r="M29" s="694">
        <f>G29*0.4</f>
        <v>20654.800000000003</v>
      </c>
      <c r="N29" s="695">
        <f>G29*0.25</f>
        <v>12909.25</v>
      </c>
      <c r="O29" s="695">
        <f>F29-G29</f>
        <v>-39967</v>
      </c>
    </row>
    <row r="30" spans="2:15" ht="16.5" thickBot="1">
      <c r="B30" s="894"/>
      <c r="C30" s="892"/>
      <c r="D30" s="708" t="s">
        <v>1904</v>
      </c>
      <c r="E30" s="709">
        <f>SUM(E28:E29)</f>
        <v>0</v>
      </c>
      <c r="F30" s="709">
        <f>SUM(F28:F29)</f>
        <v>61896</v>
      </c>
      <c r="G30" s="709">
        <f>SUM(G28:G29)</f>
        <v>150559</v>
      </c>
      <c r="H30" s="710">
        <f>G30/F30</f>
        <v>2.4324512084787386</v>
      </c>
      <c r="I30" s="710">
        <f t="shared" si="8"/>
        <v>-1.4324512084787386</v>
      </c>
      <c r="J30" s="709"/>
      <c r="K30" s="709"/>
      <c r="L30" s="709"/>
      <c r="M30" s="709"/>
      <c r="N30" s="709"/>
      <c r="O30" s="709"/>
    </row>
    <row r="31" spans="2:15">
      <c r="G31" s="61"/>
    </row>
    <row r="32" spans="2:15">
      <c r="G32" s="61"/>
    </row>
    <row r="34" spans="2:18">
      <c r="C34" s="81" t="s">
        <v>43</v>
      </c>
      <c r="D34" s="82"/>
      <c r="E34" s="82"/>
      <c r="F34" s="82"/>
      <c r="G34" s="82"/>
      <c r="H34" s="82"/>
      <c r="I34" s="82"/>
      <c r="J34" s="82"/>
      <c r="K34" s="82"/>
      <c r="L34" s="82"/>
      <c r="M34" s="82"/>
      <c r="N34" s="82"/>
      <c r="O34" s="82"/>
      <c r="P34" s="82"/>
      <c r="Q34" s="82"/>
      <c r="R34" s="83"/>
    </row>
    <row r="35" spans="2:18" s="169" customFormat="1"/>
    <row r="36" spans="2:18" ht="39" customHeight="1">
      <c r="C36" s="875" t="s">
        <v>2534</v>
      </c>
      <c r="D36" s="876"/>
      <c r="E36" s="876"/>
    </row>
    <row r="37" spans="2:18">
      <c r="C37" s="77" t="s">
        <v>1658</v>
      </c>
      <c r="D37" s="154" t="s">
        <v>1651</v>
      </c>
      <c r="E37" s="156" t="s">
        <v>1652</v>
      </c>
    </row>
    <row r="38" spans="2:18" ht="15.75" customHeight="1">
      <c r="B38" s="80" t="s">
        <v>2687</v>
      </c>
      <c r="C38" s="60">
        <v>254472</v>
      </c>
      <c r="D38" s="155">
        <f>G16</f>
        <v>53588</v>
      </c>
      <c r="E38" s="156">
        <f>C38-D38</f>
        <v>200884</v>
      </c>
      <c r="F38" s="68"/>
    </row>
    <row r="39" spans="2:18" ht="15.75" customHeight="1">
      <c r="B39" s="80" t="s">
        <v>2686</v>
      </c>
      <c r="C39" s="60">
        <v>116064</v>
      </c>
      <c r="D39" s="155">
        <f>G17</f>
        <v>27546</v>
      </c>
      <c r="E39" s="156">
        <f>C39-D39</f>
        <v>88518</v>
      </c>
      <c r="F39" s="68"/>
    </row>
    <row r="40" spans="2:18" ht="15.75" customHeight="1">
      <c r="E40" s="61"/>
      <c r="F40" s="68"/>
    </row>
    <row r="41" spans="2:18" ht="15.75" customHeight="1">
      <c r="E41" s="61"/>
      <c r="F41" s="68"/>
    </row>
    <row r="42" spans="2:18" ht="15.75" customHeight="1">
      <c r="E42" s="61"/>
      <c r="F42" s="68"/>
    </row>
    <row r="43" spans="2:18" ht="15.75" customHeight="1">
      <c r="E43" s="61"/>
      <c r="F43" s="68"/>
    </row>
    <row r="44" spans="2:18" ht="15.75" customHeight="1">
      <c r="E44" s="61"/>
      <c r="F44" s="68"/>
    </row>
    <row r="45" spans="2:18" ht="15.75" customHeight="1">
      <c r="E45" s="61"/>
      <c r="F45" s="68"/>
    </row>
    <row r="46" spans="2:18" ht="35.25" customHeight="1">
      <c r="C46" s="877" t="s">
        <v>2535</v>
      </c>
      <c r="D46" s="878"/>
      <c r="E46" s="878"/>
      <c r="F46" s="68"/>
    </row>
    <row r="47" spans="2:18">
      <c r="C47" s="78" t="s">
        <v>1658</v>
      </c>
      <c r="D47" s="158" t="s">
        <v>1651</v>
      </c>
      <c r="E47" s="78" t="s">
        <v>1652</v>
      </c>
      <c r="F47" s="68"/>
    </row>
    <row r="48" spans="2:18">
      <c r="B48" s="80" t="s">
        <v>2687</v>
      </c>
      <c r="C48" s="60">
        <v>254472</v>
      </c>
      <c r="D48" s="159">
        <f>G19</f>
        <v>17120</v>
      </c>
      <c r="E48" s="157">
        <f>C48-D48</f>
        <v>237352</v>
      </c>
      <c r="F48" s="68"/>
    </row>
    <row r="49" spans="2:16">
      <c r="B49" s="80" t="s">
        <v>2686</v>
      </c>
      <c r="C49" s="60">
        <v>116064</v>
      </c>
      <c r="D49" s="159">
        <f>G20</f>
        <v>9428</v>
      </c>
      <c r="E49" s="157">
        <f>C49-D49</f>
        <v>106636</v>
      </c>
      <c r="F49" s="68"/>
    </row>
    <row r="50" spans="2:16" ht="15.75" customHeight="1">
      <c r="E50" s="61"/>
      <c r="F50" s="68"/>
    </row>
    <row r="51" spans="2:16">
      <c r="E51" s="61"/>
      <c r="F51" s="68"/>
    </row>
    <row r="52" spans="2:16">
      <c r="E52" s="61"/>
      <c r="F52" s="68"/>
    </row>
    <row r="53" spans="2:16">
      <c r="E53" s="61"/>
      <c r="F53" s="68"/>
    </row>
    <row r="54" spans="2:16">
      <c r="E54" s="61"/>
      <c r="F54" s="68"/>
    </row>
    <row r="55" spans="2:16" ht="42.75" customHeight="1">
      <c r="C55" s="879" t="s">
        <v>2536</v>
      </c>
      <c r="D55" s="880"/>
      <c r="E55" s="880"/>
      <c r="F55" s="68"/>
    </row>
    <row r="56" spans="2:16">
      <c r="C56" s="79" t="s">
        <v>1658</v>
      </c>
      <c r="D56" s="160" t="s">
        <v>1651</v>
      </c>
      <c r="E56" s="79" t="s">
        <v>1652</v>
      </c>
      <c r="F56" s="68"/>
    </row>
    <row r="57" spans="2:16">
      <c r="B57" s="80" t="s">
        <v>2687</v>
      </c>
      <c r="C57" s="60">
        <v>254472</v>
      </c>
      <c r="D57" s="161">
        <f>G22</f>
        <v>81000</v>
      </c>
      <c r="E57" s="162">
        <f>C57-D57</f>
        <v>173472</v>
      </c>
      <c r="F57" s="68"/>
    </row>
    <row r="58" spans="2:16">
      <c r="B58" s="80" t="s">
        <v>2686</v>
      </c>
      <c r="C58" s="60">
        <v>116064</v>
      </c>
      <c r="D58" s="161">
        <f>G23</f>
        <v>98982</v>
      </c>
      <c r="E58" s="162">
        <f>C58-D58</f>
        <v>17082</v>
      </c>
      <c r="F58" s="68"/>
    </row>
    <row r="59" spans="2:16">
      <c r="E59" s="61"/>
      <c r="F59" s="68"/>
    </row>
    <row r="61" spans="2:16">
      <c r="D61" s="61"/>
    </row>
    <row r="62" spans="2:16">
      <c r="D62" s="61"/>
    </row>
    <row r="63" spans="2:16" hidden="1">
      <c r="B63" s="873" t="s">
        <v>1896</v>
      </c>
      <c r="C63" s="874"/>
      <c r="D63" s="874"/>
      <c r="E63" s="874"/>
      <c r="F63" s="874"/>
      <c r="G63" s="874"/>
      <c r="H63" s="874"/>
      <c r="J63" s="873" t="s">
        <v>1902</v>
      </c>
      <c r="K63" s="874"/>
      <c r="L63" s="874"/>
      <c r="M63" s="874"/>
      <c r="N63" s="874"/>
      <c r="O63" s="874"/>
      <c r="P63" s="874"/>
    </row>
    <row r="64" spans="2:16" ht="79.5" hidden="1" customHeight="1">
      <c r="B64" s="80" t="s">
        <v>20</v>
      </c>
      <c r="C64" s="77" t="s">
        <v>1653</v>
      </c>
      <c r="D64" s="77" t="s">
        <v>1654</v>
      </c>
      <c r="E64" s="78" t="s">
        <v>75</v>
      </c>
      <c r="F64" s="78" t="s">
        <v>1656</v>
      </c>
      <c r="G64" s="79" t="s">
        <v>76</v>
      </c>
      <c r="H64" s="79" t="s">
        <v>1655</v>
      </c>
      <c r="J64" s="80" t="s">
        <v>20</v>
      </c>
      <c r="K64" s="154" t="s">
        <v>1653</v>
      </c>
      <c r="L64" s="154" t="s">
        <v>1654</v>
      </c>
      <c r="M64" s="158" t="s">
        <v>75</v>
      </c>
      <c r="N64" s="158" t="s">
        <v>1656</v>
      </c>
      <c r="O64" s="160" t="s">
        <v>76</v>
      </c>
      <c r="P64" s="160" t="s">
        <v>1655</v>
      </c>
    </row>
    <row r="65" spans="1:60" hidden="1">
      <c r="B65" s="80" t="s">
        <v>37</v>
      </c>
      <c r="C65" s="163" t="e">
        <f>#REF!/#REF!</f>
        <v>#REF!</v>
      </c>
      <c r="D65" s="163" t="e">
        <f>#REF!/#REF!</f>
        <v>#REF!</v>
      </c>
      <c r="E65" s="164" t="e">
        <f>#REF!/#REF!</f>
        <v>#REF!</v>
      </c>
      <c r="F65" s="164" t="e">
        <f>#REF!/#REF!</f>
        <v>#REF!</v>
      </c>
      <c r="G65" s="165" t="e">
        <f>#REF!/#REF!</f>
        <v>#REF!</v>
      </c>
      <c r="H65" s="165" t="e">
        <f>#REF!/#REF!</f>
        <v>#REF!</v>
      </c>
      <c r="J65" s="80" t="s">
        <v>37</v>
      </c>
      <c r="K65" s="166" t="e">
        <f>#REF!/#REF!</f>
        <v>#REF!</v>
      </c>
      <c r="L65" s="166" t="e">
        <f>#REF!/#REF!</f>
        <v>#REF!</v>
      </c>
      <c r="M65" s="167" t="e">
        <f>#REF!/#REF!</f>
        <v>#REF!</v>
      </c>
      <c r="N65" s="167" t="e">
        <f>#REF!/#REF!</f>
        <v>#REF!</v>
      </c>
      <c r="O65" s="168" t="e">
        <f>#REF!/#REF!</f>
        <v>#REF!</v>
      </c>
      <c r="P65" s="168" t="e">
        <f>#REF!/#REF!</f>
        <v>#REF!</v>
      </c>
    </row>
    <row r="66" spans="1:60" hidden="1">
      <c r="B66" s="80" t="s">
        <v>296</v>
      </c>
      <c r="C66" s="163">
        <f>$E$38/$C$38</f>
        <v>0.78941494545568869</v>
      </c>
      <c r="D66" s="163" t="e">
        <f>#REF!/#REF!</f>
        <v>#REF!</v>
      </c>
      <c r="E66" s="164">
        <f>$E$48/$C$48</f>
        <v>0.93272344305070887</v>
      </c>
      <c r="F66" s="164" t="e">
        <f>#REF!/#REF!</f>
        <v>#REF!</v>
      </c>
      <c r="G66" s="165">
        <f>$E$57/$C$57</f>
        <v>0.6816938602282373</v>
      </c>
      <c r="H66" s="165" t="e">
        <f>#REF!/#REF!</f>
        <v>#REF!</v>
      </c>
      <c r="J66" s="80" t="s">
        <v>296</v>
      </c>
      <c r="K66" s="166">
        <f>D38/C38</f>
        <v>0.21058505454431137</v>
      </c>
      <c r="L66" s="166" t="e">
        <f>#REF!/#REF!</f>
        <v>#REF!</v>
      </c>
      <c r="M66" s="167">
        <f>D48/C48</f>
        <v>6.7276556949291078E-2</v>
      </c>
      <c r="N66" s="167" t="e">
        <f>#REF!/#REF!</f>
        <v>#REF!</v>
      </c>
      <c r="O66" s="168">
        <f>D57/C57</f>
        <v>0.3183061397717627</v>
      </c>
      <c r="P66" s="168" t="e">
        <f>#REF!/#REF!</f>
        <v>#REF!</v>
      </c>
    </row>
    <row r="67" spans="1:60" ht="31.5" hidden="1">
      <c r="B67" s="80" t="s">
        <v>700</v>
      </c>
      <c r="C67" s="163" t="e">
        <f>#REF!/#REF!</f>
        <v>#REF!</v>
      </c>
      <c r="D67" s="163" t="e">
        <f>#REF!/#REF!</f>
        <v>#REF!</v>
      </c>
      <c r="E67" s="164" t="e">
        <f>#REF!/#REF!</f>
        <v>#REF!</v>
      </c>
      <c r="F67" s="164" t="e">
        <f>#REF!/#REF!</f>
        <v>#REF!</v>
      </c>
      <c r="G67" s="165" t="e">
        <f>#REF!/#REF!</f>
        <v>#REF!</v>
      </c>
      <c r="H67" s="165" t="e">
        <f>#REF!/#REF!</f>
        <v>#REF!</v>
      </c>
      <c r="J67" s="80" t="s">
        <v>700</v>
      </c>
      <c r="K67" s="166" t="e">
        <f>#REF!/#REF!</f>
        <v>#REF!</v>
      </c>
      <c r="L67" s="166" t="e">
        <f>#REF!/#REF!</f>
        <v>#REF!</v>
      </c>
      <c r="M67" s="167" t="e">
        <f>#REF!/#REF!</f>
        <v>#REF!</v>
      </c>
      <c r="N67" s="167" t="e">
        <f>#REF!/#REF!</f>
        <v>#REF!</v>
      </c>
      <c r="O67" s="168" t="e">
        <f>#REF!/#REF!</f>
        <v>#REF!</v>
      </c>
      <c r="P67" s="168" t="e">
        <f>#REF!/#REF!</f>
        <v>#REF!</v>
      </c>
    </row>
    <row r="70" spans="1:60">
      <c r="V70"/>
      <c r="W70"/>
    </row>
    <row r="72" spans="1:60" ht="23.25">
      <c r="A72" s="411" t="s">
        <v>296</v>
      </c>
      <c r="B72" s="409"/>
      <c r="C72" s="409"/>
      <c r="D72" s="409"/>
      <c r="E72" s="409"/>
      <c r="F72" s="409"/>
      <c r="G72" s="409"/>
      <c r="H72" s="409"/>
      <c r="I72" s="409"/>
      <c r="J72" s="409"/>
      <c r="K72" s="409"/>
      <c r="L72" s="409"/>
      <c r="M72" s="409"/>
      <c r="N72" s="409"/>
      <c r="O72" s="409"/>
      <c r="P72" s="409"/>
      <c r="Q72" s="409"/>
      <c r="R72" s="409"/>
      <c r="S72" s="409"/>
      <c r="T72" s="409"/>
      <c r="U72" s="409"/>
      <c r="V72" s="410"/>
      <c r="W72" s="410"/>
      <c r="X72" s="409"/>
      <c r="Y72" s="409"/>
      <c r="Z72" s="409"/>
      <c r="AA72" s="409"/>
      <c r="AB72" s="409"/>
      <c r="AC72" s="409"/>
      <c r="AD72" s="409"/>
      <c r="AE72" s="409"/>
      <c r="AF72" s="409"/>
      <c r="AG72" s="409"/>
      <c r="AH72" s="409"/>
      <c r="AI72" s="409"/>
      <c r="AJ72" s="409"/>
      <c r="AK72" s="409"/>
      <c r="AL72" s="409"/>
      <c r="AM72" s="409"/>
      <c r="AN72" s="409"/>
      <c r="AO72" s="409"/>
      <c r="AP72" s="409"/>
      <c r="AQ72" s="409"/>
      <c r="AR72" s="409"/>
      <c r="AS72" s="409"/>
      <c r="AT72" s="409"/>
      <c r="AU72" s="409"/>
      <c r="AV72" s="409"/>
      <c r="AW72" s="409"/>
      <c r="AX72" s="409"/>
      <c r="AY72" s="409"/>
      <c r="AZ72" s="409"/>
      <c r="BA72" s="409"/>
      <c r="BB72" s="409"/>
      <c r="BC72" s="409"/>
      <c r="BD72" s="409"/>
      <c r="BE72" s="409"/>
      <c r="BF72" s="409"/>
      <c r="BG72" s="409"/>
      <c r="BH72" s="409"/>
    </row>
    <row r="74" spans="1:60">
      <c r="B74" s="778" t="s">
        <v>18</v>
      </c>
      <c r="C74" s="779" t="s">
        <v>2381</v>
      </c>
    </row>
    <row r="75" spans="1:60">
      <c r="B75" s="778" t="s">
        <v>33</v>
      </c>
      <c r="C75" s="779" t="s">
        <v>33</v>
      </c>
    </row>
    <row r="76" spans="1:60">
      <c r="B76" s="778" t="s">
        <v>20</v>
      </c>
      <c r="C76" s="779" t="s">
        <v>1895</v>
      </c>
    </row>
    <row r="77" spans="1:60">
      <c r="B77" s="778" t="s">
        <v>126</v>
      </c>
      <c r="C77" s="779" t="s">
        <v>796</v>
      </c>
      <c r="E77" s="170" t="s">
        <v>2010</v>
      </c>
      <c r="F77" s="408" t="s">
        <v>796</v>
      </c>
    </row>
    <row r="78" spans="1:60">
      <c r="B78" s="70"/>
      <c r="C78"/>
      <c r="E78" s="93" t="s">
        <v>1643</v>
      </c>
      <c r="F78" s="94" t="s">
        <v>1931</v>
      </c>
      <c r="G78" s="96" t="s">
        <v>1651</v>
      </c>
      <c r="H78" s="96" t="s">
        <v>1652</v>
      </c>
      <c r="AT78" s="463"/>
      <c r="AU78" s="463"/>
      <c r="AV78" s="463"/>
      <c r="AW78" s="463"/>
      <c r="AX78" s="463"/>
      <c r="AY78" s="463"/>
      <c r="AZ78" s="463"/>
      <c r="BA78" s="463"/>
      <c r="BB78" s="463"/>
      <c r="BC78" s="463"/>
      <c r="BD78" s="463"/>
      <c r="BE78" s="463"/>
      <c r="BF78" s="463"/>
      <c r="BG78" s="463"/>
      <c r="BH78" s="463"/>
    </row>
    <row r="79" spans="1:60" ht="110.25">
      <c r="B79" s="786" t="s">
        <v>2531</v>
      </c>
      <c r="C79" s="789">
        <v>81134</v>
      </c>
      <c r="E79" s="92" t="s">
        <v>2537</v>
      </c>
      <c r="F79" s="99">
        <f>370536-111059</f>
        <v>259477</v>
      </c>
      <c r="G79" s="99">
        <f>GETPIVOTDATA(" HRP3",$B$79)</f>
        <v>116117</v>
      </c>
      <c r="H79" s="99">
        <f>F79-G79</f>
        <v>143360</v>
      </c>
      <c r="AT79" s="463"/>
      <c r="AU79" s="463"/>
      <c r="AV79" s="463"/>
      <c r="AW79" s="463"/>
      <c r="AX79" s="463"/>
      <c r="AY79" s="463"/>
      <c r="AZ79" s="463"/>
      <c r="BA79" s="463"/>
      <c r="BB79" s="463"/>
      <c r="BC79" s="463"/>
      <c r="BD79" s="463"/>
      <c r="BE79" s="463"/>
      <c r="BF79" s="463"/>
      <c r="BG79" s="463"/>
      <c r="BH79" s="463"/>
    </row>
    <row r="80" spans="1:60" ht="63">
      <c r="B80" s="788" t="s">
        <v>2532</v>
      </c>
      <c r="C80" s="787">
        <v>26548</v>
      </c>
      <c r="E80" s="91" t="s">
        <v>2538</v>
      </c>
      <c r="F80" s="98">
        <f>370536-111059</f>
        <v>259477</v>
      </c>
      <c r="G80" s="98">
        <f>GETPIVOTDATA(" HRP2",$B$79)</f>
        <v>26548</v>
      </c>
      <c r="H80" s="98">
        <f>F80-G80</f>
        <v>232929</v>
      </c>
    </row>
    <row r="81" spans="2:24" ht="78.75">
      <c r="B81" s="785" t="s">
        <v>2533</v>
      </c>
      <c r="C81" s="790">
        <v>116117</v>
      </c>
      <c r="E81" s="95" t="s">
        <v>2539</v>
      </c>
      <c r="F81" s="97">
        <f>370536-111059</f>
        <v>259477</v>
      </c>
      <c r="G81" s="97">
        <f>GETPIVOTDATA(" HRP1",$B$79)</f>
        <v>81134</v>
      </c>
      <c r="H81" s="97">
        <f>F81-G81</f>
        <v>178343</v>
      </c>
    </row>
    <row r="82" spans="2:24">
      <c r="X82" s="61"/>
    </row>
    <row r="84" spans="2:24">
      <c r="C84"/>
      <c r="D84"/>
      <c r="V84"/>
      <c r="W84"/>
    </row>
    <row r="85" spans="2:24">
      <c r="C85"/>
      <c r="D85"/>
    </row>
    <row r="92" spans="2:24">
      <c r="C92"/>
      <c r="D92"/>
    </row>
    <row r="93" spans="2:24">
      <c r="C93"/>
      <c r="D93"/>
    </row>
    <row r="94" spans="2:24">
      <c r="C94"/>
      <c r="D94"/>
    </row>
    <row r="95" spans="2:24">
      <c r="C95"/>
      <c r="D95"/>
    </row>
  </sheetData>
  <mergeCells count="12">
    <mergeCell ref="L14:N14"/>
    <mergeCell ref="B63:H63"/>
    <mergeCell ref="J63:P63"/>
    <mergeCell ref="C36:E36"/>
    <mergeCell ref="C46:E46"/>
    <mergeCell ref="C55:E55"/>
    <mergeCell ref="C19:C21"/>
    <mergeCell ref="C16:C18"/>
    <mergeCell ref="C22:C24"/>
    <mergeCell ref="C28:C30"/>
    <mergeCell ref="C25:C27"/>
    <mergeCell ref="B25:B30"/>
  </mergeCells>
  <pageMargins left="0.7" right="0.7" top="0.75" bottom="0.75" header="0.3" footer="0.3"/>
  <pageSetup orientation="portrait" r:id="rId7"/>
  <drawing r:id="rId8"/>
  <legacy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61"/>
  <sheetViews>
    <sheetView workbookViewId="0">
      <selection activeCell="A8" sqref="A8:C24"/>
    </sheetView>
  </sheetViews>
  <sheetFormatPr defaultRowHeight="15.75"/>
  <cols>
    <col min="1" max="1" width="29.5" customWidth="1"/>
    <col min="2" max="2" width="15" bestFit="1" customWidth="1"/>
    <col min="3" max="3" width="20.25" customWidth="1"/>
    <col min="6" max="6" width="11" bestFit="1" customWidth="1"/>
    <col min="8" max="8" width="45.75" bestFit="1" customWidth="1"/>
    <col min="9" max="9" width="11.625" bestFit="1" customWidth="1"/>
    <col min="12" max="12" width="17.125" customWidth="1"/>
    <col min="13" max="13" width="9" style="431"/>
    <col min="14" max="14" width="13.25" bestFit="1" customWidth="1"/>
    <col min="16" max="16" width="28.625" bestFit="1" customWidth="1"/>
  </cols>
  <sheetData>
    <row r="2" spans="1:16">
      <c r="A2" s="804" t="s">
        <v>18</v>
      </c>
      <c r="B2" s="805" t="s">
        <v>2380</v>
      </c>
    </row>
    <row r="3" spans="1:16">
      <c r="A3" s="804" t="s">
        <v>33</v>
      </c>
      <c r="B3" s="805" t="s">
        <v>33</v>
      </c>
    </row>
    <row r="4" spans="1:16">
      <c r="A4" s="804" t="s">
        <v>126</v>
      </c>
      <c r="B4" s="805" t="s">
        <v>796</v>
      </c>
    </row>
    <row r="5" spans="1:16">
      <c r="A5" s="807" t="s">
        <v>20</v>
      </c>
      <c r="B5" s="805" t="s">
        <v>1895</v>
      </c>
      <c r="E5" s="201" t="s">
        <v>20</v>
      </c>
      <c r="F5" s="201" t="s">
        <v>21</v>
      </c>
      <c r="G5" s="201" t="s">
        <v>19</v>
      </c>
      <c r="I5" s="201" t="s">
        <v>20</v>
      </c>
      <c r="J5" s="201" t="s">
        <v>21</v>
      </c>
      <c r="K5" s="201" t="s">
        <v>19</v>
      </c>
      <c r="N5" s="201" t="s">
        <v>20</v>
      </c>
      <c r="O5" s="201" t="s">
        <v>21</v>
      </c>
      <c r="P5" s="201" t="s">
        <v>19</v>
      </c>
    </row>
    <row r="6" spans="1:16">
      <c r="A6" s="119"/>
      <c r="B6" s="112"/>
      <c r="E6" s="467" t="s">
        <v>37</v>
      </c>
      <c r="F6" s="523" t="s">
        <v>187</v>
      </c>
      <c r="G6" s="519" t="s">
        <v>133</v>
      </c>
      <c r="H6" t="str">
        <f>G6&amp;", "&amp;G7&amp;", "&amp;G8</f>
        <v>KBC, Metta, SI</v>
      </c>
      <c r="I6" s="521" t="s">
        <v>700</v>
      </c>
      <c r="J6" s="523" t="s">
        <v>719</v>
      </c>
      <c r="K6" s="519" t="s">
        <v>184</v>
      </c>
      <c r="L6" t="str">
        <f>K7</f>
        <v>SCI, Metta</v>
      </c>
      <c r="N6" s="521" t="s">
        <v>2687</v>
      </c>
      <c r="O6" s="523" t="s">
        <v>359</v>
      </c>
      <c r="P6" s="519" t="s">
        <v>2294</v>
      </c>
    </row>
    <row r="7" spans="1:16">
      <c r="A7" s="806" t="s">
        <v>21</v>
      </c>
      <c r="B7" s="804" t="s">
        <v>2320</v>
      </c>
      <c r="C7" s="804" t="s">
        <v>2322</v>
      </c>
      <c r="D7" s="434"/>
      <c r="E7" s="467" t="s">
        <v>37</v>
      </c>
      <c r="F7" s="523" t="s">
        <v>187</v>
      </c>
      <c r="G7" s="519" t="s">
        <v>184</v>
      </c>
      <c r="H7" s="431"/>
      <c r="I7" s="521" t="s">
        <v>700</v>
      </c>
      <c r="J7" s="523" t="s">
        <v>719</v>
      </c>
      <c r="K7" s="519" t="s">
        <v>1920</v>
      </c>
      <c r="L7" s="431"/>
      <c r="N7" s="521" t="s">
        <v>2687</v>
      </c>
      <c r="O7" s="523" t="s">
        <v>304</v>
      </c>
      <c r="P7" s="519" t="s">
        <v>295</v>
      </c>
    </row>
    <row r="8" spans="1:16">
      <c r="A8" s="805" t="s">
        <v>321</v>
      </c>
      <c r="B8" s="805" t="s">
        <v>2540</v>
      </c>
      <c r="C8" s="805" t="s">
        <v>371</v>
      </c>
      <c r="E8" s="467" t="s">
        <v>37</v>
      </c>
      <c r="F8" s="523" t="s">
        <v>187</v>
      </c>
      <c r="G8" s="519" t="s">
        <v>268</v>
      </c>
      <c r="I8" s="521" t="s">
        <v>700</v>
      </c>
      <c r="J8" s="523" t="s">
        <v>704</v>
      </c>
      <c r="K8" s="519" t="s">
        <v>133</v>
      </c>
      <c r="L8" t="str">
        <f>K8&amp;", "&amp;K9&amp;", "&amp;K12</f>
        <v>KBC, KMSS, SCI, Metta</v>
      </c>
      <c r="N8" s="521" t="s">
        <v>2687</v>
      </c>
      <c r="O8" s="523" t="s">
        <v>401</v>
      </c>
      <c r="P8" s="519" t="s">
        <v>400</v>
      </c>
    </row>
    <row r="9" spans="1:16">
      <c r="A9" s="805" t="s">
        <v>321</v>
      </c>
      <c r="B9" s="805" t="s">
        <v>1254</v>
      </c>
      <c r="C9" s="805" t="s">
        <v>2727</v>
      </c>
      <c r="E9" s="467" t="s">
        <v>37</v>
      </c>
      <c r="F9" s="523" t="s">
        <v>138</v>
      </c>
      <c r="G9" s="519" t="s">
        <v>133</v>
      </c>
      <c r="H9" t="str">
        <f>G9&amp;", "&amp;G10&amp;", "&amp;G11</f>
        <v>KBC, KMSS, Shalom</v>
      </c>
      <c r="I9" s="521" t="s">
        <v>700</v>
      </c>
      <c r="J9" s="523" t="s">
        <v>704</v>
      </c>
      <c r="K9" s="519" t="s">
        <v>36</v>
      </c>
      <c r="N9" s="521" t="s">
        <v>2687</v>
      </c>
      <c r="O9" s="523" t="s">
        <v>404</v>
      </c>
      <c r="P9" s="519" t="s">
        <v>2751</v>
      </c>
    </row>
    <row r="10" spans="1:16">
      <c r="A10" s="805" t="s">
        <v>321</v>
      </c>
      <c r="B10" s="805" t="s">
        <v>2864</v>
      </c>
      <c r="C10" s="805" t="s">
        <v>371</v>
      </c>
      <c r="E10" s="467" t="s">
        <v>37</v>
      </c>
      <c r="F10" s="523" t="s">
        <v>138</v>
      </c>
      <c r="G10" s="519" t="s">
        <v>36</v>
      </c>
      <c r="I10" s="521" t="s">
        <v>700</v>
      </c>
      <c r="J10" s="523" t="s">
        <v>704</v>
      </c>
      <c r="K10" s="519" t="s">
        <v>184</v>
      </c>
      <c r="N10" s="522" t="s">
        <v>2687</v>
      </c>
      <c r="O10" s="524" t="s">
        <v>297</v>
      </c>
      <c r="P10" s="518" t="s">
        <v>2752</v>
      </c>
    </row>
    <row r="11" spans="1:16">
      <c r="A11" s="805" t="s">
        <v>359</v>
      </c>
      <c r="B11" s="805" t="s">
        <v>2294</v>
      </c>
      <c r="C11" s="805" t="s">
        <v>2294</v>
      </c>
      <c r="E11" s="467" t="s">
        <v>37</v>
      </c>
      <c r="F11" s="523" t="s">
        <v>138</v>
      </c>
      <c r="G11" s="519" t="s">
        <v>234</v>
      </c>
      <c r="I11" s="521" t="s">
        <v>700</v>
      </c>
      <c r="J11" s="523" t="s">
        <v>704</v>
      </c>
      <c r="K11" s="519" t="s">
        <v>289</v>
      </c>
    </row>
    <row r="12" spans="1:16">
      <c r="A12" s="805" t="s">
        <v>304</v>
      </c>
      <c r="B12" s="805" t="s">
        <v>320</v>
      </c>
      <c r="C12" s="805" t="s">
        <v>320</v>
      </c>
      <c r="E12" s="467" t="s">
        <v>37</v>
      </c>
      <c r="F12" s="523" t="s">
        <v>140</v>
      </c>
      <c r="G12" s="519" t="s">
        <v>133</v>
      </c>
      <c r="H12" t="str">
        <f>G12&amp;", "&amp;G13&amp;", "&amp;G14</f>
        <v>KBC, KMSS, Shalom</v>
      </c>
      <c r="I12" s="521" t="s">
        <v>700</v>
      </c>
      <c r="J12" s="523" t="s">
        <v>704</v>
      </c>
      <c r="K12" s="519" t="s">
        <v>1920</v>
      </c>
      <c r="N12" s="521" t="s">
        <v>321</v>
      </c>
      <c r="O12" s="519" t="s">
        <v>371</v>
      </c>
      <c r="P12" t="s">
        <v>2753</v>
      </c>
    </row>
    <row r="13" spans="1:16">
      <c r="A13" s="805" t="s">
        <v>307</v>
      </c>
      <c r="B13" s="805" t="s">
        <v>310</v>
      </c>
      <c r="C13" s="805" t="s">
        <v>310</v>
      </c>
      <c r="E13" s="467" t="s">
        <v>37</v>
      </c>
      <c r="F13" s="523" t="s">
        <v>140</v>
      </c>
      <c r="G13" s="519" t="s">
        <v>36</v>
      </c>
      <c r="I13" s="521" t="s">
        <v>700</v>
      </c>
      <c r="J13" s="523" t="s">
        <v>707</v>
      </c>
      <c r="K13" s="519" t="s">
        <v>36</v>
      </c>
      <c r="L13" t="str">
        <f>K13&amp;", "&amp;K14</f>
        <v>KMSS, Metta</v>
      </c>
      <c r="N13" s="522" t="s">
        <v>359</v>
      </c>
      <c r="O13" s="519" t="s">
        <v>2294</v>
      </c>
      <c r="P13" t="s">
        <v>2294</v>
      </c>
    </row>
    <row r="14" spans="1:16">
      <c r="A14" s="805" t="s">
        <v>307</v>
      </c>
      <c r="B14" s="805" t="s">
        <v>2540</v>
      </c>
      <c r="C14" s="805" t="s">
        <v>371</v>
      </c>
      <c r="E14" s="467" t="s">
        <v>37</v>
      </c>
      <c r="F14" s="523" t="s">
        <v>140</v>
      </c>
      <c r="G14" s="519" t="s">
        <v>234</v>
      </c>
      <c r="I14" s="521" t="s">
        <v>700</v>
      </c>
      <c r="J14" s="523" t="s">
        <v>707</v>
      </c>
      <c r="K14" s="519" t="s">
        <v>184</v>
      </c>
      <c r="N14" s="522" t="s">
        <v>304</v>
      </c>
      <c r="O14" s="519" t="s">
        <v>320</v>
      </c>
      <c r="P14" t="s">
        <v>320</v>
      </c>
    </row>
    <row r="15" spans="1:16">
      <c r="A15" s="805" t="s">
        <v>307</v>
      </c>
      <c r="B15" s="805" t="s">
        <v>1254</v>
      </c>
      <c r="C15" s="805" t="s">
        <v>2727</v>
      </c>
      <c r="E15" s="467" t="s">
        <v>37</v>
      </c>
      <c r="F15" s="523" t="s">
        <v>38</v>
      </c>
      <c r="G15" s="519" t="s">
        <v>133</v>
      </c>
      <c r="H15" t="str">
        <f>G15&amp;", "&amp;G16&amp;", "&amp;G17&amp;", "&amp;G18</f>
        <v>KBC, KMSS, Metta, WPN</v>
      </c>
      <c r="I15" s="521" t="s">
        <v>700</v>
      </c>
      <c r="J15" s="523" t="s">
        <v>710</v>
      </c>
      <c r="K15" s="519" t="s">
        <v>36</v>
      </c>
      <c r="L15" t="str">
        <f>K15&amp;", "&amp;K17</f>
        <v>KMSS, SCI, Metta</v>
      </c>
      <c r="N15" s="521" t="s">
        <v>307</v>
      </c>
      <c r="O15" s="519" t="s">
        <v>310</v>
      </c>
      <c r="P15" t="s">
        <v>2120</v>
      </c>
    </row>
    <row r="16" spans="1:16">
      <c r="A16" s="805" t="s">
        <v>307</v>
      </c>
      <c r="B16" s="805" t="s">
        <v>2864</v>
      </c>
      <c r="C16" s="805" t="s">
        <v>371</v>
      </c>
      <c r="E16" s="467" t="s">
        <v>37</v>
      </c>
      <c r="F16" s="523" t="s">
        <v>38</v>
      </c>
      <c r="G16" s="519" t="s">
        <v>36</v>
      </c>
      <c r="I16" s="521" t="s">
        <v>700</v>
      </c>
      <c r="J16" s="523" t="s">
        <v>710</v>
      </c>
      <c r="K16" s="519" t="s">
        <v>184</v>
      </c>
      <c r="N16" s="522" t="s">
        <v>314</v>
      </c>
      <c r="O16" s="519" t="s">
        <v>316</v>
      </c>
      <c r="P16" t="s">
        <v>316</v>
      </c>
    </row>
    <row r="17" spans="1:16">
      <c r="A17" s="805" t="s">
        <v>314</v>
      </c>
      <c r="B17" s="805" t="s">
        <v>316</v>
      </c>
      <c r="C17" s="805" t="s">
        <v>316</v>
      </c>
      <c r="E17" s="467" t="s">
        <v>37</v>
      </c>
      <c r="F17" s="523" t="s">
        <v>38</v>
      </c>
      <c r="G17" s="519" t="s">
        <v>184</v>
      </c>
      <c r="I17" s="521" t="s">
        <v>700</v>
      </c>
      <c r="J17" s="523" t="s">
        <v>710</v>
      </c>
      <c r="K17" s="519" t="s">
        <v>1920</v>
      </c>
      <c r="N17" s="522" t="s">
        <v>401</v>
      </c>
      <c r="O17" s="519" t="s">
        <v>400</v>
      </c>
      <c r="P17" t="s">
        <v>400</v>
      </c>
    </row>
    <row r="18" spans="1:16">
      <c r="A18" s="805" t="s">
        <v>401</v>
      </c>
      <c r="B18" s="805" t="s">
        <v>400</v>
      </c>
      <c r="C18" s="805" t="s">
        <v>400</v>
      </c>
      <c r="E18" s="467" t="s">
        <v>37</v>
      </c>
      <c r="F18" s="523" t="s">
        <v>38</v>
      </c>
      <c r="G18" s="519" t="s">
        <v>283</v>
      </c>
      <c r="I18" s="521" t="s">
        <v>700</v>
      </c>
      <c r="J18" s="523" t="s">
        <v>701</v>
      </c>
      <c r="K18" s="519" t="s">
        <v>36</v>
      </c>
      <c r="L18" t="str">
        <f>K18&amp;", "&amp;K19</f>
        <v>KMSS, SCI</v>
      </c>
      <c r="N18" s="521" t="s">
        <v>404</v>
      </c>
      <c r="O18" s="519" t="s">
        <v>336</v>
      </c>
      <c r="P18" t="s">
        <v>2754</v>
      </c>
    </row>
    <row r="19" spans="1:16">
      <c r="A19" s="805" t="s">
        <v>404</v>
      </c>
      <c r="B19" s="805" t="s">
        <v>336</v>
      </c>
      <c r="C19" s="805" t="s">
        <v>336</v>
      </c>
      <c r="E19" s="467" t="s">
        <v>37</v>
      </c>
      <c r="F19" s="523" t="s">
        <v>144</v>
      </c>
      <c r="G19" s="519" t="s">
        <v>133</v>
      </c>
      <c r="H19" t="str">
        <f>G19&amp;", "&amp;G20</f>
        <v>KBC, KMSS</v>
      </c>
      <c r="I19" s="521" t="s">
        <v>700</v>
      </c>
      <c r="J19" s="523" t="s">
        <v>701</v>
      </c>
      <c r="K19" s="519" t="s">
        <v>289</v>
      </c>
      <c r="N19" s="522" t="s">
        <v>339</v>
      </c>
      <c r="O19" s="519" t="s">
        <v>1254</v>
      </c>
      <c r="P19" t="s">
        <v>1254</v>
      </c>
    </row>
    <row r="20" spans="1:16">
      <c r="A20" s="805" t="s">
        <v>404</v>
      </c>
      <c r="B20" s="805" t="s">
        <v>289</v>
      </c>
      <c r="C20" s="805" t="s">
        <v>289</v>
      </c>
      <c r="E20" s="467" t="s">
        <v>37</v>
      </c>
      <c r="F20" s="523" t="s">
        <v>144</v>
      </c>
      <c r="G20" s="519" t="s">
        <v>36</v>
      </c>
      <c r="I20" s="522" t="s">
        <v>700</v>
      </c>
      <c r="J20" s="523" t="s">
        <v>721</v>
      </c>
      <c r="K20" s="519" t="s">
        <v>184</v>
      </c>
      <c r="L20" t="str">
        <f>K20</f>
        <v>Metta</v>
      </c>
      <c r="N20" s="521" t="s">
        <v>297</v>
      </c>
      <c r="O20" s="519" t="s">
        <v>316</v>
      </c>
      <c r="P20" t="s">
        <v>2755</v>
      </c>
    </row>
    <row r="21" spans="1:16">
      <c r="A21" s="805" t="s">
        <v>404</v>
      </c>
      <c r="B21" s="805" t="s">
        <v>268</v>
      </c>
      <c r="C21" s="805" t="s">
        <v>268</v>
      </c>
      <c r="E21" s="467" t="s">
        <v>37</v>
      </c>
      <c r="F21" s="523" t="s">
        <v>149</v>
      </c>
      <c r="G21" s="519" t="s">
        <v>133</v>
      </c>
      <c r="H21" t="str">
        <f>G21&amp;", "&amp;G22</f>
        <v>KBC, KMSS</v>
      </c>
      <c r="I21" s="181"/>
      <c r="J21" s="431"/>
      <c r="K21" s="431"/>
    </row>
    <row r="22" spans="1:16">
      <c r="A22" s="805" t="s">
        <v>297</v>
      </c>
      <c r="B22" s="805" t="s">
        <v>316</v>
      </c>
      <c r="C22" s="805" t="s">
        <v>316</v>
      </c>
      <c r="E22" s="467" t="s">
        <v>37</v>
      </c>
      <c r="F22" s="523" t="s">
        <v>149</v>
      </c>
      <c r="G22" s="519" t="s">
        <v>36</v>
      </c>
      <c r="I22" s="181"/>
      <c r="J22" s="431"/>
      <c r="K22" s="431"/>
      <c r="N22" s="521" t="s">
        <v>321</v>
      </c>
      <c r="O22" s="519" t="s">
        <v>371</v>
      </c>
      <c r="P22" t="s">
        <v>2756</v>
      </c>
    </row>
    <row r="23" spans="1:16">
      <c r="A23" s="805" t="s">
        <v>297</v>
      </c>
      <c r="B23" s="805" t="s">
        <v>2307</v>
      </c>
      <c r="C23" s="805" t="s">
        <v>2307</v>
      </c>
      <c r="E23" s="467" t="s">
        <v>37</v>
      </c>
      <c r="F23" s="523" t="s">
        <v>197</v>
      </c>
      <c r="G23" s="519" t="s">
        <v>133</v>
      </c>
      <c r="H23" t="str">
        <f>G23&amp;", "&amp;G26&amp;", "&amp;G27&amp;", "&amp;G28</f>
        <v>KBC, Metta, KMSS, SI, WPN</v>
      </c>
      <c r="I23" s="181" t="s">
        <v>20</v>
      </c>
      <c r="J23" s="431" t="s">
        <v>21</v>
      </c>
      <c r="K23" s="431" t="s">
        <v>19</v>
      </c>
      <c r="N23" s="522" t="s">
        <v>304</v>
      </c>
      <c r="O23" s="519" t="s">
        <v>1254</v>
      </c>
      <c r="P23" s="519" t="s">
        <v>1254</v>
      </c>
    </row>
    <row r="24" spans="1:16">
      <c r="A24" s="805" t="s">
        <v>297</v>
      </c>
      <c r="B24" s="805" t="s">
        <v>2308</v>
      </c>
      <c r="C24" s="805" t="s">
        <v>2308</v>
      </c>
      <c r="E24" s="467" t="s">
        <v>37</v>
      </c>
      <c r="F24" s="523" t="s">
        <v>197</v>
      </c>
      <c r="G24" s="519" t="s">
        <v>36</v>
      </c>
      <c r="I24" s="181" t="s">
        <v>700</v>
      </c>
      <c r="J24" s="181" t="s">
        <v>719</v>
      </c>
      <c r="K24" t="s">
        <v>1920</v>
      </c>
      <c r="L24" s="431"/>
      <c r="M24"/>
      <c r="N24" s="522" t="s">
        <v>307</v>
      </c>
      <c r="O24" s="519" t="s">
        <v>2727</v>
      </c>
      <c r="P24" s="519" t="s">
        <v>2727</v>
      </c>
    </row>
    <row r="25" spans="1:16">
      <c r="E25" s="467" t="s">
        <v>37</v>
      </c>
      <c r="F25" s="523" t="s">
        <v>197</v>
      </c>
      <c r="G25" s="519" t="s">
        <v>184</v>
      </c>
      <c r="I25" t="s">
        <v>700</v>
      </c>
      <c r="J25" t="s">
        <v>704</v>
      </c>
      <c r="K25" t="s">
        <v>2749</v>
      </c>
      <c r="L25" s="431"/>
      <c r="M25"/>
      <c r="N25" s="522" t="s">
        <v>473</v>
      </c>
      <c r="O25" s="519" t="s">
        <v>2595</v>
      </c>
      <c r="P25" s="519" t="s">
        <v>2595</v>
      </c>
    </row>
    <row r="26" spans="1:16">
      <c r="E26" s="467" t="s">
        <v>37</v>
      </c>
      <c r="F26" s="523" t="s">
        <v>197</v>
      </c>
      <c r="G26" s="519" t="s">
        <v>2677</v>
      </c>
      <c r="I26" t="s">
        <v>700</v>
      </c>
      <c r="J26" t="s">
        <v>707</v>
      </c>
      <c r="K26" t="s">
        <v>1217</v>
      </c>
      <c r="L26" s="431"/>
      <c r="M26"/>
      <c r="N26" s="522" t="s">
        <v>404</v>
      </c>
      <c r="O26" s="518" t="s">
        <v>1254</v>
      </c>
      <c r="P26" s="518" t="s">
        <v>1254</v>
      </c>
    </row>
    <row r="27" spans="1:16">
      <c r="E27" s="467" t="s">
        <v>37</v>
      </c>
      <c r="F27" s="523" t="s">
        <v>197</v>
      </c>
      <c r="G27" s="519" t="s">
        <v>268</v>
      </c>
      <c r="I27" t="s">
        <v>700</v>
      </c>
      <c r="J27" t="s">
        <v>710</v>
      </c>
      <c r="K27" t="s">
        <v>2750</v>
      </c>
      <c r="L27" s="431"/>
      <c r="M27"/>
    </row>
    <row r="28" spans="1:16">
      <c r="E28" s="467" t="s">
        <v>37</v>
      </c>
      <c r="F28" s="523" t="s">
        <v>197</v>
      </c>
      <c r="G28" s="519" t="s">
        <v>283</v>
      </c>
      <c r="I28" t="s">
        <v>700</v>
      </c>
      <c r="J28" t="s">
        <v>701</v>
      </c>
      <c r="K28" t="s">
        <v>1219</v>
      </c>
      <c r="L28" s="431"/>
      <c r="M28"/>
    </row>
    <row r="29" spans="1:16">
      <c r="E29" s="467" t="s">
        <v>37</v>
      </c>
      <c r="F29" s="523" t="s">
        <v>151</v>
      </c>
      <c r="G29" s="519" t="s">
        <v>133</v>
      </c>
      <c r="H29" t="str">
        <f>G29&amp;", "&amp;G30&amp;", "&amp;G31</f>
        <v>KBC, KMSS, Shalom</v>
      </c>
      <c r="I29" t="s">
        <v>700</v>
      </c>
      <c r="J29" t="s">
        <v>721</v>
      </c>
      <c r="K29" t="s">
        <v>184</v>
      </c>
      <c r="L29" s="431"/>
      <c r="M29"/>
    </row>
    <row r="30" spans="1:16">
      <c r="E30" s="467" t="s">
        <v>37</v>
      </c>
      <c r="F30" s="523" t="s">
        <v>151</v>
      </c>
      <c r="G30" s="519" t="s">
        <v>36</v>
      </c>
    </row>
    <row r="31" spans="1:16">
      <c r="E31" s="467" t="s">
        <v>37</v>
      </c>
      <c r="F31" s="523" t="s">
        <v>151</v>
      </c>
      <c r="G31" s="519" t="s">
        <v>234</v>
      </c>
    </row>
    <row r="32" spans="1:16">
      <c r="E32" s="467" t="s">
        <v>37</v>
      </c>
      <c r="F32" s="523" t="s">
        <v>165</v>
      </c>
      <c r="G32" s="519" t="s">
        <v>133</v>
      </c>
      <c r="H32" t="str">
        <f>G32</f>
        <v>KBC</v>
      </c>
    </row>
    <row r="33" spans="5:13">
      <c r="E33" s="467" t="s">
        <v>37</v>
      </c>
      <c r="F33" s="523" t="s">
        <v>206</v>
      </c>
      <c r="G33" s="519" t="s">
        <v>133</v>
      </c>
      <c r="H33" t="str">
        <f>G33&amp;", "&amp;G34</f>
        <v>KBC, Metta</v>
      </c>
    </row>
    <row r="34" spans="5:13">
      <c r="E34" s="467" t="s">
        <v>37</v>
      </c>
      <c r="F34" s="523" t="s">
        <v>206</v>
      </c>
      <c r="G34" s="519" t="s">
        <v>184</v>
      </c>
    </row>
    <row r="35" spans="5:13">
      <c r="E35" s="467" t="s">
        <v>37</v>
      </c>
      <c r="F35" s="523" t="s">
        <v>176</v>
      </c>
      <c r="G35" s="519" t="s">
        <v>133</v>
      </c>
      <c r="H35" t="str">
        <f>G35</f>
        <v>KBC</v>
      </c>
    </row>
    <row r="36" spans="5:13">
      <c r="E36" s="467" t="s">
        <v>37</v>
      </c>
      <c r="F36" s="523" t="s">
        <v>134</v>
      </c>
      <c r="G36" s="519" t="s">
        <v>133</v>
      </c>
      <c r="H36" t="str">
        <f>G37&amp;", "&amp;G39&amp;", "&amp;G41</f>
        <v>KBC, KMSS, Metta, Shalom</v>
      </c>
    </row>
    <row r="37" spans="5:13">
      <c r="E37" s="467" t="s">
        <v>37</v>
      </c>
      <c r="F37" s="523" t="s">
        <v>134</v>
      </c>
      <c r="G37" s="519" t="s">
        <v>2118</v>
      </c>
    </row>
    <row r="38" spans="5:13">
      <c r="E38" s="467" t="s">
        <v>37</v>
      </c>
      <c r="F38" s="523" t="s">
        <v>134</v>
      </c>
      <c r="G38" s="519" t="s">
        <v>36</v>
      </c>
    </row>
    <row r="39" spans="5:13">
      <c r="E39" s="467" t="s">
        <v>37</v>
      </c>
      <c r="F39" s="523" t="s">
        <v>134</v>
      </c>
      <c r="G39" s="519" t="s">
        <v>184</v>
      </c>
    </row>
    <row r="40" spans="5:13">
      <c r="E40" s="467" t="s">
        <v>37</v>
      </c>
      <c r="F40" s="523" t="s">
        <v>134</v>
      </c>
      <c r="G40" s="519" t="s">
        <v>2677</v>
      </c>
    </row>
    <row r="41" spans="5:13">
      <c r="E41" s="525" t="s">
        <v>37</v>
      </c>
      <c r="F41" s="523" t="s">
        <v>134</v>
      </c>
      <c r="G41" s="519" t="s">
        <v>234</v>
      </c>
    </row>
    <row r="44" spans="5:13">
      <c r="E44" t="s">
        <v>20</v>
      </c>
      <c r="F44" t="s">
        <v>21</v>
      </c>
      <c r="L44" s="431"/>
      <c r="M44"/>
    </row>
    <row r="45" spans="5:13">
      <c r="E45" t="s">
        <v>37</v>
      </c>
      <c r="F45" t="s">
        <v>187</v>
      </c>
      <c r="G45" t="s">
        <v>2116</v>
      </c>
      <c r="L45" s="431"/>
      <c r="M45"/>
    </row>
    <row r="46" spans="5:13">
      <c r="E46" t="s">
        <v>37</v>
      </c>
      <c r="F46" t="s">
        <v>138</v>
      </c>
      <c r="G46" t="s">
        <v>2117</v>
      </c>
      <c r="L46" s="431"/>
      <c r="M46"/>
    </row>
    <row r="47" spans="5:13">
      <c r="E47" t="s">
        <v>37</v>
      </c>
      <c r="F47" t="s">
        <v>140</v>
      </c>
      <c r="G47" t="s">
        <v>2117</v>
      </c>
      <c r="L47" s="431"/>
      <c r="M47"/>
    </row>
    <row r="48" spans="5:13">
      <c r="E48" t="s">
        <v>37</v>
      </c>
      <c r="F48" t="s">
        <v>38</v>
      </c>
      <c r="G48" t="s">
        <v>2747</v>
      </c>
      <c r="L48" s="431"/>
      <c r="M48"/>
    </row>
    <row r="49" spans="5:13">
      <c r="E49" t="s">
        <v>37</v>
      </c>
      <c r="F49" t="s">
        <v>144</v>
      </c>
      <c r="G49" t="s">
        <v>2118</v>
      </c>
      <c r="L49" s="431"/>
      <c r="M49"/>
    </row>
    <row r="50" spans="5:13">
      <c r="E50" t="s">
        <v>37</v>
      </c>
      <c r="F50" t="s">
        <v>149</v>
      </c>
      <c r="G50" t="s">
        <v>2118</v>
      </c>
      <c r="L50" s="431"/>
      <c r="M50"/>
    </row>
    <row r="51" spans="5:13">
      <c r="E51" t="s">
        <v>37</v>
      </c>
      <c r="F51" t="s">
        <v>197</v>
      </c>
      <c r="G51" t="s">
        <v>2748</v>
      </c>
      <c r="L51" s="431"/>
      <c r="M51"/>
    </row>
    <row r="52" spans="5:13">
      <c r="E52" s="181" t="s">
        <v>37</v>
      </c>
      <c r="F52" s="181" t="s">
        <v>151</v>
      </c>
      <c r="G52" t="s">
        <v>2117</v>
      </c>
      <c r="L52" s="431"/>
      <c r="M52"/>
    </row>
    <row r="53" spans="5:13">
      <c r="E53" s="181" t="s">
        <v>37</v>
      </c>
      <c r="F53" s="181" t="s">
        <v>165</v>
      </c>
      <c r="G53" t="s">
        <v>133</v>
      </c>
      <c r="L53" s="431"/>
      <c r="M53"/>
    </row>
    <row r="54" spans="5:13">
      <c r="E54" s="181" t="s">
        <v>37</v>
      </c>
      <c r="F54" s="181" t="s">
        <v>206</v>
      </c>
      <c r="G54" t="s">
        <v>1927</v>
      </c>
      <c r="L54" s="431"/>
      <c r="M54"/>
    </row>
    <row r="55" spans="5:13">
      <c r="E55" s="181" t="s">
        <v>37</v>
      </c>
      <c r="F55" s="181" t="s">
        <v>176</v>
      </c>
      <c r="G55" t="s">
        <v>133</v>
      </c>
      <c r="L55" s="431"/>
      <c r="M55"/>
    </row>
    <row r="56" spans="5:13">
      <c r="E56" s="181" t="s">
        <v>37</v>
      </c>
      <c r="F56" s="181" t="s">
        <v>134</v>
      </c>
      <c r="G56" t="s">
        <v>2119</v>
      </c>
      <c r="L56" s="431"/>
      <c r="M56"/>
    </row>
    <row r="57" spans="5:13">
      <c r="E57" s="181"/>
      <c r="F57" s="181"/>
    </row>
    <row r="58" spans="5:13">
      <c r="E58" s="181"/>
      <c r="F58" s="181"/>
    </row>
    <row r="59" spans="5:13">
      <c r="E59" s="181"/>
      <c r="F59" s="181"/>
    </row>
    <row r="60" spans="5:13">
      <c r="E60" s="181"/>
      <c r="F60" s="181"/>
    </row>
    <row r="61" spans="5:13">
      <c r="E61" s="200"/>
      <c r="F61" s="18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Guide</vt:lpstr>
      <vt:lpstr>Sheet2</vt:lpstr>
      <vt:lpstr>DATABASE</vt:lpstr>
      <vt:lpstr>Site_DB</vt:lpstr>
      <vt:lpstr>Indicator Summary  Eng</vt:lpstr>
      <vt:lpstr>Indicator Summary  MM</vt:lpstr>
      <vt:lpstr>HRP Calculations</vt:lpstr>
      <vt:lpstr>HRP</vt:lpstr>
      <vt:lpstr>Sheet1</vt:lpstr>
      <vt:lpstr>Analysis</vt:lpstr>
      <vt:lpstr>Quarterly Dashboard</vt:lpstr>
      <vt:lpstr>Rakhine</vt:lpstr>
      <vt:lpstr>By Camps</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Rakhine!Township_list</vt:lpstr>
      <vt:lpstr>Township_list</vt:lpstr>
      <vt:lpstr>Rakhine!Township_start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2019-11-04T03:39:50Z</cp:lastPrinted>
  <dcterms:created xsi:type="dcterms:W3CDTF">2016-05-30T15:30:45Z</dcterms:created>
  <dcterms:modified xsi:type="dcterms:W3CDTF">2019-11-05T08:16:54Z</dcterms:modified>
  <cp:category/>
  <cp:contentStatus/>
</cp:coreProperties>
</file>